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10.xml" ContentType="application/vnd.openxmlformats-officedocument.drawing+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3" Type="http://schemas.openxmlformats.org/package/2006/relationships/metadata/core-properties" Target="docProps/core.xml" /><Relationship Id="rId4" Type="http://schemas.openxmlformats.org/officeDocument/2006/relationships/custom-properties" Target="docProps/custom.xml" /><Relationship Id="rId1" Type="http://schemas.openxmlformats.org/officeDocument/2006/relationships/officeDocument" Target="xl/workbook.xml" /><Relationship Id="rId2" Type="http://schemas.openxmlformats.org/officeDocument/2006/relationships/extended-properties" Target="docProps/app.xml" /></Relationships>
</file>

<file path=xl/workbook.xml><?xml version="1.0" encoding="utf-8"?>
<workbook xmlns:r="http://schemas.openxmlformats.org/officeDocument/2006/relationships" xmlns="http://schemas.openxmlformats.org/spreadsheetml/2006/main">
  <fileVersion appName="xl" lastEdited="7" lowestEdited="6" rupBuild="22730"/>
  <workbookPr codeName="ThisWorkbook"/>
  <bookViews>
    <workbookView xWindow="-120" yWindow="-120" windowWidth="29040" windowHeight="15990" tabRatio="911" firstSheet="1" activeTab="3"/>
  </bookViews>
  <sheets>
    <sheet name="START" sheetId="18" r:id="rId1" state="hidden"/>
    <sheet name="G1. Guidance" sheetId="1" r:id="rId2"/>
    <sheet name="Checklist" sheetId="2" r:id="rId3"/>
    <sheet name="G2. Cover Sheet" sheetId="3" r:id="rId4"/>
    <sheet name="Pupil_Place Numbers" sheetId="4" r:id="rId5"/>
    <sheet name="G3. Budget" sheetId="5" r:id="rId6"/>
    <sheet name="Pre 16 Ready Reckoner" sheetId="29" r:id="rId7" state="hidden"/>
    <sheet name="LA Averages_current_year" sheetId="8" r:id="rId8" state="hidden"/>
    <sheet name="Proforma_current_year" sheetId="7" r:id="rId9" state="hidden"/>
    <sheet name="Proforma_previous_year" sheetId="27" r:id="rId10" state="hidden"/>
    <sheet name="RR_previous_year" sheetId="33" r:id="rId11" state="hidden"/>
    <sheet name="LA Averages_previous_year" sheetId="26" r:id="rId12" state="hidden"/>
    <sheet name="FS_Protection" sheetId="24" r:id="rId13" state="hidden"/>
    <sheet name="Post 16 Ready Reckoner" sheetId="30" r:id="rId14"/>
    <sheet name="G4. Staff" sheetId="28" r:id="rId15"/>
    <sheet name="G5. Summary" sheetId="19" r:id="rId16"/>
    <sheet name="Input Data" sheetId="16" r:id="rId17" state="hidden"/>
    <sheet name="Extract Page" sheetId="17" r:id="rId18" state="hidden"/>
  </sheets>
  <definedNames>
    <definedName name="_xlnm._FilterDatabase" comment="" localSheetId="2" hidden="1">Checklist!$F$2:$J$46</definedName>
    <definedName name="_xlnm._FilterDatabase" comment="" localSheetId="1" hidden="1">'G1. Guidance'!$F$4:$J$29</definedName>
    <definedName name="_xlnm._FilterDatabase" comment="" localSheetId="3" hidden="1">'G2. Cover Sheet'!$E$3:$L$39</definedName>
    <definedName name="_xlnm._FilterDatabase" comment="" localSheetId="5" hidden="1">'G3. Budget'!#REF!</definedName>
    <definedName name="_xlnm._FilterDatabase" comment="" localSheetId="13" hidden="1">'Post 16 Ready Reckoner'!$V$3:$AB$154</definedName>
    <definedName name="_xlnm._FilterDatabase" comment="" localSheetId="8" hidden="1">Proforma_current_year!$A$3:$W$154</definedName>
    <definedName name="_xlnm._FilterDatabase" comment="" localSheetId="9" hidden="1">Proforma_previous_year!$A$3:$BQ$155</definedName>
    <definedName name="_xlnm._FilterDatabase" comment="" localSheetId="4" hidden="1">'Pupil_Place Numbers'!$L$3:$AN$112</definedName>
    <definedName name="_Key1" comment="" localSheetId="12" hidden="1">#REF!</definedName>
    <definedName name="_Key1" comment="" localSheetId="11" hidden="1">#REF!</definedName>
    <definedName name="_Key1" comment="" localSheetId="13" hidden="1">#REF!</definedName>
    <definedName name="_Key1" comment="" localSheetId="6" hidden="1">#REF!</definedName>
    <definedName name="_Key1" comment="" localSheetId="9" hidden="1">#REF!</definedName>
    <definedName name="_Key1" comment="" localSheetId="10" hidden="1">#REF!</definedName>
    <definedName name="_Key1" comment="" hidden="1">#REF!</definedName>
    <definedName name="_Key1_" comment="" localSheetId="12" hidden="1">#REF!</definedName>
    <definedName name="_Key1_" comment="" localSheetId="11" hidden="1">#REF!</definedName>
    <definedName name="_Key1_" comment="" localSheetId="13" hidden="1">#REF!</definedName>
    <definedName name="_Key1_" comment="" localSheetId="6" hidden="1">#REF!</definedName>
    <definedName name="_Key1_" comment="" localSheetId="9" hidden="1">#REF!</definedName>
    <definedName name="_Key1_" comment="" localSheetId="10" hidden="1">#REF!</definedName>
    <definedName name="_Key1_" comment="" hidden="1">#REF!</definedName>
    <definedName name="_Order1" comment="" hidden="1">0</definedName>
    <definedName name="_Sort" comment="" localSheetId="12" hidden="1">#REF!</definedName>
    <definedName name="_Sort" comment="" localSheetId="11" hidden="1">#REF!</definedName>
    <definedName name="_Sort" comment="" localSheetId="13" hidden="1">#REF!</definedName>
    <definedName name="_Sort" comment="" localSheetId="6" hidden="1">#REF!</definedName>
    <definedName name="_Sort" comment="" localSheetId="9" hidden="1">#REF!</definedName>
    <definedName name="_Sort" comment="" localSheetId="10" hidden="1">#REF!</definedName>
    <definedName name="_Sort" comment="" hidden="1">#REF!</definedName>
    <definedName name="_Sort_" comment="" localSheetId="12" hidden="1">#REF!</definedName>
    <definedName name="_Sort_" comment="" localSheetId="11" hidden="1">#REF!</definedName>
    <definedName name="_Sort_" comment="" localSheetId="13" hidden="1">#REF!</definedName>
    <definedName name="_Sort_" comment="" localSheetId="6" hidden="1">#REF!</definedName>
    <definedName name="_Sort_" comment="" localSheetId="9" hidden="1">#REF!</definedName>
    <definedName name="_Sort_" comment="" localSheetId="10" hidden="1">#REF!</definedName>
    <definedName name="_Sort_" comment="" hidden="1">#REF!</definedName>
    <definedName name="ACW" comment="" localSheetId="13">'Post 16 Ready Reckoner'!$O$12</definedName>
    <definedName name="acw_switch" comment="">'Post 16 Ready Reckoner'!$AO$17</definedName>
    <definedName name="ACWOverride" comment="" localSheetId="13">'Post 16 Ready Reckoner'!$P$12</definedName>
    <definedName name="Administrative_Range" comment="" localSheetId="14">'G4. Staff'!$C$148:$Q$168</definedName>
    <definedName name="Age_Range_List" comment="">IF(School_Type_Value="AP",'Input Data'!$J$2:$J$6,'Input Data'!$J$2:$J$7)</definedName>
    <definedName name="Age_Range_Value" comment="">'G2. Cover Sheet'!$C$18</definedName>
    <definedName name="AgeRange" comment="">'Input Data'!$AY$2:$AY$10</definedName>
    <definedName name="AreaFactors1" comment="" localSheetId="13">'Post 16 Ready Reckoner'!$Z$4:$Z$154</definedName>
    <definedName name="AreaFactors2" comment="" localSheetId="13">'Post 16 Ready Reckoner'!$AA$4:$AA$154</definedName>
    <definedName name="Block1Factor" comment="" localSheetId="13">'Post 16 Ready Reckoner'!$I$28</definedName>
    <definedName name="Block1Override" comment="" localSheetId="13">'Post 16 Ready Reckoner'!$K$28</definedName>
    <definedName name="Block2FundedInstances" comment="" localSheetId="13">'Post 16 Ready Reckoner'!$J$31</definedName>
    <definedName name="Block2InstancesAvg" comment="" localSheetId="13">'Post 16 Ready Reckoner'!$F$31</definedName>
    <definedName name="Block2Override" comment="" localSheetId="13">'Post 16 Ready Reckoner'!$H$31</definedName>
    <definedName name="Block2Rate" comment="">'Post 16 Ready Reckoner'!$L$31</definedName>
    <definedName name="Catering_Range" comment="" localSheetId="14">'G4. Staff'!$C$194:$Q$214</definedName>
    <definedName name="Checklist1_List" comment="">'Input Data'!$B$2:$B$3</definedName>
    <definedName name="Checklist2_List" comment="">'Input Data'!$B$2:$B$4</definedName>
    <definedName name="ChosenLA" comment="" localSheetId="13">'Post 16 Ready Reckoner'!$I$7</definedName>
    <definedName name="Data_Entry_Range" comment="" localSheetId="5">'G3. Budget'!$E$13:$L$16,'G3. Budget'!$E$22:$L$22,'G3. Budget'!$E$43:$L$44,'G3. Budget'!$E$50:$L$51,'G3. Budget'!$E$57:$L$58,'G3. Budget'!$E$64:$L$65,'G3. Budget'!$E$121:$L$124,'G3. Budget'!$E$127:$L$130,'G3. Budget'!$E$131,'G3. Budget'!$E$132:$L$139,'G3. Budget'!$E$147:$G$147,'G3. Budget'!$E$172:$L$184,'G3. Budget'!$E$188:$L$197,'G3. Budget'!$E$201:$L$208,'G3. Budget'!$E$212:$L$216,'G3. Budget'!$E$221:$L$236</definedName>
    <definedName name="Data_Entry_Range" comment="" localSheetId="4">'Pupil_Place Numbers'!$C$4:$J$17,'Pupil_Place Numbers'!$C$19:$J$21,'Pupil_Place Numbers'!$C$23:$J$36,'Pupil_Place Numbers'!$C$40:$J$53,'Pupil_Place Numbers'!$C$57:$J$70,'Pupil_Place Numbers'!$C$74:$J$87,'Pupil_Place Numbers'!$C$91:$J$104,'Pupil_Place Numbers'!$C$106:$J$112,'Pupil_Place Numbers'!$C$121:$J$121</definedName>
    <definedName name="DisadvantageFunding" comment="" localSheetId="13">'Post 16 Ready Reckoner'!$M$13</definedName>
    <definedName name="DisadvantageLA" comment="" localSheetId="13">'Post 16 Ready Reckoner'!$AB$4:$AB$154</definedName>
    <definedName name="FormulaFundingTotal" comment="" localSheetId="13">'Post 16 Ready Reckoner'!$T$14</definedName>
    <definedName name="FundingAtACA" comment="" localSheetId="13">'Post 16 Ready Reckoner'!$O$14</definedName>
    <definedName name="FundingAtDisadvantage" comment="" localSheetId="13">'Post 16 Ready Reckoner'!$M$14</definedName>
    <definedName name="FundingAtHVCP" comment="">'Post 16 Ready Reckoner'!$R$14</definedName>
    <definedName name="FundingAtL3MathsAndEnglish" comment="">'Post 16 Ready Reckoner'!$K$14</definedName>
    <definedName name="FundingAtNatRate" comment="" localSheetId="13">'Post 16 Ready Reckoner'!$D$14</definedName>
    <definedName name="FundingAtPCW" comment="" localSheetId="13">'Post 16 Ready Reckoner'!$H$14</definedName>
    <definedName name="FundingAtRetention" comment="" localSheetId="13">'Post 16 Ready Reckoner'!$F$14</definedName>
    <definedName name="FundingIncludingProgrammeCosts" comment="" localSheetId="13">'Post 16 Ready Reckoner'!$M$28</definedName>
    <definedName name="HVCPFactor" comment="">'Post 16 Ready Reckoner'!$N$37</definedName>
    <definedName name="HVCPFunding" comment="">'Post 16 Ready Reckoner'!$R$13</definedName>
    <definedName name="HVCPInstances" comment="">'Post 16 Ready Reckoner'!$J$37</definedName>
    <definedName name="HVCPNatAv" comment="">'Post 16 Ready Reckoner'!$F$37</definedName>
    <definedName name="HVCPOverride" comment="">'Post 16 Ready Reckoner'!$H$37</definedName>
    <definedName name="HVCPRate" comment="">'Post 16 Ready Reckoner'!$L$37</definedName>
    <definedName name="Independent_School_List" comment="">OFFSET('Input Data'!$P$2,0,0,COUNTA('Input Data'!$P$2:$P$152),1)</definedName>
    <definedName name="Independent_School_Value" comment="">'G2. Cover Sheet'!$C$37</definedName>
    <definedName name="Insurance_List" comment="">OFFSET('Input Data'!$Q$2,0,0,COUNTA('Input Data'!$Q$2:$Q$152),1)</definedName>
    <definedName name="Insurance_Table" comment="" localSheetId="5">OFFSET('G3. Budget'!$CN$5,0,0,COUNTA('G3. Budget'!$T$5:$T$300),2)</definedName>
    <definedName name="Insurance_Value" comment="">'G2. Cover Sheet'!$C$39</definedName>
    <definedName name="L3MathsAndEnglish1YearFunding" comment="">'Post 16 Ready Reckoner'!$N$19</definedName>
    <definedName name="L3MathsAndEnglish1YearInstances" comment="">'Post 16 Ready Reckoner'!$J$19</definedName>
    <definedName name="L3MathsAndEnglish1YearNatAv" comment="">'Post 16 Ready Reckoner'!$F$19</definedName>
    <definedName name="L3MathsAndEnglish1YearOverride" comment="">'Post 16 Ready Reckoner'!$H$19</definedName>
    <definedName name="L3MathsAndEnglish1YearRate" comment="">'Post 16 Ready Reckoner'!$L$19</definedName>
    <definedName name="L3MathsAndEnglish2YearFunding" comment="">'Post 16 Ready Reckoner'!$N$22</definedName>
    <definedName name="L3MathsAndEnglish2YearInstances" comment="">'Post 16 Ready Reckoner'!$J$22</definedName>
    <definedName name="L3MathsAndEnglish2YearNatAv" comment="">'Post 16 Ready Reckoner'!$F$22</definedName>
    <definedName name="L3MathsAndEnglish2YearOverride" comment="">'Post 16 Ready Reckoner'!$H$22</definedName>
    <definedName name="L3MathsAndEnglish2YearRate" comment="">'Post 16 Ready Reckoner'!$L$22</definedName>
    <definedName name="L3MathsAndEnglishFunding" comment="">'Post 16 Ready Reckoner'!$K$13</definedName>
    <definedName name="L3MathsAndEnglishTotalFunding" comment="">'Post 16 Ready Reckoner'!$N$23</definedName>
    <definedName name="LA_1819Name_Value" comment="">'G2. Cover Sheet'!$C$12</definedName>
    <definedName name="LA_Name_List" comment="">OFFSET('Input Data'!$F$2,0,0,COUNTA('Input Data'!$F$2:$F$152),1)</definedName>
    <definedName name="LA_Name_List_1819" comment="">OFFSET('Input Data'!$H$2,0,0,SUMPRODUCT(--(LEN('Input Data'!$H$2:$H$152)&gt;0)),1)</definedName>
    <definedName name="LA_Name_Value" comment="">'G2. Cover Sheet'!$C$10</definedName>
    <definedName name="LA_Region_List" comment="">OFFSET('Input Data'!$G$2,0,0,COUNTA('Input Data'!$G$2:$G$152),1)</definedName>
    <definedName name="LACode" comment="" localSheetId="13">'Post 16 Ready Reckoner'!$H$7</definedName>
    <definedName name="LACodes" comment="" localSheetId="13">'Post 16 Ready Reckoner'!$W$4:$W$154</definedName>
    <definedName name="LANames" comment="" localSheetId="13">'Post 16 Ready Reckoner'!$V$4:$V$154</definedName>
    <definedName name="MinTopUp" comment="" localSheetId="13">'Post 16 Ready Reckoner'!$O$32</definedName>
    <definedName name="NationalRatePerStudent" comment="" localSheetId="13">'Post 16 Ready Reckoner'!$D$12</definedName>
    <definedName name="NI_Category" comment="">'Input Data'!$BI$3:$BI$10</definedName>
    <definedName name="Open_Proportion" comment="">'Input Data'!$S$2</definedName>
    <definedName name="Opening_Date_List" comment="">OFFSET('Input Data'!$I$2,0,0,COUNTA('Input Data'!$I$2:$I$73),1)</definedName>
    <definedName name="Opening_Date_Value" comment="">'G2. Cover Sheet'!$C$16</definedName>
    <definedName name="Other_Range" comment="" localSheetId="14">'G4. Staff'!$C$217:$Q$237</definedName>
    <definedName name="PCW" comment="" localSheetId="13">'Post 16 Ready Reckoner'!$H$12</definedName>
    <definedName name="pcw_switch" comment="">'Post 16 Ready Reckoner'!$AO$14</definedName>
    <definedName name="PCWOverride" comment="" localSheetId="13">'Post 16 Ready Reckoner'!$I$12</definedName>
    <definedName name="post16_rr_override_used" comment="">'Post 16 Ready Reckoner'!$AO$12</definedName>
    <definedName name="Premises_Range" comment="" localSheetId="14">'G4. Staff'!$C$171:$Q$191</definedName>
    <definedName name="Procuring_Goods_List" comment="">OFFSET('Input Data'!$O$2,0,0,COUNTA('Input Data'!$O$2:$O$152),1)</definedName>
    <definedName name="Proposition_Stage_List" comment="">OFFSET('Input Data'!$D$2,0,0,COUNTA('Input Data'!$D$2:$D$152),1)</definedName>
    <definedName name="Proposition_Stage_Table" comment="" localSheetId="3">OFFSET('G2. Cover Sheet'!$K$3,0,0,COUNTA('G2. Cover Sheet'!$E$3:$E$100),2)</definedName>
    <definedName name="Proposition_Stage_Value" comment="">'G2. Cover Sheet'!$C$6</definedName>
    <definedName name="Pupil_Support_Range" comment="" localSheetId="14">'G4. Staff'!$C$95:$Q$145</definedName>
    <definedName name="RetentionFactor" comment="" localSheetId="13">'Post 16 Ready Reckoner'!$F$12</definedName>
    <definedName name="School_Age_Independent_Table" comment="" localSheetId="5">OFFSET('G3. Budget'!$AK$3,0,0,COUNTA('G3. Budget'!$AK$3:$AK$300),54)</definedName>
    <definedName name="School_Type_Age_Range_Table" comment="" localSheetId="4">OFFSET('Pupil_Place Numbers'!$M$2,0,0,COUNTA('Pupil_Place Numbers'!$M$2:$M$228),28)</definedName>
    <definedName name="School_Type_List" comment="">OFFSET('Input Data'!$C$2,0,0,COUNTA('Input Data'!$C$2:$C$152),1)</definedName>
    <definedName name="School_Type_Prop_Stage_Table" comment="" localSheetId="5">OFFSET('G3. Budget'!$T$4,0,0,COUNTA('G3. Budget'!$T$4:$T$300),15)</definedName>
    <definedName name="School_Type_Table" comment="" localSheetId="2">OFFSET(Checklist!$F$2,0,0,COUNTA(Checklist!$F$2:$F$100),5)</definedName>
    <definedName name="School_Type_Table" comment="" localSheetId="1">OFFSET('G1. Guidance'!$F$4,0,0,COUNTA('G1. Guidance'!$F$4:$F$100),5)</definedName>
    <definedName name="School_Type_Table" comment="" localSheetId="3">OFFSET('G2. Cover Sheet'!$E$3,0,0,COUNTA('G2. Cover Sheet'!$E$3:$E$100),5)</definedName>
    <definedName name="School_Type_Value" comment="">'G2. Cover Sheet'!$C$4</definedName>
    <definedName name="SchoolPhase" comment="">'Input Data'!$AZ$2:$AZ$9</definedName>
    <definedName name="SEN1_List" comment="">OFFSET('Input Data'!$K$2,0,0,COUNTA('Input Data'!$K$2:$K$152),1)</definedName>
    <definedName name="SEN1_Value" comment="">'G2. Cover Sheet'!$C$29</definedName>
    <definedName name="SEN2_List" comment="">OFFSET('Input Data'!$L$2,0,0,COUNTA('Input Data'!$L$2:$L$152),1)</definedName>
    <definedName name="SEN2_Value" comment="">'G2. Cover Sheet'!$C$31</definedName>
    <definedName name="SEN3_List" comment="">OFFSET('Input Data'!$M$2,0,0,COUNTA('Input Data'!$M$2:$M$152),1)</definedName>
    <definedName name="SEN3_Value" comment="">'G2. Cover Sheet'!$C$33</definedName>
    <definedName name="SEN4_List" comment="">OFFSET('Input Data'!$N$2,0,0,COUNTA('Input Data'!$N$2:$N$152),1)</definedName>
    <definedName name="SEN4_Value" comment="">'G2. Cover Sheet'!$C$35</definedName>
    <definedName name="SLT_Range" comment="" localSheetId="14">'G4. Staff'!$C$19:$Q$29</definedName>
    <definedName name="Students" comment="" localSheetId="13">'Post 16 Ready Reckoner'!$B$14</definedName>
    <definedName name="Teaching_Range" comment="" localSheetId="14">'G4. Staff'!$C$32:$Q$92</definedName>
    <definedName name="TotalDisadvantageFunding" comment="" localSheetId="13">'Post 16 Ready Reckoner'!$O$33</definedName>
    <definedName name="TotBlock1" comment="" localSheetId="13">'Post 16 Ready Reckoner'!$O$28</definedName>
    <definedName name="TotBlock2" comment="" localSheetId="13">'Post 16 Ready Reckoner'!$N$31</definedName>
    <definedName name="Version_List" comment="">OFFSET('Input Data'!$R$2,0,0,COUNTA('Input Data'!$R$2:$R$152),1)</definedName>
    <definedName name="Z_69DF4FD3_AB0D_4C57_A9F6_19D11503FACC_.wvu.FilterData" comment="" localSheetId="2" hidden="1">Checklist!$F$2:$J$46</definedName>
    <definedName name="Z_69DF4FD3_AB0D_4C57_A9F6_19D11503FACC_.wvu.FilterData" comment="" localSheetId="1" hidden="1">'G1. Guidance'!$F$4:$J$29</definedName>
    <definedName name="Z_69DF4FD3_AB0D_4C57_A9F6_19D11503FACC_.wvu.FilterData" comment="" localSheetId="3" hidden="1">'G2. Cover Sheet'!$E$3:$L$39</definedName>
    <definedName name="Z_69DF4FD3_AB0D_4C57_A9F6_19D11503FACC_.wvu.FilterData" comment="" localSheetId="5" hidden="1">'G3. Budget'!$S$5:$CO$239</definedName>
    <definedName name="Z_69DF4FD3_AB0D_4C57_A9F6_19D11503FACC_.wvu.Rows" comment="" localSheetId="14" hidden="1">'G4. Staff'!$318:$1048576,'G4. Staff'!$253:$314</definedName>
    <definedName name="Z_9AEAAC06_83C6_4BFC_B9DE_F7E40C0DCCB4_.wvu.FilterData" comment="" localSheetId="2" hidden="1">Checklist!$F$2:$J$46</definedName>
    <definedName name="Z_9AEAAC06_83C6_4BFC_B9DE_F7E40C0DCCB4_.wvu.FilterData" comment="" localSheetId="1" hidden="1">'G1. Guidance'!$F$4:$J$29</definedName>
    <definedName name="Z_9AEAAC06_83C6_4BFC_B9DE_F7E40C0DCCB4_.wvu.FilterData" comment="" localSheetId="3" hidden="1">'G2. Cover Sheet'!$E$3:$L$39</definedName>
    <definedName name="Z_9AEAAC06_83C6_4BFC_B9DE_F7E40C0DCCB4_.wvu.FilterData" comment="" localSheetId="5" hidden="1">'G3. Budget'!$S$5:$CO$239</definedName>
    <definedName name="Z_9AEAAC06_83C6_4BFC_B9DE_F7E40C0DCCB4_.wvu.Rows" comment="" localSheetId="14" hidden="1">'G4. Staff'!$318:$1048576,'G4. Staff'!$253:$314</definedName>
  </definedNames>
  <calcPr fullPrecision="1" calcId="191029"/>
  <customWorkbookViews>
    <customWorkbookView name="TAYLOR, Richard - Personal View" guid="{9AEAAC06-83C6-4BFC-B9DE-F7E40C0DCCB4}" mergeInterval="0" personalView="1" maximized="1" xWindow="-8" yWindow="-8" windowWidth="1936" windowHeight="1056" activeSheetId="16"/>
    <customWorkbookView name="AHMED, Afzaal - Personal View" guid="{69DF4FD3-AB0D-4C57-A9F6-19D11503FACC}" autoUpdate="1" mergeInterval="30" personalView="1" maximized="1" xWindow="5987" yWindow="-13" windowWidth="3866" windowHeight="210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authors>
    <author>Ann Ridley</author>
  </authors>
  <commentList>
    <comment ref="A3" authorId="0">
      <text>
        <r>
          <t/>
        </r>
        <r>
          <rPr>
            <b/>
            <sz val="9"/>
            <color indexed="81"/>
            <rFont val="Tahoma"/>
            <family val="2"/>
            <charset val="0"/>
          </rPr>
          <t xml:space="preserve">Abbreviated format cannot be accepted.  </t>
        </r>
        <r>
          <rPr>
            <sz val="9"/>
            <color indexed="81"/>
            <rFont val="Tahoma"/>
            <family val="2"/>
            <charset val="0"/>
          </rPr>
          <t xml:space="preserve">
</t>
        </r>
      </text>
    </comment>
  </commentList>
</comments>
</file>

<file path=xl/sharedStrings.xml><?xml version="1.0" encoding="utf-8"?>
<sst xmlns="http://schemas.openxmlformats.org/spreadsheetml/2006/main" uniqueCount="1367" count="12244">
  <si>
    <t>AP</t>
  </si>
  <si>
    <t>Mainstream</t>
  </si>
  <si>
    <t>Special</t>
  </si>
  <si>
    <t>UTC</t>
  </si>
  <si>
    <t>Purpose</t>
  </si>
  <si>
    <t>Hide</t>
  </si>
  <si>
    <t>Show</t>
  </si>
  <si>
    <t>Overview</t>
  </si>
  <si>
    <t>Grey cells</t>
  </si>
  <si>
    <t>Contain headings and highlight important information</t>
  </si>
  <si>
    <t>White cells</t>
  </si>
  <si>
    <t>Contain 'answers':  the results of the decisions you are making</t>
  </si>
  <si>
    <t>Green Cells</t>
  </si>
  <si>
    <t>Yellow cells</t>
  </si>
  <si>
    <t>Contain information and guidance to help you complete your budget. These show numbers (#) percentages (%) or monetary amounts (£).</t>
  </si>
  <si>
    <t>Red cells</t>
  </si>
  <si>
    <t>Blue cells</t>
  </si>
  <si>
    <t>Cover sheet</t>
  </si>
  <si>
    <t>Budget</t>
  </si>
  <si>
    <t>Pre-16 ready-reckoner</t>
  </si>
  <si>
    <t>Post-16 ready-reckoner</t>
  </si>
  <si>
    <t>Staff</t>
  </si>
  <si>
    <t>Summary</t>
  </si>
  <si>
    <t>General check</t>
  </si>
  <si>
    <t>Have you communicated to the Department whether you require Risk Protection Arrangements or not?</t>
  </si>
  <si>
    <t>Has the person in charge of procurement read the Academies Financial Handbook?</t>
  </si>
  <si>
    <t>If the school will be in a Single Academy Trust, does the Principal Designate understand their role as Accounting Officer?</t>
  </si>
  <si>
    <t>‘G2. Cover sheet’ tab</t>
  </si>
  <si>
    <t>Has every field been completed correctly?</t>
  </si>
  <si>
    <t>‘G3. Budget’ tab</t>
  </si>
  <si>
    <t>Assumptions: Do assumptions explain your costs/income per pupil and what benchmarking data you used?</t>
  </si>
  <si>
    <t>Have you included income and expenditure relating to school uniforms/school trips/enrichment activities? Even if these are provided at net zero cost, income and expenditure should be included in the financial plan.</t>
  </si>
  <si>
    <t>Where a multi-academy trust charges a management fee, have you included in the assumptions what specific services are being provided?</t>
  </si>
  <si>
    <t>‘Pre-16 ready reckoner’ tab</t>
  </si>
  <si>
    <t>‘G4. Staff’ tab</t>
  </si>
  <si>
    <t>‘G5. Summary’ tab</t>
  </si>
  <si>
    <r>
      <t xml:space="preserve">‘Post-16 ready reckoner’ tab </t>
    </r>
    <r>
      <rPr>
        <sz val="10"/>
        <color indexed="8"/>
        <rFont val="Arial"/>
        <family val="2"/>
        <charset val="0"/>
      </rPr>
      <t>(if applicable)</t>
    </r>
  </si>
  <si>
    <t>Proposition stage</t>
  </si>
  <si>
    <t>Local authority area</t>
  </si>
  <si>
    <t xml:space="preserve">Region </t>
  </si>
  <si>
    <t>Proposed opening date</t>
  </si>
  <si>
    <t>Capacity when full</t>
  </si>
  <si>
    <t>Commissioners</t>
  </si>
  <si>
    <t>SEN designation 1</t>
  </si>
  <si>
    <t>SEN designation 2</t>
  </si>
  <si>
    <t>SEN designation 3</t>
  </si>
  <si>
    <t>SEN designation 4</t>
  </si>
  <si>
    <t>Procuring goods or services from connected bodies</t>
  </si>
  <si>
    <t>Independent School</t>
  </si>
  <si>
    <t>Insurance: Risk Protection Arrangement Opt In</t>
  </si>
  <si>
    <t>Version</t>
  </si>
  <si>
    <t>Post</t>
  </si>
  <si>
    <t>FTE salary</t>
  </si>
  <si>
    <t>Allowances</t>
  </si>
  <si>
    <t>Pension rate</t>
  </si>
  <si>
    <t>Number (enter 1 if employed full-time in this year, 0.5 if half-time, etc.)</t>
  </si>
  <si>
    <t xml:space="preserve">Assumption, rationale and notes </t>
  </si>
  <si>
    <t>Total cost of post</t>
  </si>
  <si>
    <t>Examples</t>
  </si>
  <si>
    <t>Headteacher</t>
  </si>
  <si>
    <t>Head of English</t>
  </si>
  <si>
    <t>4 days a week for first two years</t>
  </si>
  <si>
    <t>Caretaker</t>
  </si>
  <si>
    <t>2.5 days a week from Y2 and FT from Y3</t>
  </si>
  <si>
    <t>SLT</t>
  </si>
  <si>
    <t>Staff 1</t>
  </si>
  <si>
    <t>Staff 2</t>
  </si>
  <si>
    <t>Staff 3</t>
  </si>
  <si>
    <t>Staff 4</t>
  </si>
  <si>
    <t>Staff 5</t>
  </si>
  <si>
    <t>Staff 6</t>
  </si>
  <si>
    <t>Staff 7</t>
  </si>
  <si>
    <t>Staff 8</t>
  </si>
  <si>
    <t>Staff 9</t>
  </si>
  <si>
    <t>Staff 10</t>
  </si>
  <si>
    <t>Staff 11</t>
  </si>
  <si>
    <t>Staff 12</t>
  </si>
  <si>
    <t>Staff 13</t>
  </si>
  <si>
    <t>Staff 14</t>
  </si>
  <si>
    <t>Staff 15</t>
  </si>
  <si>
    <t>Staff 16</t>
  </si>
  <si>
    <t>Staff 17</t>
  </si>
  <si>
    <t>Staff 18</t>
  </si>
  <si>
    <t>Staff 19</t>
  </si>
  <si>
    <t>Staff 20</t>
  </si>
  <si>
    <t>Teaching</t>
  </si>
  <si>
    <t>Staff 21</t>
  </si>
  <si>
    <t>Staff 22</t>
  </si>
  <si>
    <t>Staff 23</t>
  </si>
  <si>
    <t>Staff 24</t>
  </si>
  <si>
    <t>Staff 25</t>
  </si>
  <si>
    <t>Staff 26</t>
  </si>
  <si>
    <t>Staff 27</t>
  </si>
  <si>
    <t>Staff 28</t>
  </si>
  <si>
    <t>Staff 29</t>
  </si>
  <si>
    <t>Staff 30</t>
  </si>
  <si>
    <t>Staff 31</t>
  </si>
  <si>
    <t>Staff 32</t>
  </si>
  <si>
    <t>Staff 33</t>
  </si>
  <si>
    <t>Staff 34</t>
  </si>
  <si>
    <t>Staff 35</t>
  </si>
  <si>
    <t>Staff 36</t>
  </si>
  <si>
    <t>Staff 37</t>
  </si>
  <si>
    <t>Staff 38</t>
  </si>
  <si>
    <t>Staff 39</t>
  </si>
  <si>
    <t>Staff 40</t>
  </si>
  <si>
    <t>Staff 41</t>
  </si>
  <si>
    <t>Staff 42</t>
  </si>
  <si>
    <t>Staff 43</t>
  </si>
  <si>
    <t>Staff 44</t>
  </si>
  <si>
    <t>Staff 45</t>
  </si>
  <si>
    <t>Staff 46</t>
  </si>
  <si>
    <t>Staff 47</t>
  </si>
  <si>
    <t>Staff 48</t>
  </si>
  <si>
    <t>Staff 49</t>
  </si>
  <si>
    <t>Staff 50</t>
  </si>
  <si>
    <t>Staff 51</t>
  </si>
  <si>
    <t>Staff 52</t>
  </si>
  <si>
    <t>Staff 53</t>
  </si>
  <si>
    <t>Staff 54</t>
  </si>
  <si>
    <t>Staff 55</t>
  </si>
  <si>
    <t>Staff 56</t>
  </si>
  <si>
    <t>Staff 57</t>
  </si>
  <si>
    <t>Staff 58</t>
  </si>
  <si>
    <t>Staff 59</t>
  </si>
  <si>
    <t>Staff 60</t>
  </si>
  <si>
    <t>Pupil support</t>
  </si>
  <si>
    <t>Administrative</t>
  </si>
  <si>
    <t>Premises</t>
  </si>
  <si>
    <t>Catering</t>
  </si>
  <si>
    <t>Other</t>
  </si>
  <si>
    <t>Total</t>
  </si>
  <si>
    <t>Total number of staff</t>
  </si>
  <si>
    <t>Total costs including Pension and NI</t>
  </si>
  <si>
    <t>Indicator</t>
  </si>
  <si>
    <t>(£)</t>
  </si>
  <si>
    <t>(%)</t>
  </si>
  <si>
    <t>(#)</t>
  </si>
  <si>
    <t>SEN Designation 1</t>
  </si>
  <si>
    <t>SEN Designation 2</t>
  </si>
  <si>
    <t>SEN Designation 3</t>
  </si>
  <si>
    <t>SEN Designation 4</t>
  </si>
  <si>
    <t>Specific Learning Difficulty (SpLD)</t>
  </si>
  <si>
    <t>Moderate Learning Difficulty (MLD)</t>
  </si>
  <si>
    <t>Severe Learning Difficulty (SLD)</t>
  </si>
  <si>
    <t>Profound and Multiple Learning Difficulty (PMLD)</t>
  </si>
  <si>
    <t>Behaviour, Emotional and Social Difficulty (BESD)</t>
  </si>
  <si>
    <t>Speech, Language and Communication Needs (SLCN)</t>
  </si>
  <si>
    <t>Autistic Spectrum Disorder (ASD)</t>
  </si>
  <si>
    <t>Visual Impairment (VI)</t>
  </si>
  <si>
    <t>Hearing Impairment (HI)</t>
  </si>
  <si>
    <t>Multi-Sensory Impairment (MSI)</t>
  </si>
  <si>
    <t>Physical Disability (PD)</t>
  </si>
  <si>
    <t>School type</t>
  </si>
  <si>
    <t>Completed by</t>
  </si>
  <si>
    <t>Proposition Stage</t>
  </si>
  <si>
    <t>Applicant Group</t>
  </si>
  <si>
    <t>Approved to Pre Opening Group</t>
  </si>
  <si>
    <t>Proposed Opening Date</t>
  </si>
  <si>
    <t>Age Range</t>
  </si>
  <si>
    <t>Primary</t>
  </si>
  <si>
    <t>Secondary (11-16)</t>
  </si>
  <si>
    <t>Secondary (11-18)</t>
  </si>
  <si>
    <t>All-Through (4-16)</t>
  </si>
  <si>
    <t>All-Through (4-18)</t>
  </si>
  <si>
    <t>16-19 School</t>
  </si>
  <si>
    <t>Full Capacity</t>
  </si>
  <si>
    <t>Lowest Viable Number</t>
  </si>
  <si>
    <t>Yes</t>
  </si>
  <si>
    <t>No</t>
  </si>
  <si>
    <t>LA Name</t>
  </si>
  <si>
    <t>Region</t>
  </si>
  <si>
    <t>Barking and Dagenham</t>
  </si>
  <si>
    <t>Outer London</t>
  </si>
  <si>
    <t>Barnet</t>
  </si>
  <si>
    <t>Barnsley</t>
  </si>
  <si>
    <t>Yorkshire and the Humber</t>
  </si>
  <si>
    <t>Bath and North East Somerset</t>
  </si>
  <si>
    <t>South West</t>
  </si>
  <si>
    <t>Bedford Borough</t>
  </si>
  <si>
    <t>East of England</t>
  </si>
  <si>
    <t>Bexley</t>
  </si>
  <si>
    <t>Birmingham</t>
  </si>
  <si>
    <t>West Midlands</t>
  </si>
  <si>
    <t>Blackburn with Darwen</t>
  </si>
  <si>
    <t>North West</t>
  </si>
  <si>
    <t>Blackpool</t>
  </si>
  <si>
    <t>Bolton</t>
  </si>
  <si>
    <t>Bracknell Forest</t>
  </si>
  <si>
    <t>South East</t>
  </si>
  <si>
    <t>Bradford</t>
  </si>
  <si>
    <t>Brent</t>
  </si>
  <si>
    <t>Brighton and Hove</t>
  </si>
  <si>
    <t>Bristol</t>
  </si>
  <si>
    <t>Bromley</t>
  </si>
  <si>
    <t>Buckinghamshire</t>
  </si>
  <si>
    <t>Bury</t>
  </si>
  <si>
    <t>Calderdale</t>
  </si>
  <si>
    <t>Cambridgeshire</t>
  </si>
  <si>
    <t>Camden</t>
  </si>
  <si>
    <t>Inner London</t>
  </si>
  <si>
    <t>Central Bedfordshire</t>
  </si>
  <si>
    <t>Cheshire East</t>
  </si>
  <si>
    <t>City of London</t>
  </si>
  <si>
    <t>Cornwall</t>
  </si>
  <si>
    <t>Coventry</t>
  </si>
  <si>
    <t>Croydon</t>
  </si>
  <si>
    <t>Cumbria</t>
  </si>
  <si>
    <t>Darlington</t>
  </si>
  <si>
    <t>North East</t>
  </si>
  <si>
    <t>Derby</t>
  </si>
  <si>
    <t>East Midlands</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</si>
  <si>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</si>
  <si>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</si>
  <si>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</si>
  <si>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</si>
  <si>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</si>
  <si>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</si>
  <si>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</si>
  <si>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</si>
  <si>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</si>
  <si>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</si>
  <si>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</si>
  <si>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</si>
  <si>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</si>
  <si>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</si>
  <si>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</si>
  <si>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</si>
  <si>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</si>
  <si>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</si>
  <si>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</si>
  <si>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</si>
  <si>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</si>
  <si>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</si>
  <si>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</si>
  <si>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</si>
  <si>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</si>
  <si>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</si>
  <si>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</si>
  <si>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</si>
  <si>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</si>
  <si>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</si>
  <si>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</si>
  <si>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</si>
  <si>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</si>
  <si>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</si>
  <si>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</si>
  <si>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</si>
  <si>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</si>
  <si>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</si>
  <si>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</si>
  <si>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</si>
  <si>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</si>
  <si>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</si>
  <si>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</si>
  <si>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</si>
  <si>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</si>
  <si>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</si>
  <si>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</si>
  <si>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</si>
  <si>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</si>
  <si>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</si>
  <si>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</si>
  <si>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</si>
  <si>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</si>
  <si>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</si>
  <si>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</si>
  <si>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</si>
  <si>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</si>
  <si>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</si>
  <si>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</si>
  <si>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</si>
  <si>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</si>
  <si>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</si>
  <si>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</si>
  <si>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</si>
  <si>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</si>
  <si>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</si>
  <si>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</si>
  <si>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</si>
  <si>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</si>
  <si>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</si>
  <si>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</si>
  <si>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</si>
  <si>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</si>
  <si>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</si>
  <si>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</si>
  <si>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</si>
  <si>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</si>
  <si>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</si>
  <si>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</si>
  <si>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</si>
  <si>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</si>
  <si>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</si>
  <si>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</si>
  <si>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</si>
  <si>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</si>
  <si>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</si>
  <si>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</si>
  <si>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</si>
  <si>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</si>
  <si>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</si>
  <si>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</si>
  <si>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</si>
  <si>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</si>
  <si>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</si>
  <si>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</si>
  <si>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</si>
  <si>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</si>
  <si>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</si>
  <si>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</si>
  <si>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</si>
  <si>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</si>
  <si>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</si>
  <si>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</si>
  <si>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</si>
  <si>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</si>
  <si>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</si>
  <si>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</si>
  <si>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</si>
  <si>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</si>
  <si>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</si>
  <si>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</si>
  <si>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</si>
  <si>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</si>
  <si>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</si>
  <si>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</si>
  <si>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</si>
  <si>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</si>
  <si>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</si>
  <si>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</si>
  <si>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School Type</t>
  </si>
  <si>
    <t>SECTION 1 - FTE places</t>
  </si>
  <si>
    <t>Key Stage 1 FTE places</t>
  </si>
  <si>
    <t>Key Stage 2 FTE places</t>
  </si>
  <si>
    <t>Key Stage 3 FTE places</t>
  </si>
  <si>
    <t>Key Stage 4 FTE places</t>
  </si>
  <si>
    <t>KS1 average top-up fee per FTE place</t>
  </si>
  <si>
    <t>KS2 average top-up fee per FTE place</t>
  </si>
  <si>
    <t>KS3 average top-up fee per FTE place</t>
  </si>
  <si>
    <t>KS4 average top-up fee per FTE place</t>
  </si>
  <si>
    <t>16-19</t>
  </si>
  <si>
    <t>16-19 FTE ESFA-funded places</t>
  </si>
  <si>
    <t>(of which) 16-19 high-needs pupils</t>
  </si>
  <si>
    <t>16-19 FTE commissioner-led places</t>
  </si>
  <si>
    <t>Average fee per 16-19 FTE commissioner-led place</t>
  </si>
  <si>
    <t>SECTION 1 - Pupil numbers</t>
  </si>
  <si>
    <t>Reception Pupils</t>
  </si>
  <si>
    <t>Secondary pupils, pre-16 (KS3)</t>
  </si>
  <si>
    <t>Secondary pupils, pre-16 (KS4)</t>
  </si>
  <si>
    <t>Secondary pupils, pre-16 (year 7)</t>
  </si>
  <si>
    <t>Number of Year Groups Present - Reception to Year 11</t>
  </si>
  <si>
    <t/>
  </si>
  <si>
    <t>Primary - places</t>
  </si>
  <si>
    <t>Secondary - places</t>
  </si>
  <si>
    <t>Primary - top-up funding per place</t>
  </si>
  <si>
    <t>Secondary - top-up funding per place</t>
  </si>
  <si>
    <t>Secondary pupils (KS4)</t>
  </si>
  <si>
    <t>Post 16 pupils</t>
  </si>
  <si>
    <t>Foundation Degrees</t>
  </si>
  <si>
    <t>Number of apprenticeships</t>
  </si>
  <si>
    <t>Number of FTE apprenticeships</t>
  </si>
  <si>
    <t>SECTION 2 - Income</t>
  </si>
  <si>
    <t>Indicative schools block core funding</t>
  </si>
  <si>
    <t>Pre-16 Total</t>
  </si>
  <si>
    <t>Basic entitlement (Factor 1)</t>
  </si>
  <si>
    <t>Deprivation (Factor 2)</t>
  </si>
  <si>
    <t>Other pupil-led (Factor 3-6)</t>
  </si>
  <si>
    <t>Lump sum (Factor 7)</t>
  </si>
  <si>
    <t>Total schools block funding</t>
  </si>
  <si>
    <t xml:space="preserve">Primary </t>
  </si>
  <si>
    <t>Secondary</t>
  </si>
  <si>
    <t>16-19 high-needs pupils</t>
  </si>
  <si>
    <t>16-19 commissioner-led places</t>
  </si>
  <si>
    <t>Post-16 total funding</t>
  </si>
  <si>
    <t>Total indicative core funding</t>
  </si>
  <si>
    <t xml:space="preserve">Indicative Pupil Premium funding total </t>
  </si>
  <si>
    <t>Sponsorship</t>
  </si>
  <si>
    <t>Rental to community groups</t>
  </si>
  <si>
    <t>Apprenticeships</t>
  </si>
  <si>
    <t>Carry forward of Project Development Grant</t>
  </si>
  <si>
    <t>Post-opening grant</t>
  </si>
  <si>
    <t>Non staffing resources grant</t>
  </si>
  <si>
    <t>Leadership grant</t>
  </si>
  <si>
    <t>Total post-opening funding</t>
  </si>
  <si>
    <t>Total income</t>
  </si>
  <si>
    <t>Total income (70% recruitment - for sensitivity analysis)</t>
  </si>
  <si>
    <t>SECTION 3 - Expenditure</t>
  </si>
  <si>
    <r>
      <t xml:space="preserve">Staff salaries </t>
    </r>
    <r>
      <rPr>
        <sz val="10"/>
        <color indexed="8"/>
        <rFont val="Arial"/>
        <family val="2"/>
        <charset val="0"/>
      </rPr>
      <t>(entered on staffing tab - tab 4)</t>
    </r>
  </si>
  <si>
    <t>Total SLT</t>
  </si>
  <si>
    <t>Total teaching</t>
  </si>
  <si>
    <t>Total pupil support</t>
  </si>
  <si>
    <t>Total administrative</t>
  </si>
  <si>
    <t>Total premises</t>
  </si>
  <si>
    <t>Total catering</t>
  </si>
  <si>
    <t>Total other</t>
  </si>
  <si>
    <t>Other staff costs</t>
  </si>
  <si>
    <t xml:space="preserve">     Supply teachers (total cost)</t>
  </si>
  <si>
    <t>Employee expenses (total cost)</t>
  </si>
  <si>
    <t>Development and training (total cost)</t>
  </si>
  <si>
    <t>Recruitment (total cost)</t>
  </si>
  <si>
    <t>Other staff costs 1</t>
  </si>
  <si>
    <t>Other staff costs 2</t>
  </si>
  <si>
    <t>Other staff costs 3</t>
  </si>
  <si>
    <t>Other staff costs 4</t>
  </si>
  <si>
    <t>Other staff costs 5</t>
  </si>
  <si>
    <t>Other staff costs 6</t>
  </si>
  <si>
    <t>Other staff costs 7</t>
  </si>
  <si>
    <t>Other staff costs 8</t>
  </si>
  <si>
    <t>Other staff costs 9</t>
  </si>
  <si>
    <t>Buildings maintenance and improvement</t>
  </si>
  <si>
    <t>Grounds maintenance and improvement</t>
  </si>
  <si>
    <t>Cleaning and caretaking</t>
  </si>
  <si>
    <t>Water and sewerage</t>
  </si>
  <si>
    <t>Energy</t>
  </si>
  <si>
    <t>Rates</t>
  </si>
  <si>
    <t>Other premises costs 1 (please specify)</t>
  </si>
  <si>
    <t>Other premises costs 2 (please specify)</t>
  </si>
  <si>
    <t>Other premises costs 3 (please specify)</t>
  </si>
  <si>
    <t>Other premises costs 4 (please specify)</t>
  </si>
  <si>
    <t>Educational resources</t>
  </si>
  <si>
    <t>Learning resources - Not ICT</t>
  </si>
  <si>
    <t>ICT learning resources</t>
  </si>
  <si>
    <t>Exam fees</t>
  </si>
  <si>
    <t>Administrative supplies</t>
  </si>
  <si>
    <t>Other education resources 1</t>
  </si>
  <si>
    <t>Other education resources 2</t>
  </si>
  <si>
    <t>Other education resources 3</t>
  </si>
  <si>
    <t>Other education resources 4</t>
  </si>
  <si>
    <t>Professional services</t>
  </si>
  <si>
    <t>Legal</t>
  </si>
  <si>
    <t>Auditing</t>
  </si>
  <si>
    <t>Marketing</t>
  </si>
  <si>
    <t>Other professional services 1 (please specify)</t>
  </si>
  <si>
    <t>Other professional services 2 (please specify)</t>
  </si>
  <si>
    <t>Other (including any planned outsourced costs)</t>
  </si>
  <si>
    <t>Insurance: RPA</t>
  </si>
  <si>
    <t>Insurance</t>
  </si>
  <si>
    <t>Contingency</t>
  </si>
  <si>
    <t>Other costs 1</t>
  </si>
  <si>
    <t>Other costs 2</t>
  </si>
  <si>
    <t>Other costs 3</t>
  </si>
  <si>
    <t>Other costs 4</t>
  </si>
  <si>
    <t>Other costs 5</t>
  </si>
  <si>
    <t>Other costs 6</t>
  </si>
  <si>
    <t>Other costs 7</t>
  </si>
  <si>
    <t>Other costs 8</t>
  </si>
  <si>
    <t>Other costs 9</t>
  </si>
  <si>
    <t>Other costs 10</t>
  </si>
  <si>
    <t>Other costs 11</t>
  </si>
  <si>
    <t>Other costs 12</t>
  </si>
  <si>
    <t>Other costs 13</t>
  </si>
  <si>
    <t>Total expenditure</t>
  </si>
  <si>
    <t>Annual surplus / deficit (+ve figure = surplus)</t>
  </si>
  <si>
    <t>Annual surplus / deficit as % total income</t>
  </si>
  <si>
    <t xml:space="preserve">Cumulative surplus / deficit </t>
  </si>
  <si>
    <t xml:space="preserve">Completed </t>
  </si>
  <si>
    <t>Comments</t>
  </si>
  <si>
    <t>Budget line</t>
  </si>
  <si>
    <t>Finance Plan Checklist</t>
  </si>
  <si>
    <t>Reception</t>
  </si>
  <si>
    <t>Year 1</t>
  </si>
  <si>
    <t>Year 2</t>
  </si>
  <si>
    <t>Year 3</t>
  </si>
  <si>
    <t>Year 4</t>
  </si>
  <si>
    <t>Year 5</t>
  </si>
  <si>
    <t>Year 6</t>
  </si>
  <si>
    <t>Year 7</t>
  </si>
  <si>
    <t>Year 8</t>
  </si>
  <si>
    <t>Year 9</t>
  </si>
  <si>
    <t>Year 10</t>
  </si>
  <si>
    <t>Year 11</t>
  </si>
  <si>
    <t>Year 12</t>
  </si>
  <si>
    <t>Year 13</t>
  </si>
  <si>
    <t>These figures should be used to help you complete section G3 of your application form.</t>
  </si>
  <si>
    <t>Empty cohorts</t>
  </si>
  <si>
    <t>MAX</t>
  </si>
  <si>
    <t>Please Select</t>
  </si>
  <si>
    <t>14-19</t>
  </si>
  <si>
    <t>Please refer to the Schools Financial Benchmarking website</t>
  </si>
  <si>
    <t>Checklist</t>
  </si>
  <si>
    <t>LA Number</t>
  </si>
  <si>
    <t>Surpluses / Deficits</t>
  </si>
  <si>
    <t>In year surplus or deficit (all income)</t>
  </si>
  <si>
    <t>=Total income-Total expenditure</t>
  </si>
  <si>
    <t>In year surplus or deficit as % of income (all income)</t>
  </si>
  <si>
    <t>=(Total income-Total expenditure)/Total income</t>
  </si>
  <si>
    <t>In year surplus or deficit (excluding 'other income')</t>
  </si>
  <si>
    <t>=Total income-Other income total-Total expenditure</t>
  </si>
  <si>
    <t>In year surplus or deficit as % of income (excluding 'other income')</t>
  </si>
  <si>
    <t>=(Total income-Other income total-Total expenditure)/(Total income-Other income total)</t>
  </si>
  <si>
    <t>Cumulative surplus or deficit (all income)</t>
  </si>
  <si>
    <t>Take from budget sheet</t>
  </si>
  <si>
    <t>Cumulative surplus or deficit (excluding 'other income')</t>
  </si>
  <si>
    <t>From budget sheet - other income</t>
  </si>
  <si>
    <t>Income summary</t>
  </si>
  <si>
    <t>Total income per pupil (Grant and other)</t>
  </si>
  <si>
    <t>=Total income/Total pupil numbers</t>
  </si>
  <si>
    <t>Total grant income per pupil (excluding 'other income')</t>
  </si>
  <si>
    <t>=(Total income-Other income total)/Total pupil numbers</t>
  </si>
  <si>
    <t>=Other income total/total income</t>
  </si>
  <si>
    <t>Key Staff Ratios</t>
  </si>
  <si>
    <t>=Total pupil numbers/Total staff</t>
  </si>
  <si>
    <t>=Total pupil numbers/sum(Total SLT:Total teaching)</t>
  </si>
  <si>
    <t>Expenditure summary</t>
  </si>
  <si>
    <t>Total expenditure per pupil</t>
  </si>
  <si>
    <t>=Total expenditure/Total pupil numbers</t>
  </si>
  <si>
    <t>All staff expenditure per pupil</t>
  </si>
  <si>
    <t>=SUM(Total staff salaries:Total other staff costs)/Total pupil numbers</t>
  </si>
  <si>
    <t>All non staff expenditure per pupil</t>
  </si>
  <si>
    <t>=(Total expenditure-SUM(Total staff salaries:Total other staff costs))/Total pupil numbers</t>
  </si>
  <si>
    <t>Proportion of total expenditure on staff</t>
  </si>
  <si>
    <t>=SUM(Total staff salaries:Other staff costs)/Total expenditure</t>
  </si>
  <si>
    <t>Proportion of total expenditure on SLT and teaching staff pay</t>
  </si>
  <si>
    <t>=SUM(Total SLT salaries:Total teaching salaries)/Total expenditure</t>
  </si>
  <si>
    <t>Proportion of total expenditure on pupil support staff pay</t>
  </si>
  <si>
    <t>=Total pupil support salaries/Total expenditure</t>
  </si>
  <si>
    <t>Proportion of total expenditure on non-curriculum and other staff pay</t>
  </si>
  <si>
    <t>=Sum(Total administrative salaries:Total premises salaries:Total catering salaries:Total other salaries)/Total expenditure</t>
  </si>
  <si>
    <t>Proportion of total expenditure on non staff</t>
  </si>
  <si>
    <t>=(Total expenditure-sum(Total staff salaries:Total other staff costs))/Total expenditure</t>
  </si>
  <si>
    <t>Proportion of total expenditure on Premises</t>
  </si>
  <si>
    <t>=Premises total expenditure/Total expenditure</t>
  </si>
  <si>
    <t>Proportion of total expenditure on Educational Resources/Supplies</t>
  </si>
  <si>
    <t>=Total educational resources expenditure/Total expenditure</t>
  </si>
  <si>
    <t>Proportion of total expenditure on Professional Services and Other</t>
  </si>
  <si>
    <t>=Sum(Total professional services expenditure:Total other expenditure)/Total expenditure</t>
  </si>
  <si>
    <t>Average salaries</t>
  </si>
  <si>
    <t>Are you using any Integrated Curriculum and Financial Planning (ICFP) tools, and if so which (e.g. ASCL strategic planning workbook)?</t>
  </si>
  <si>
    <t>Have you included any carry over of PDG?</t>
  </si>
  <si>
    <t>Assumptions: Are assumptions included for each income/expenditure line?</t>
  </si>
  <si>
    <t>Are all differences from averages (highlighted in red) explained in the assumptions column in the ‘G3. Budget’ tab?</t>
  </si>
  <si>
    <t>Year 1 - 5 Pupils</t>
  </si>
  <si>
    <t>Year 6 Pupils</t>
  </si>
  <si>
    <t>Secondary pupils, pre-16 (year 8)</t>
  </si>
  <si>
    <t>Secondary pupils, pre-16 (years 9-11)</t>
  </si>
  <si>
    <t>Select School Type:</t>
  </si>
  <si>
    <t>Pupil Numbers</t>
  </si>
  <si>
    <t>Please include assumptions. E.g. Energy Costs are based on actual costs of the 3 nearest similar size schools</t>
  </si>
  <si>
    <t>Local Authority</t>
  </si>
  <si>
    <t>Code</t>
  </si>
  <si>
    <t>Territory</t>
  </si>
  <si>
    <t>Area Cost Factor</t>
  </si>
  <si>
    <t>Area Cost Factor 2</t>
  </si>
  <si>
    <t>Disadvantage Uplift %</t>
  </si>
  <si>
    <t>KEY</t>
  </si>
  <si>
    <t>GL</t>
  </si>
  <si>
    <t>South</t>
  </si>
  <si>
    <t>Institution Name:</t>
  </si>
  <si>
    <t>Pre-populated data</t>
  </si>
  <si>
    <t>ESFA Reference No.</t>
  </si>
  <si>
    <t>For user input</t>
  </si>
  <si>
    <t>YH</t>
  </si>
  <si>
    <t>North</t>
  </si>
  <si>
    <t>Local Authority:</t>
  </si>
  <si>
    <t>SW</t>
  </si>
  <si>
    <t>Central &amp; SW</t>
  </si>
  <si>
    <t>Total Funding:</t>
  </si>
  <si>
    <t>EE</t>
  </si>
  <si>
    <t>WM</t>
  </si>
  <si>
    <t>NATIONAL FUNDING RATE PER STUDENT</t>
  </si>
  <si>
    <t>NW</t>
  </si>
  <si>
    <t>Funding Factor</t>
  </si>
  <si>
    <t>X</t>
  </si>
  <si>
    <t>+</t>
  </si>
  <si>
    <t>From Table 2</t>
  </si>
  <si>
    <t>Funding Impact</t>
  </si>
  <si>
    <t>Baseline Funding</t>
  </si>
  <si>
    <t>SE</t>
  </si>
  <si>
    <t>Block 1</t>
  </si>
  <si>
    <t>2A</t>
  </si>
  <si>
    <t>Block 2</t>
  </si>
  <si>
    <t>2B</t>
  </si>
  <si>
    <t>2C</t>
  </si>
  <si>
    <t>Cheshire West and Chester</t>
  </si>
  <si>
    <t>NE</t>
  </si>
  <si>
    <t>EM</t>
  </si>
  <si>
    <t>Enter Your Pupil/ Place Numbers in the Table(s) Below</t>
  </si>
  <si>
    <t>* the cells above are part of the integrated RR and deal with calculation of future years funding based on estimated pupil numbers shown on the Budget sheet.</t>
  </si>
  <si>
    <t>Funding for Future Years Based on Estimated Pupil Numbers</t>
  </si>
  <si>
    <t>LA Code</t>
  </si>
  <si>
    <t>Local Authority Name</t>
  </si>
  <si>
    <t>Basic Entitlement Primary Amount Per Pupil</t>
  </si>
  <si>
    <t>Basic Entitlement KS3 Amount Per Pupil</t>
  </si>
  <si>
    <t>Basic Entitlement KS4 Amount Per Pupil</t>
  </si>
  <si>
    <t>FSM Primary Amount Per Pupil</t>
  </si>
  <si>
    <t>FSM Secondary Amount Per Pupil</t>
  </si>
  <si>
    <t>FSM Ever 6 Secondary Amount Per Pupil</t>
  </si>
  <si>
    <t>IDACI Primary F Amount Per Pupil</t>
  </si>
  <si>
    <t>IDACI Secondary F Amount Per Pupil</t>
  </si>
  <si>
    <t>IDACI Primary E Amount Per Pupil</t>
  </si>
  <si>
    <t>IDACI Secondary E Amount Per Pupil</t>
  </si>
  <si>
    <t>IDACI Primary D Amount Per Pupil</t>
  </si>
  <si>
    <t>IDACI Secondary D Amount Per Pupil</t>
  </si>
  <si>
    <t>IDACI Primary C Amount Per Pupil</t>
  </si>
  <si>
    <t>IDACI Secondary C Amount Per Pupil</t>
  </si>
  <si>
    <t>IDACI Primary B Amount Per Pupil</t>
  </si>
  <si>
    <t>IDACI Secondary B Amount Per Pupil</t>
  </si>
  <si>
    <t>IDACI Primary A Amount Per Pupil</t>
  </si>
  <si>
    <t>IDACI Secondary A Amount Per Pupil</t>
  </si>
  <si>
    <t>Looked After Children Amount Per Pupil</t>
  </si>
  <si>
    <t>EAL Primary 1/2/3/NA</t>
  </si>
  <si>
    <t>EAL Primary Amount Per Pupil</t>
  </si>
  <si>
    <t>EAL Secondary 1/2/3/NA</t>
  </si>
  <si>
    <t>EAL Secondary Amount Per Pupil</t>
  </si>
  <si>
    <t>Prior Attainment Primary Amount Per Pupil</t>
  </si>
  <si>
    <t>Secondary low attainment (year 7) weighting</t>
  </si>
  <si>
    <t>Secondary low attainment (year 8) weighting</t>
  </si>
  <si>
    <t>Prior Attainment Secondary Amount Per Pupil</t>
  </si>
  <si>
    <t>Primary Lump Sum</t>
  </si>
  <si>
    <t>Secondary Lump Sum</t>
  </si>
  <si>
    <t>Minimum Funding Guarantee Threshold</t>
  </si>
  <si>
    <t>NOR Y1-6</t>
  </si>
  <si>
    <t>NOR Y7</t>
  </si>
  <si>
    <t>NOR Y8</t>
  </si>
  <si>
    <t>Primary FSM Proportion</t>
  </si>
  <si>
    <t>Primary Ever 6 Proportion</t>
  </si>
  <si>
    <t>Secondary FSM Proportion</t>
  </si>
  <si>
    <t>Secondary Ever 6 Proportion</t>
  </si>
  <si>
    <t>IDACI Primary Proportion Band G</t>
  </si>
  <si>
    <t>IDACI Primary Proportion Band F</t>
  </si>
  <si>
    <t>IDACI Primary Proportion Band E</t>
  </si>
  <si>
    <t>IDACI Primary Proportion Band D</t>
  </si>
  <si>
    <t>IDACI Primary Proportion Band C</t>
  </si>
  <si>
    <t>IDACI Primary Proportion Band B</t>
  </si>
  <si>
    <t>IDACI Primary Proportion Band A</t>
  </si>
  <si>
    <t>IDACI Secondary Proportion Band G</t>
  </si>
  <si>
    <t>IDACI Secondary Proportion Band F</t>
  </si>
  <si>
    <t>IDACI Secondary Proportion Band E</t>
  </si>
  <si>
    <t>IDACI Secondary Proportion Band D</t>
  </si>
  <si>
    <t>IDACI Secondary Proportion Band C</t>
  </si>
  <si>
    <t>IDACI Secondary Proportion Band B</t>
  </si>
  <si>
    <t>IDACI Secondary Proportion Band A</t>
  </si>
  <si>
    <t>EAL 1 Primary Proportion</t>
  </si>
  <si>
    <t>EAL 2 Primary Proportion</t>
  </si>
  <si>
    <t>EAL 3 Primary Proportion</t>
  </si>
  <si>
    <t>EAL 1 Secondary Proportion</t>
  </si>
  <si>
    <t>EAL 2 Secondary Proportion</t>
  </si>
  <si>
    <t>EAL 3 Secondary Proportion</t>
  </si>
  <si>
    <t>LAC  X Proportion</t>
  </si>
  <si>
    <t>Mobility Primary Proportion</t>
  </si>
  <si>
    <t>Mobility Secondary Proportion</t>
  </si>
  <si>
    <t>Low Attainment Y1-5 weighting factor</t>
  </si>
  <si>
    <t>Weighted COMBINED: Low attainment Y1-5 Proportion under new EYFSP, Low Attainment Y6 Proportion 73</t>
  </si>
  <si>
    <t>Weighted COMBINED: Low attainment Y1-5 Proportion under new EYFSP, Low Attainment Y6 Proportion 78</t>
  </si>
  <si>
    <t>N/A</t>
  </si>
  <si>
    <t>EAL 3 Primary</t>
  </si>
  <si>
    <t>EAL 3 Secondary</t>
  </si>
  <si>
    <t>EAL 1 Primary</t>
  </si>
  <si>
    <t>EAL 1 Secondary</t>
  </si>
  <si>
    <t>EAL 2 Primary</t>
  </si>
  <si>
    <t>EAL 2 Secondary</t>
  </si>
  <si>
    <t>Cheshire West And Chester</t>
  </si>
  <si>
    <t>Kingston</t>
  </si>
  <si>
    <t>Bath &amp; North East Somerset</t>
  </si>
  <si>
    <t>Bristol, City of</t>
  </si>
  <si>
    <t>Kingston Upon Hull, City of</t>
  </si>
  <si>
    <t>Bedford</t>
  </si>
  <si>
    <t>Southend-on-Sea</t>
  </si>
  <si>
    <t>East Cheshire</t>
  </si>
  <si>
    <t>LA Identifier</t>
  </si>
  <si>
    <t>Phase of School</t>
  </si>
  <si>
    <t>Funding for Schools Block Formula</t>
  </si>
  <si>
    <t>Pupil Led Factors</t>
  </si>
  <si>
    <t>1) Basic Entitlement
Age Weighted Pupil Unit (AWPU)</t>
  </si>
  <si>
    <t xml:space="preserve">Description </t>
  </si>
  <si>
    <t>Amount per pupil</t>
  </si>
  <si>
    <t>Pupil Units</t>
  </si>
  <si>
    <t xml:space="preserve">Sub Total </t>
  </si>
  <si>
    <t xml:space="preserve">Total </t>
  </si>
  <si>
    <t>Key Stage 3  (Year 7)</t>
  </si>
  <si>
    <t>Key Stage 4 (Years 10-11)</t>
  </si>
  <si>
    <t>2) Deprivation</t>
  </si>
  <si>
    <t xml:space="preserve">Primary amount per pupil </t>
  </si>
  <si>
    <t xml:space="preserve">Secondary amount per pupil </t>
  </si>
  <si>
    <t>Percentage of primary pupils eligible</t>
  </si>
  <si>
    <t>Percentage of secondary pupils eligible</t>
  </si>
  <si>
    <t>Primary LA Average</t>
  </si>
  <si>
    <t>Secondary LA Average</t>
  </si>
  <si>
    <t xml:space="preserve">Primary Sub Total </t>
  </si>
  <si>
    <t>Secondary 
Sub Total</t>
  </si>
  <si>
    <t>IDACI Band F (Score 0.20 - 0.25)</t>
  </si>
  <si>
    <t>IDACI Band E (Score 0.25 - 0.30)</t>
  </si>
  <si>
    <t>IDACI Band D (Score 0.30 - 0.35)</t>
  </si>
  <si>
    <t>IDACI Band C (Score 0.35 - 0.40)</t>
  </si>
  <si>
    <t>IDACI Band B (Score 0.40 - 0.50)</t>
  </si>
  <si>
    <t>IDACI Band A (Score 0.50 - 1.00)</t>
  </si>
  <si>
    <t>3) Looked After Children (LAC)</t>
  </si>
  <si>
    <t>4) English as an Additional Language (EAL)</t>
  </si>
  <si>
    <t>5) Mobility</t>
  </si>
  <si>
    <t>6) Prior attainment</t>
  </si>
  <si>
    <t>Percentage of primary and secondary pupils eligible respectively</t>
  </si>
  <si>
    <t>Other Factors</t>
  </si>
  <si>
    <t>Factor</t>
  </si>
  <si>
    <t>Lump Sum per Primary School (£)</t>
  </si>
  <si>
    <t>Lump Sum per Secondary School (£)</t>
  </si>
  <si>
    <t>Notes</t>
  </si>
  <si>
    <t>Total (£)</t>
  </si>
  <si>
    <t>7) Lump Sum</t>
  </si>
  <si>
    <t>8) Sparsity factor</t>
  </si>
  <si>
    <t>9) Fringe Payments</t>
  </si>
  <si>
    <t>Pupil Premium</t>
  </si>
  <si>
    <t>Description</t>
  </si>
  <si>
    <t>Primary Amount (£) per pupil</t>
  </si>
  <si>
    <t>Secondary Amount (£) per pupil</t>
  </si>
  <si>
    <t>Percentage of eligible primary pupils</t>
  </si>
  <si>
    <t>Percentage of eligible secondary pupils</t>
  </si>
  <si>
    <t>Sub Total</t>
  </si>
  <si>
    <t>Looked after children/Adopted from care</t>
  </si>
  <si>
    <t>Service Children/Armed Forces Compensation Scheme &amp; War Pensions Scheme</t>
  </si>
  <si>
    <t>All Through</t>
  </si>
  <si>
    <t>School Phase</t>
  </si>
  <si>
    <t>Look-up Tables and Drop Down Lists</t>
  </si>
  <si>
    <t>Secondary (Y7 to Y13)</t>
  </si>
  <si>
    <t>Primary (R to Y6)</t>
  </si>
  <si>
    <t>LAC</t>
  </si>
  <si>
    <t>Service Children</t>
  </si>
  <si>
    <t>Pupil Premium Amounts Per Pupil</t>
  </si>
  <si>
    <t>London Fringe Rate</t>
  </si>
  <si>
    <t>Key Stage 3  (Year 8)</t>
  </si>
  <si>
    <t>Key Stage 3  (Year 9)</t>
  </si>
  <si>
    <t>FSM</t>
  </si>
  <si>
    <t>FSM Ever 6</t>
  </si>
  <si>
    <t>LAC_X_Mar17</t>
  </si>
  <si>
    <t>Ratio Applicable</t>
  </si>
  <si>
    <t>10) Split Sites</t>
  </si>
  <si>
    <t>Exceptional circumstances (can only be used with prior agreement of ESFA)</t>
  </si>
  <si>
    <t>Additional Funding to Meet the Minimum Funding Level (MFL) Per Pupil</t>
  </si>
  <si>
    <t>Total Indicative Funding for Schools Block Formula Including Protection</t>
  </si>
  <si>
    <t>*Please ensure that the 'automatic calculation' function is enabled when using this form (see the "Guidance" tab for instructions on how to do this).</t>
  </si>
  <si>
    <t>This workbook contains some macro content. To use this workbook, please enable the macro content by clicking on the yellow button above (just below the Ribbon), otherwise it will not be fully accessible.</t>
  </si>
  <si>
    <t>School in Fringe Area?</t>
  </si>
  <si>
    <t>Additional funding to meet the Minimum Funding Level per pupil</t>
  </si>
  <si>
    <t>Is the person responsible for the school's budget aware of the ESFA’s arrangements to recover funding if the school recruits fewer pupils than funded for?</t>
  </si>
  <si>
    <t>Other income as a proportion of total income</t>
  </si>
  <si>
    <r>
      <t xml:space="preserve">Does the financial plan show in-year surpluses for each year?
</t>
    </r>
    <r>
      <rPr>
        <i/>
        <sz val="10"/>
        <color theme="1"/>
        <rFont val="Arial"/>
        <family val="2"/>
        <charset val="0"/>
      </rPr>
      <t>(We expect to see in-year surpluses of between 3%-5% including any contingency)?</t>
    </r>
  </si>
  <si>
    <r>
      <t xml:space="preserve">Have you included income and expenditure relating to catering which shows either net zero cost or a net cost?
</t>
    </r>
    <r>
      <rPr>
        <i/>
        <sz val="10"/>
        <color rgb="FF000000"/>
        <rFont val="Arial"/>
        <family val="2"/>
        <charset val="0"/>
      </rPr>
      <t>(We do not expect free schools to make a surplus from catering)</t>
    </r>
  </si>
  <si>
    <r>
      <t xml:space="preserve">Has the ready reckoner been left unchanged, to model the financial impact of an average pupil profile intake? If no, has a rationale and supporting evidence been provided?
</t>
    </r>
    <r>
      <rPr>
        <i/>
        <sz val="10"/>
        <color theme="1"/>
        <rFont val="Arial"/>
        <family val="2"/>
        <charset val="0"/>
      </rPr>
      <t>(Changes to the ready reckoner are only acceptable in exceptional circumstances and where supported by compelling evidence)</t>
    </r>
  </si>
  <si>
    <r>
      <t xml:space="preserve">Are pension % rates correct and differentiated between teaching and other staff?
</t>
    </r>
    <r>
      <rPr>
        <u val="single"/>
        <sz val="10"/>
        <color rgb="FF0066CC"/>
        <rFont val="Arial"/>
        <family val="2"/>
        <charset val="0"/>
      </rPr>
      <t>https://www.teacherspensions.co.uk/employers/employer-hub.aspx
http://www.lgpsregs.org/</t>
    </r>
  </si>
  <si>
    <t>Secondary (KS3)</t>
  </si>
  <si>
    <t>Secondary (KS4)</t>
  </si>
  <si>
    <t>Per Pupil Rate</t>
  </si>
  <si>
    <t>current year</t>
  </si>
  <si>
    <t>KS3</t>
  </si>
  <si>
    <t>KS4</t>
  </si>
  <si>
    <t>Basic Entitlement</t>
  </si>
  <si>
    <t>IDACI F</t>
  </si>
  <si>
    <t>IDACI E</t>
  </si>
  <si>
    <t>IDACI D</t>
  </si>
  <si>
    <t>IDACI C</t>
  </si>
  <si>
    <t>IDACI B</t>
  </si>
  <si>
    <t>IDACI A</t>
  </si>
  <si>
    <t>Secondary FSM or FSM6</t>
  </si>
  <si>
    <t>Primary Low Prior Attainment</t>
  </si>
  <si>
    <t>YEAR 7</t>
  </si>
  <si>
    <t>YEAR 7 Weight</t>
  </si>
  <si>
    <t>YEAR 8</t>
  </si>
  <si>
    <t>YEAR 8 Weight</t>
  </si>
  <si>
    <t>Secondary Low Prior Attainment</t>
  </si>
  <si>
    <t>Primary EAL</t>
  </si>
  <si>
    <t>Secondary EAL</t>
  </si>
  <si>
    <t>Pupil led factors per pupil</t>
  </si>
  <si>
    <t>London Fringe</t>
  </si>
  <si>
    <t>Additional funding to meet the minimum per pupil level</t>
  </si>
  <si>
    <t>Additional funding to meet the minimum per pupil level (per pupil)</t>
  </si>
  <si>
    <t>Final overall per pupil rate (including additional funding to meet the minimum per pupil level)</t>
  </si>
  <si>
    <t>Percentage Change</t>
  </si>
  <si>
    <t>LAA pupil units:</t>
  </si>
  <si>
    <t>Current year</t>
  </si>
  <si>
    <t>Previous year</t>
  </si>
  <si>
    <t>Yr 7</t>
  </si>
  <si>
    <t>Yr 8</t>
  </si>
  <si>
    <t>Total Pupil/ Place Numbers</t>
  </si>
  <si>
    <t>(excluding Apprenticeships and Foundation Degrees)</t>
  </si>
  <si>
    <t>Percentage Capacity Filled</t>
  </si>
  <si>
    <t>Free School Protection Result:</t>
  </si>
  <si>
    <t>The amount that will be displayed in the Pre 16 Ready Reckoner</t>
  </si>
  <si>
    <t>previous year</t>
  </si>
  <si>
    <r>
      <t xml:space="preserve">Final overall per pupil rate (Previous Year)
OR
</t>
    </r>
    <r>
      <rPr>
        <sz val="11"/>
        <rFont val="Calibri"/>
        <family val="2"/>
        <charset val="0"/>
      </rPr>
      <t>Per pupil rate before minimum per pupil level applied (current year)</t>
    </r>
  </si>
  <si>
    <t>Free School Protection Level (this will be the MFG rate set by the Local Authority)</t>
  </si>
  <si>
    <t>Extent to which % change falls below Free School Protection Level</t>
  </si>
  <si>
    <t>Per Pupil Rate Current Year</t>
  </si>
  <si>
    <t>Per Pupil Rate Previous Year</t>
  </si>
  <si>
    <t>Percentage change</t>
  </si>
  <si>
    <t>Number of empty year groups  - Reception to Year 11</t>
  </si>
  <si>
    <t>Number of Year Groups</t>
  </si>
  <si>
    <t>Free School Protection Amount</t>
  </si>
  <si>
    <t>Free School Protection Total</t>
  </si>
  <si>
    <t>Primary FSM &amp; FSM6 (Total)</t>
  </si>
  <si>
    <t>Secondary FSM &amp; FSM6 (Total)</t>
  </si>
  <si>
    <t xml:space="preserve">          Primary FSM (Subtotal)</t>
  </si>
  <si>
    <t xml:space="preserve">          Primary FSM6 (Subtotal)</t>
  </si>
  <si>
    <t xml:space="preserve">          Secondary FSM (Subtotal)</t>
  </si>
  <si>
    <t xml:space="preserve">          Secondary FSM6 (Subtotal)</t>
  </si>
  <si>
    <t>Only calculated where current pupil counts per phase are greater than zero</t>
  </si>
  <si>
    <t>Y2</t>
  </si>
  <si>
    <t>Y3</t>
  </si>
  <si>
    <t>Y4</t>
  </si>
  <si>
    <t>Y5</t>
  </si>
  <si>
    <t>Y6</t>
  </si>
  <si>
    <t>Y7</t>
  </si>
  <si>
    <t>Y8</t>
  </si>
  <si>
    <t>Deprivation</t>
  </si>
  <si>
    <t>EAL</t>
  </si>
  <si>
    <t>Mobility</t>
  </si>
  <si>
    <t>Prior Attainment</t>
  </si>
  <si>
    <t>Lump Sum</t>
  </si>
  <si>
    <t>MFL</t>
  </si>
  <si>
    <t>Total Schools Block Funding</t>
  </si>
  <si>
    <t>Total Funding</t>
  </si>
  <si>
    <t>This is purely indicative. Pupil Premium grant will be calculated following receipt of actual census information once the school has opened.</t>
  </si>
  <si>
    <t>Post-Opening Grant/ Leadership Component for Mainstream Schools</t>
  </si>
  <si>
    <t>…and other school types</t>
  </si>
  <si>
    <t>Maximum Number of Year Groups (R to Y11)</t>
  </si>
  <si>
    <t>Pupil Counts:</t>
  </si>
  <si>
    <t>Local Authority Code:</t>
  </si>
  <si>
    <t>Assumption/ Rationale</t>
  </si>
  <si>
    <t xml:space="preserve">      Total new primary pupils/places (£250 per pupil/place)</t>
  </si>
  <si>
    <t xml:space="preserve">      Total new secondary pupils/places (£500 per new pupil/place)</t>
  </si>
  <si>
    <t xml:space="preserve">Please ensure you complete all cells in the cover sheet as they will drive calculations throughout the template: use the drop-down boxes to select local authority, start date, age range, capacity and RPA requirement. </t>
  </si>
  <si>
    <r>
      <t xml:space="preserve">Are the </t>
    </r>
    <r>
      <rPr>
        <b/>
        <sz val="10"/>
        <color indexed="10"/>
        <rFont val="Arial"/>
        <family val="2"/>
        <charset val="0"/>
      </rPr>
      <t>only cells you should type into</t>
    </r>
    <r>
      <rPr>
        <sz val="10"/>
        <rFont val="Arial"/>
        <family val="2"/>
        <charset val="0"/>
      </rPr>
      <t xml:space="preserve">: green cells are your data entry cells. Select correct option, or input numbers (#) or monetary amounts (£). </t>
    </r>
    <r>
      <rPr>
        <b/>
        <sz val="10"/>
        <color indexed="10"/>
        <rFont val="Arial"/>
        <family val="2"/>
        <charset val="0"/>
      </rPr>
      <t>If it's not green, look, but don't touch!</t>
    </r>
  </si>
  <si>
    <t>This sheet will provide rows according to the age range of your school as selected on the cover sheet, into which you should enter your pupil numbers. Please enter the total number of pupils that will be enrolled in your school each year. This number should include both new intakes as well as pupils already attending the school. 
This information will feed through into the relevant (pre-16 or post-16) ready reckoner tab, and your funding will be calculated based upon your local authority’s funding rates for pre-16 pupils, and national funding rates for post-16s.</t>
  </si>
  <si>
    <t>Secondary MFL/ Pupil</t>
  </si>
  <si>
    <t>Primary MFL/ Pupil</t>
  </si>
  <si>
    <t>Assumptions: Does the assumptions text for ‘Learning resources – not ICT’ / ‘ICT learning resources’ specify precisely what resources are included under this heading?</t>
  </si>
  <si>
    <t>Please enter values in the GREEN cells only</t>
  </si>
  <si>
    <t>FileName</t>
  </si>
  <si>
    <t>UPIN</t>
  </si>
  <si>
    <t>Name of Proposed School</t>
  </si>
  <si>
    <t>Opening date</t>
  </si>
  <si>
    <t>Capacity</t>
  </si>
  <si>
    <t>Insurance: RPA Opt In</t>
  </si>
  <si>
    <t>Reception 2020/21</t>
  </si>
  <si>
    <t>Reception 2021/22</t>
  </si>
  <si>
    <t>Reception 2022/23</t>
  </si>
  <si>
    <t>Reception 2023/24</t>
  </si>
  <si>
    <t>Reception 2024/25</t>
  </si>
  <si>
    <t>Reception 2025/26</t>
  </si>
  <si>
    <t>Year 1 2020/21</t>
  </si>
  <si>
    <t>Year 1 2021/22</t>
  </si>
  <si>
    <t>Year 1 2022/23</t>
  </si>
  <si>
    <t>Year 1 2023/24</t>
  </si>
  <si>
    <t>Year 1 2024/25</t>
  </si>
  <si>
    <t>Year 1 2025/26</t>
  </si>
  <si>
    <t>Year 2 2020/21</t>
  </si>
  <si>
    <t>Year 2 2021/22</t>
  </si>
  <si>
    <t>Year 2 2022/23</t>
  </si>
  <si>
    <t>Year 2 2023/24</t>
  </si>
  <si>
    <t>Year 2 2024/25</t>
  </si>
  <si>
    <t>Year 2 2025/26</t>
  </si>
  <si>
    <t>Year 3 2020/21</t>
  </si>
  <si>
    <t>Year 3 2021/22</t>
  </si>
  <si>
    <t>Year 3 2022/23</t>
  </si>
  <si>
    <t>Year 3 2023/24</t>
  </si>
  <si>
    <t>Year 3 2024/25</t>
  </si>
  <si>
    <t>Year 3 2025/26</t>
  </si>
  <si>
    <t>Year 4 2020/21</t>
  </si>
  <si>
    <t>Year 4 2021/22</t>
  </si>
  <si>
    <t>Year 4 2022/23</t>
  </si>
  <si>
    <t>Year 4 2023/24</t>
  </si>
  <si>
    <t>Year 4 2024/25</t>
  </si>
  <si>
    <t>Year 4 2025/26</t>
  </si>
  <si>
    <t>Year 5 2020/21</t>
  </si>
  <si>
    <t>Year 5 2021/22</t>
  </si>
  <si>
    <t>Year 5 2022/23</t>
  </si>
  <si>
    <t>Year 5 2023/24</t>
  </si>
  <si>
    <t>Year 5 2024/25</t>
  </si>
  <si>
    <t>Year 5 2025/26</t>
  </si>
  <si>
    <t>Year 6 2020/21</t>
  </si>
  <si>
    <t>Year 6 2021/22</t>
  </si>
  <si>
    <t>Year 6 2022/23</t>
  </si>
  <si>
    <t>Year 6 2023/24</t>
  </si>
  <si>
    <t>Year 6 2024/25</t>
  </si>
  <si>
    <t>Year 6 2025/26</t>
  </si>
  <si>
    <t>Year 7 2020/21</t>
  </si>
  <si>
    <t>Year 7 2021/22</t>
  </si>
  <si>
    <t>Year 7 2022/23</t>
  </si>
  <si>
    <t>Year 7 2023/24</t>
  </si>
  <si>
    <t>Year 7 2024/25</t>
  </si>
  <si>
    <t>Year 7 2025/26</t>
  </si>
  <si>
    <t>Year 8 2020/21</t>
  </si>
  <si>
    <t>Year 8 2021/22</t>
  </si>
  <si>
    <t>Year 8 2022/23</t>
  </si>
  <si>
    <t>Year 8 2023/24</t>
  </si>
  <si>
    <t>Year 8 2024/25</t>
  </si>
  <si>
    <t>Year 8 2025/26</t>
  </si>
  <si>
    <t>Year 9 2020/21</t>
  </si>
  <si>
    <t>Year 9 2021/22</t>
  </si>
  <si>
    <t>Year 9 2022/23</t>
  </si>
  <si>
    <t>Year 9 2023/24</t>
  </si>
  <si>
    <t>Year 9 2024/25</t>
  </si>
  <si>
    <t>Year 9 2025/26</t>
  </si>
  <si>
    <t>Year 10 2020/21</t>
  </si>
  <si>
    <t>Year 10 2021/22</t>
  </si>
  <si>
    <t>Year 10 2022/23</t>
  </si>
  <si>
    <t>Year 10 2023/24</t>
  </si>
  <si>
    <t>Year 10 2024/25</t>
  </si>
  <si>
    <t>Year 10 2025/26</t>
  </si>
  <si>
    <t>Year 11 2020/21</t>
  </si>
  <si>
    <t>Year 11 2021/22</t>
  </si>
  <si>
    <t>Year 11 2022/23</t>
  </si>
  <si>
    <t>Year 11 2023/24</t>
  </si>
  <si>
    <t>Year 11 2024/25</t>
  </si>
  <si>
    <t>Year 11 2025/26</t>
  </si>
  <si>
    <t>Year 12 2020/21</t>
  </si>
  <si>
    <t>Year 12 2021/22</t>
  </si>
  <si>
    <t>Year 12 2022/23</t>
  </si>
  <si>
    <t>Year 12 2023/24</t>
  </si>
  <si>
    <t>Year 12 2024/25</t>
  </si>
  <si>
    <t>Year 12 2025/26</t>
  </si>
  <si>
    <t>Year 13 2020/21</t>
  </si>
  <si>
    <t>Year 13 2021/22</t>
  </si>
  <si>
    <t>Year 13 2022/23</t>
  </si>
  <si>
    <t>Year 13 2023/24</t>
  </si>
  <si>
    <t>Year 13 2024/25</t>
  </si>
  <si>
    <t>Year 13 2025/26</t>
  </si>
  <si>
    <t>16-19 FTE ESFA-funded places 2020/21</t>
  </si>
  <si>
    <t>16-19 FTE ESFA-funded places 2021/22</t>
  </si>
  <si>
    <t>16-19 FTE ESFA-funded places 2022/23</t>
  </si>
  <si>
    <t>16-19 FTE ESFA-funded places 2023/24</t>
  </si>
  <si>
    <t>16-19 FTE ESFA-funded places 2024/25</t>
  </si>
  <si>
    <t>16-19 FTE ESFA-funded places 2025/26</t>
  </si>
  <si>
    <t>(of which) 16-19 high-needs pupils 2020/21</t>
  </si>
  <si>
    <t>(of which) 16-19 high-needs pupils 2021/22</t>
  </si>
  <si>
    <t>(of which) 16-19 high-needs pupils 2022/23</t>
  </si>
  <si>
    <t>(of which) 16-19 high-needs pupils 2023/24</t>
  </si>
  <si>
    <t>(of which) 16-19 high-needs pupils 2024/25</t>
  </si>
  <si>
    <t>(of which) 16-19 high-needs pupils 2025/26</t>
  </si>
  <si>
    <t>16-19 FTE commissioner-led places 2020/21</t>
  </si>
  <si>
    <t>16-19 FTE commissioner-led places 2021/22</t>
  </si>
  <si>
    <t>16-19 FTE commissioner-led places 2022/23</t>
  </si>
  <si>
    <t>16-19 FTE commissioner-led places 2023/24</t>
  </si>
  <si>
    <t>16-19 FTE commissioner-led places 2024/25</t>
  </si>
  <si>
    <t>16-19 FTE commissioner-led places 2025/26</t>
  </si>
  <si>
    <t>2021 Number of Year Groups Present - Reception to Year 11</t>
  </si>
  <si>
    <t>2122 Number of Year Groups Present - Reception to Year 11</t>
  </si>
  <si>
    <t>2223 Number of Year Groups Present - Reception to Year 11</t>
  </si>
  <si>
    <t>2324 Number of Year Groups Present - Reception to Year 11</t>
  </si>
  <si>
    <t>2425 Number of Year Groups Present - Reception to Year 11</t>
  </si>
  <si>
    <t>2526 Number of Year Groups Present - Reception to Year 11</t>
  </si>
  <si>
    <t>2021 Total new primary places (£250 per pupil)</t>
  </si>
  <si>
    <t>2122 Total new primary places (£250 per pupil)</t>
  </si>
  <si>
    <t>2223 Total new primary places (£250 per pupil)</t>
  </si>
  <si>
    <t>2324 Total new primary places (£250 per pupil)</t>
  </si>
  <si>
    <t>2425 Total new primary places (£250 per pupil)</t>
  </si>
  <si>
    <t>2526 Total new primary places (£250 per pupil)</t>
  </si>
  <si>
    <t>2021 Total new secondary places (£500 per new place)</t>
  </si>
  <si>
    <t>2122 Total new secondary places (£500 per new place)</t>
  </si>
  <si>
    <t>2223 Total new secondary places (£500 per new place)</t>
  </si>
  <si>
    <t>2324 Total new secondary places (£500 per new place)</t>
  </si>
  <si>
    <t>2425 Total new secondary places (£500 per new place)</t>
  </si>
  <si>
    <t>2526 Total new secondary places (£500 per new place)</t>
  </si>
  <si>
    <t>2021 Number of empty year groups  - Reception to Year 11</t>
  </si>
  <si>
    <t>2122 Number of empty year groups  - Reception to Year 11</t>
  </si>
  <si>
    <t>2223 Number of empty year groups  - Reception to Year 11</t>
  </si>
  <si>
    <t>2324 Number of empty year groups  - Reception to Year 11</t>
  </si>
  <si>
    <t>2425 Number of empty year groups  - Reception to Year 11</t>
  </si>
  <si>
    <t>2526 Number of empty year groups  - Reception to Year 11</t>
  </si>
  <si>
    <t>2021 Leadership grant</t>
  </si>
  <si>
    <t>2122 Leadership grant</t>
  </si>
  <si>
    <t>2223 Leadership grant</t>
  </si>
  <si>
    <t>2324 Leadership grant</t>
  </si>
  <si>
    <t>2425 Leadership grant</t>
  </si>
  <si>
    <t>2526 Leadership grant</t>
  </si>
  <si>
    <t>LAC  X Percentage of primary pupils eligible</t>
  </si>
  <si>
    <t>LAC  X Percentage of secondary pupils eligible</t>
  </si>
  <si>
    <t>LAC  X subtotal</t>
  </si>
  <si>
    <t>LAC  X total</t>
  </si>
  <si>
    <t>EAL Primary APP</t>
  </si>
  <si>
    <t>EAL Primary subtotal</t>
  </si>
  <si>
    <t>EAL Secondary APP</t>
  </si>
  <si>
    <t>Percentage of Secondary pupils eligible</t>
  </si>
  <si>
    <t>EAL Secondary subtotal</t>
  </si>
  <si>
    <t>EAL Total</t>
  </si>
  <si>
    <t>Mobility Primary APP</t>
  </si>
  <si>
    <t>Mobility Secondary APP</t>
  </si>
  <si>
    <t>Mobility toal</t>
  </si>
  <si>
    <t>Primary Subtotal</t>
  </si>
  <si>
    <t>Low attainment Secondary APP</t>
  </si>
  <si>
    <t>Percentage of Secondary pupils eligible (Y7)</t>
  </si>
  <si>
    <t>Percentage of Secondary pupils eligible (Y8)</t>
  </si>
  <si>
    <t>Low attainment Secondary Subtotal</t>
  </si>
  <si>
    <t>Low attainment Subtotal</t>
  </si>
  <si>
    <t>Lump Sum Primary</t>
  </si>
  <si>
    <t>Lump Sum Secondary</t>
  </si>
  <si>
    <t>Lump Sum Total</t>
  </si>
  <si>
    <t>Fringe Payments?</t>
  </si>
  <si>
    <t>Fringe Total</t>
  </si>
  <si>
    <t>Primary MFL/ Pupil £</t>
  </si>
  <si>
    <t>Secondary MFL/ Pupil £</t>
  </si>
  <si>
    <t>Total MFL</t>
  </si>
  <si>
    <t>STUDENT NUMBERS</t>
  </si>
  <si>
    <t>National Funding rate per student</t>
  </si>
  <si>
    <t>Retention Factor</t>
  </si>
  <si>
    <t>Programme Cost Weighting</t>
  </si>
  <si>
    <t>Programme Cost Weighting Funding</t>
  </si>
  <si>
    <t>Disadvanteged Funding (Impact)</t>
  </si>
  <si>
    <t>Disadvanteged Funding (Baseline)</t>
  </si>
  <si>
    <t>Disadvantaged funding (Block 1 funding) - Economic Deprivation funding</t>
  </si>
  <si>
    <t>Disadvantaged funding (Block 2 funding) - Minimum top up</t>
  </si>
  <si>
    <t>Area Cost Weighting</t>
  </si>
  <si>
    <r>
      <t xml:space="preserve">Are you taking advantage of our commercial deals for schools? If not, please provide commentary to explain why.
</t>
    </r>
    <r>
      <rPr>
        <u val="single"/>
        <sz val="10"/>
        <color rgb="FF0066CC"/>
        <rFont val="Arial"/>
        <family val="2"/>
        <charset val="0"/>
      </rPr>
      <t>https://www.gov.uk/guidance/buying-for-schools/deals-for-schools</t>
    </r>
  </si>
  <si>
    <t>SECTION 1: Full-time equivalent places (please include any 16-19 pupils with EHC plans as secondary pupils)</t>
  </si>
  <si>
    <t>The local authority and post-16 pupil numbers you have entered on previous sheets are pre-populated here. These are used to calculate your post-16 funding. 
If you believe that the formula factors are not a fair representation of your intake then you can override the following factors: programme cost weighting, disadvantage funding, and area cost allowance. We would not expect groups to use these fields until they have submitted a business case to ESFA and this has been approved (usually in the spring prior to opening).</t>
  </si>
  <si>
    <r>
      <t xml:space="preserve">The local authority details and pre-16 pupil numbers you have entered on previous sheets are pre-populated here. These are used to calculate your pre-16 funding. 
Funding for pre-16 pupils is affected by the characteristics of a school's intake. Where the characteristics of your intake vary from the LA Average, you may override the pre-populated figures for each of the LA formula factors on the ready-reckoner by completing the green cells. </t>
    </r>
    <r>
      <rPr>
        <b/>
        <sz val="10"/>
        <color indexed="10"/>
        <rFont val="Arial"/>
        <family val="2"/>
        <charset val="0"/>
      </rPr>
      <t>This should only be completed by exception where there is clear evidence that the characteristics of the pupil intake will be different from the LA Average</t>
    </r>
    <r>
      <rPr>
        <sz val="10"/>
        <rFont val="Arial"/>
        <family val="2"/>
        <charset val="0"/>
      </rPr>
      <t>. If you do not have this data, leave the green cells blank and the averages for the LA will automatically be multiplied by the pupil numbers you entered on the Pupil Numbers sheet. NB: it is very unlikely that free schools will be able to provide estimates with any accuracy for IDACI or prior attainment at the application stage. If you do wish to use alternative figures, please include your evidence for this change in the Assumptions column on the Budget sheet.
Please note: if you plan to have reception pupils only in any year, you will not receive funding for the prior attainment factor.
If you believe you have sufficient evidence to attract sparsity funding, then please contact the Department. 
The subtotal and total columns for mobility have been set to £0 as schools are not funded for this in the first year. You will not be able to enter percentages for this factor.
The number of looked-after children and service children you have will influence the amount of pupil premium funding you receive. To ensure this is calculated accurately, if you wish to, you can enter the percentage of looked-after children and service children in the pupil premium section of the ready-reckoner, making sure to include your evidence for this change in the Assumptions column on the Budget sheet.</t>
    </r>
  </si>
  <si>
    <t>Assumptions/ Rationale</t>
  </si>
  <si>
    <t>Notes and Instructions</t>
  </si>
  <si>
    <t>Pupils eligible for both FSM6 and LAC premium funding will receive the LAC premium only. Therefore in the FSM6 row, enter figures for pupils who are not also eligible for the LAC premium.</t>
  </si>
  <si>
    <t>Cells will turn red where you have used alternative rates to the preset factors in the Post-16 Ready Reckoner. Please use the Assumptions column to provide explanations.</t>
  </si>
  <si>
    <t>Cells will turn red where you have not used the LA Average and have instead entered alternative figures in the Pre-16 Ready Reckoner. Please use the Assumptions column to provide explanations.</t>
  </si>
  <si>
    <t>Year 12 (please also enter pupil numbers in 16-19 section below)</t>
  </si>
  <si>
    <t>Year 13 (please also enter pupil numbers in 16-19 section below)</t>
  </si>
  <si>
    <r>
      <t/>
    </r>
    <r>
      <rPr>
        <b/>
        <sz val="10"/>
        <rFont val="Arial"/>
        <family val="2"/>
        <charset val="0"/>
      </rPr>
      <t>We have provided further documents which you will need to use to help you complete this template correctly:</t>
    </r>
    <r>
      <rPr>
        <sz val="10"/>
        <color indexed="10"/>
        <rFont val="Arial"/>
        <family val="2"/>
        <charset val="0"/>
      </rPr>
      <t xml:space="preserve">
</t>
    </r>
    <r>
      <rPr>
        <sz val="10"/>
        <rFont val="Arial"/>
        <family val="2"/>
        <charset val="0"/>
      </rPr>
      <t xml:space="preserve">- </t>
    </r>
    <r>
      <rPr>
        <u val="single"/>
        <sz val="10"/>
        <color indexed="30"/>
        <rFont val="Arial"/>
        <family val="2"/>
        <charset val="0"/>
      </rPr>
      <t>Completing the alternative provision free school financial template</t>
    </r>
    <r>
      <rPr>
        <sz val="10"/>
        <rFont val="Arial"/>
        <family val="2"/>
        <charset val="0"/>
      </rPr>
      <t xml:space="preserve"> – a step-by-step guide to completing the template.</t>
    </r>
    <r>
      <rPr>
        <sz val="10"/>
        <color indexed="10"/>
        <rFont val="Arial"/>
        <family val="2"/>
        <charset val="0"/>
      </rPr>
      <t xml:space="preserve">
</t>
    </r>
    <r>
      <rPr>
        <sz val="10"/>
        <rFont val="Arial"/>
        <family val="2"/>
        <charset val="0"/>
      </rPr>
      <t xml:space="preserve">- </t>
    </r>
    <r>
      <rPr>
        <u val="single"/>
        <sz val="10"/>
        <color indexed="30"/>
        <rFont val="Arial"/>
        <family val="2"/>
        <charset val="0"/>
      </rPr>
      <t>A guide to new alternative provision free school revenue funding</t>
    </r>
    <r>
      <rPr>
        <sz val="10"/>
        <color indexed="10"/>
        <rFont val="Arial"/>
        <family val="2"/>
        <charset val="0"/>
      </rPr>
      <t xml:space="preserve"> </t>
    </r>
    <r>
      <rPr>
        <sz val="10"/>
        <rFont val="Arial"/>
        <family val="2"/>
        <charset val="0"/>
      </rPr>
      <t>– to help you understand the sorts of funding you are likely to receive.</t>
    </r>
    <r>
      <rPr>
        <sz val="10"/>
        <color indexed="10"/>
        <rFont val="Arial"/>
        <family val="2"/>
        <charset val="0"/>
      </rPr>
      <t xml:space="preserve">
</t>
    </r>
    <r>
      <rPr>
        <sz val="10"/>
        <rFont val="Arial"/>
        <family val="2"/>
        <charset val="0"/>
      </rPr>
      <t xml:space="preserve">
</t>
    </r>
    <r>
      <rPr>
        <b/>
        <sz val="10"/>
        <rFont val="Arial"/>
        <family val="2"/>
        <charset val="0"/>
      </rPr>
      <t xml:space="preserve">Once you have read this sheet, you should complete the template in the following order: </t>
    </r>
    <r>
      <rPr>
        <sz val="10"/>
        <rFont val="Arial"/>
        <family val="2"/>
        <charset val="0"/>
      </rPr>
      <t xml:space="preserve">
- G2. Cover Sheet
- Pupil_Place Numbers
- G3. Budget
- Post-16 Ready Reckoner if relevant (see guidance note below)
- G4. Staff
Sheet "G5. Summary" provides a summary of key financial indicators. 
</t>
    </r>
    <r>
      <rPr>
        <b/>
        <sz val="10"/>
        <rFont val="Arial"/>
        <family val="2"/>
        <charset val="0"/>
      </rPr>
      <t>When you have completed the template, you should complete the Checklist tab to ensure that all relevant information has been included.</t>
    </r>
    <r>
      <rPr>
        <sz val="10"/>
        <rFont val="Arial"/>
        <family val="2"/>
        <charset val="0"/>
      </rPr>
      <t xml:space="preserve">
On each sheet you will find:</t>
    </r>
  </si>
  <si>
    <r>
      <t/>
    </r>
    <r>
      <rPr>
        <b/>
        <sz val="10"/>
        <rFont val="Arial"/>
        <family val="2"/>
        <charset val="0"/>
      </rPr>
      <t>We have provided further documents which you will need to use to help you complete this template correctly:</t>
    </r>
    <r>
      <rPr>
        <sz val="10"/>
        <rFont val="Arial"/>
        <family val="2"/>
        <charset val="0"/>
      </rPr>
      <t xml:space="preserve">
</t>
    </r>
    <r>
      <rPr>
        <sz val="10"/>
        <color indexed="10"/>
        <rFont val="Arial"/>
        <family val="2"/>
        <charset val="0"/>
      </rPr>
      <t xml:space="preserve">
</t>
    </r>
    <r>
      <rPr>
        <sz val="10"/>
        <rFont val="Arial"/>
        <family val="2"/>
        <charset val="0"/>
      </rPr>
      <t xml:space="preserve">- </t>
    </r>
    <r>
      <rPr>
        <u val="single"/>
        <sz val="10"/>
        <color indexed="30"/>
        <rFont val="Arial"/>
        <family val="2"/>
        <charset val="0"/>
      </rPr>
      <t>Completing the mainstream free school financial template</t>
    </r>
    <r>
      <rPr>
        <sz val="10"/>
        <color indexed="10"/>
        <rFont val="Arial"/>
        <family val="2"/>
        <charset val="0"/>
      </rPr>
      <t xml:space="preserve"> </t>
    </r>
    <r>
      <rPr>
        <sz val="10"/>
        <rFont val="Arial"/>
        <family val="2"/>
        <charset val="0"/>
      </rPr>
      <t xml:space="preserve">– a step-by-step guide to completing the template. The latest template is also held here.
</t>
    </r>
    <r>
      <rPr>
        <sz val="10"/>
        <color indexed="10"/>
        <rFont val="Arial"/>
        <family val="2"/>
        <charset val="0"/>
      </rPr>
      <t xml:space="preserve">
</t>
    </r>
    <r>
      <rPr>
        <sz val="10"/>
        <rFont val="Arial"/>
        <family val="2"/>
        <charset val="0"/>
      </rPr>
      <t xml:space="preserve">- </t>
    </r>
    <r>
      <rPr>
        <u val="single"/>
        <sz val="10"/>
        <color indexed="30"/>
        <rFont val="Arial"/>
        <family val="2"/>
        <charset val="0"/>
      </rPr>
      <t>A guide to new mainstream free school revenue funding</t>
    </r>
    <r>
      <rPr>
        <sz val="10"/>
        <color indexed="10"/>
        <rFont val="Arial"/>
        <family val="2"/>
        <charset val="0"/>
      </rPr>
      <t xml:space="preserve"> </t>
    </r>
    <r>
      <rPr>
        <sz val="10"/>
        <rFont val="Arial"/>
        <family val="2"/>
        <charset val="0"/>
      </rPr>
      <t>and</t>
    </r>
    <r>
      <rPr>
        <sz val="10"/>
        <color indexed="10"/>
        <rFont val="Arial"/>
        <family val="2"/>
        <charset val="0"/>
      </rPr>
      <t xml:space="preserve"> </t>
    </r>
    <r>
      <rPr>
        <u val="single"/>
        <sz val="10"/>
        <color indexed="30"/>
        <rFont val="Arial"/>
        <family val="2"/>
        <charset val="0"/>
      </rPr>
      <t>A guide to new 16-19 free school revenue funding</t>
    </r>
    <r>
      <rPr>
        <sz val="10"/>
        <color indexed="10"/>
        <rFont val="Arial"/>
        <family val="2"/>
        <charset val="0"/>
      </rPr>
      <t xml:space="preserve"> </t>
    </r>
    <r>
      <rPr>
        <sz val="10"/>
        <rFont val="Arial"/>
        <family val="2"/>
        <charset val="0"/>
      </rPr>
      <t xml:space="preserve">– to help you understand the sorts of funding you are likely to receive. </t>
    </r>
    <r>
      <rPr>
        <sz val="10"/>
        <color indexed="10"/>
        <rFont val="Arial"/>
        <family val="2"/>
        <charset val="0"/>
      </rPr>
      <t xml:space="preserve">
</t>
    </r>
    <r>
      <rPr>
        <b/>
        <sz val="10"/>
        <rFont val="Arial"/>
        <family val="2"/>
        <charset val="0"/>
      </rPr>
      <t xml:space="preserve">Once you have read this sheet, you should complete the template in the following order: </t>
    </r>
    <r>
      <rPr>
        <sz val="10"/>
        <rFont val="Arial"/>
        <family val="2"/>
        <charset val="0"/>
      </rPr>
      <t xml:space="preserve">
- G2. Cover Sheet
- Pupil_Place Numbers
- G3. Budget
- Pre-16 Ready Reckoner if relevant (see guidance below)
- Post-16 Ready Reckoner if relevant (see guidance below)
- G4. Staff
</t>
    </r>
    <r>
      <rPr>
        <sz val="10"/>
        <color indexed="10"/>
        <rFont val="Arial"/>
        <family val="2"/>
        <charset val="0"/>
      </rPr>
      <t xml:space="preserve">
</t>
    </r>
    <r>
      <rPr>
        <sz val="10"/>
        <rFont val="Arial"/>
        <family val="2"/>
        <charset val="0"/>
      </rPr>
      <t xml:space="preserve">Sheet "G5. Summary" provides a summary of key financial indicators. 
</t>
    </r>
    <r>
      <rPr>
        <b/>
        <sz val="10"/>
        <rFont val="Arial"/>
        <family val="2"/>
        <charset val="0"/>
      </rPr>
      <t>When you have completed the template, you should complete the Checklist tab to ensure that all relevant information has been included.</t>
    </r>
    <r>
      <rPr>
        <sz val="10"/>
        <color indexed="10"/>
        <rFont val="Arial"/>
        <family val="2"/>
        <charset val="0"/>
      </rPr>
      <t xml:space="preserve">
</t>
    </r>
    <r>
      <rPr>
        <sz val="10"/>
        <color indexed="8"/>
        <rFont val="Arial"/>
        <family val="2"/>
        <charset val="0"/>
      </rPr>
      <t>On each sheet you will find:</t>
    </r>
  </si>
  <si>
    <r>
      <t/>
    </r>
    <r>
      <rPr>
        <b/>
        <sz val="10"/>
        <rFont val="Arial"/>
        <family val="2"/>
        <charset val="0"/>
      </rPr>
      <t>We have provided further documents which you will need to use to help you complete this template correctly:</t>
    </r>
    <r>
      <rPr>
        <sz val="10"/>
        <rFont val="Arial"/>
        <family val="2"/>
        <charset val="0"/>
      </rPr>
      <t xml:space="preserve">
</t>
    </r>
    <r>
      <rPr>
        <sz val="10"/>
        <color indexed="10"/>
        <rFont val="Arial"/>
        <family val="2"/>
        <charset val="0"/>
      </rPr>
      <t xml:space="preserve">
</t>
    </r>
    <r>
      <rPr>
        <sz val="10"/>
        <rFont val="Arial"/>
        <family val="2"/>
        <charset val="0"/>
      </rPr>
      <t>-</t>
    </r>
    <r>
      <rPr>
        <sz val="10"/>
        <color indexed="10"/>
        <rFont val="Arial"/>
        <family val="2"/>
        <charset val="0"/>
      </rPr>
      <t xml:space="preserve"> </t>
    </r>
    <r>
      <rPr>
        <u val="single"/>
        <sz val="10"/>
        <color indexed="30"/>
        <rFont val="Arial"/>
        <family val="2"/>
        <charset val="0"/>
      </rPr>
      <t>Completing the special free school financial template</t>
    </r>
    <r>
      <rPr>
        <sz val="10"/>
        <color indexed="10"/>
        <rFont val="Arial"/>
        <family val="2"/>
        <charset val="0"/>
      </rPr>
      <t xml:space="preserve"> </t>
    </r>
    <r>
      <rPr>
        <sz val="10"/>
        <rFont val="Arial"/>
        <family val="2"/>
        <charset val="0"/>
      </rPr>
      <t>– a step-by-step guide to completing the template.</t>
    </r>
    <r>
      <rPr>
        <sz val="10"/>
        <color indexed="10"/>
        <rFont val="Arial"/>
        <family val="2"/>
        <charset val="0"/>
      </rPr>
      <t xml:space="preserve">
</t>
    </r>
    <r>
      <rPr>
        <sz val="10"/>
        <rFont val="Arial"/>
        <family val="2"/>
        <charset val="0"/>
      </rPr>
      <t xml:space="preserve">- </t>
    </r>
    <r>
      <rPr>
        <u val="single"/>
        <sz val="10"/>
        <color indexed="30"/>
        <rFont val="Arial"/>
        <family val="2"/>
        <charset val="0"/>
      </rPr>
      <t>A guide to new special free school revenue funding</t>
    </r>
    <r>
      <rPr>
        <sz val="10"/>
        <color indexed="10"/>
        <rFont val="Arial"/>
        <family val="2"/>
        <charset val="0"/>
      </rPr>
      <t xml:space="preserve"> </t>
    </r>
    <r>
      <rPr>
        <sz val="10"/>
        <rFont val="Arial"/>
        <family val="2"/>
        <charset val="0"/>
      </rPr>
      <t>– to help you understand the sorts of funding you are likely to receive.</t>
    </r>
    <r>
      <rPr>
        <sz val="10"/>
        <color indexed="10"/>
        <rFont val="Arial"/>
        <family val="2"/>
        <charset val="0"/>
      </rPr>
      <t xml:space="preserve">
</t>
    </r>
    <r>
      <rPr>
        <b/>
        <sz val="10"/>
        <rFont val="Arial"/>
        <family val="2"/>
        <charset val="0"/>
      </rPr>
      <t xml:space="preserve">Once you have read this sheet, you should complete the template in the following order: </t>
    </r>
    <r>
      <rPr>
        <sz val="10"/>
        <rFont val="Arial"/>
        <family val="2"/>
        <charset val="0"/>
      </rPr>
      <t xml:space="preserve">
- G2. Cover Sheet
- Pupil_Place Numbers
- G3. Budget
- G4. Staff
Sheet "G5. Summary" provides a summary of key financial indicators. 
</t>
    </r>
    <r>
      <rPr>
        <b/>
        <sz val="10"/>
        <rFont val="Arial"/>
        <family val="2"/>
        <charset val="0"/>
      </rPr>
      <t>When you have completed the template, you should complete the Checklist tab to ensure that all relevant information has been included.</t>
    </r>
    <r>
      <rPr>
        <sz val="10"/>
        <rFont val="Arial"/>
        <family val="2"/>
        <charset val="0"/>
      </rPr>
      <t xml:space="preserve">
On each sheet you will find:</t>
    </r>
  </si>
  <si>
    <r>
      <t/>
    </r>
    <r>
      <rPr>
        <b/>
        <sz val="10"/>
        <rFont val="Arial"/>
        <family val="2"/>
        <charset val="0"/>
      </rPr>
      <t>We have provided further documents which you will need to use to help you complete this template correctly:</t>
    </r>
    <r>
      <rPr>
        <sz val="10"/>
        <color indexed="10"/>
        <rFont val="Arial"/>
        <family val="2"/>
        <charset val="0"/>
      </rPr>
      <t xml:space="preserve">
</t>
    </r>
    <r>
      <rPr>
        <sz val="10"/>
        <rFont val="Arial"/>
        <family val="2"/>
        <charset val="0"/>
      </rPr>
      <t xml:space="preserve">- </t>
    </r>
    <r>
      <rPr>
        <u val="single"/>
        <sz val="10"/>
        <color indexed="30"/>
        <rFont val="Arial"/>
        <family val="2"/>
        <charset val="0"/>
      </rPr>
      <t>Completing the UTC financial template</t>
    </r>
    <r>
      <rPr>
        <sz val="10"/>
        <color indexed="10"/>
        <rFont val="Arial"/>
        <family val="2"/>
        <charset val="0"/>
      </rPr>
      <t xml:space="preserve"> </t>
    </r>
    <r>
      <rPr>
        <sz val="10"/>
        <rFont val="Arial"/>
        <family val="2"/>
        <charset val="0"/>
      </rPr>
      <t>– a step-by-step guide to completing the template.</t>
    </r>
    <r>
      <rPr>
        <sz val="10"/>
        <color indexed="10"/>
        <rFont val="Arial"/>
        <family val="2"/>
        <charset val="0"/>
      </rPr>
      <t xml:space="preserve">
</t>
    </r>
    <r>
      <rPr>
        <sz val="10"/>
        <rFont val="Arial"/>
        <family val="2"/>
        <charset val="0"/>
      </rPr>
      <t xml:space="preserve">- </t>
    </r>
    <r>
      <rPr>
        <u val="single"/>
        <sz val="10"/>
        <color indexed="30"/>
        <rFont val="Arial"/>
        <family val="2"/>
        <charset val="0"/>
      </rPr>
      <t>A guide to new UTC revenue funding</t>
    </r>
    <r>
      <rPr>
        <sz val="10"/>
        <color indexed="10"/>
        <rFont val="Arial"/>
        <family val="2"/>
        <charset val="0"/>
      </rPr>
      <t xml:space="preserve"> </t>
    </r>
    <r>
      <rPr>
        <sz val="10"/>
        <rFont val="Arial"/>
        <family val="2"/>
        <charset val="0"/>
      </rPr>
      <t xml:space="preserve"> – to help you understand the sorts of funding you are likely to receive.</t>
    </r>
    <r>
      <rPr>
        <sz val="10"/>
        <color indexed="10"/>
        <rFont val="Arial"/>
        <family val="2"/>
        <charset val="0"/>
      </rPr>
      <t xml:space="preserve">
</t>
    </r>
    <r>
      <rPr>
        <b/>
        <sz val="10"/>
        <rFont val="Arial"/>
        <family val="2"/>
        <charset val="0"/>
      </rPr>
      <t xml:space="preserve">
Once you have read this sheet, you should complete the template in the following order: </t>
    </r>
    <r>
      <rPr>
        <sz val="10"/>
        <rFont val="Arial"/>
        <family val="2"/>
        <charset val="0"/>
      </rPr>
      <t xml:space="preserve">
- G2. Cover Sheet
- Pupil_Place Numbers
- G3. Budget
- Pre-16 Ready Reckoner if relevant (see guidance below)
- Post-16 Ready Reckoner if relevant (see guidance below)
- G4. Staff
Sheet "G5. Summary" provides a summary of key financial indicators. 
</t>
    </r>
    <r>
      <rPr>
        <b/>
        <sz val="10"/>
        <rFont val="Arial"/>
        <family val="2"/>
        <charset val="0"/>
      </rPr>
      <t>When you have completed the template, you should complete the Checklist tab to ensure that all relevant information has been included.</t>
    </r>
    <r>
      <rPr>
        <sz val="10"/>
        <rFont val="Arial"/>
        <family val="2"/>
        <charset val="0"/>
      </rPr>
      <t xml:space="preserve">
On each sheet you will find:</t>
    </r>
  </si>
  <si>
    <t>Pupil_Place Numbers</t>
  </si>
  <si>
    <r>
      <t xml:space="preserve">Section 1 - Pupil numbers
</t>
    </r>
    <r>
      <rPr>
        <sz val="10"/>
        <rFont val="Arial"/>
        <family val="2"/>
        <charset val="0"/>
      </rPr>
      <t>This section will aggregate the figures entered on the Pupil_Place Numbers sheet. 
This information will feed through into the relevant (pre-16 or post-16) ready-reckoner tab, and your funding will be calculated based upon your local authority’s funding rates for pre-16 pupils, and national funding rates for post-16s.</t>
    </r>
  </si>
  <si>
    <r>
      <t/>
    </r>
    <r>
      <rPr>
        <b/>
        <sz val="10"/>
        <rFont val="Arial"/>
        <family val="2"/>
        <charset val="0"/>
      </rPr>
      <t>Section 2 – Income</t>
    </r>
    <r>
      <rPr>
        <sz val="10"/>
        <rFont val="Arial"/>
        <family val="2"/>
        <charset val="0"/>
      </rPr>
      <t xml:space="preserve">
This section will automatically generate an estimate of your funding income, based upon the data you have selected on the cover sheet, and the data entered on the Pupil_Place Numbers sheet. 
Funding will be calculated by the pre-16 and post-16 ready reckoners, and will feed through to the budget sheet.</t>
    </r>
  </si>
  <si>
    <t>Average SLT costs (salary inclusive of on-costs)</t>
  </si>
  <si>
    <t>Average teacher costs (salary inclusive of on-costs)</t>
  </si>
  <si>
    <t>Average pupil support costs (salary inclusive of on-costs)</t>
  </si>
  <si>
    <t>[Average actually paid]</t>
  </si>
  <si>
    <t>Pupil : staff ratio (all staff)</t>
  </si>
  <si>
    <t>Pupil : teacher ratio (teachers and SLT)</t>
  </si>
  <si>
    <t>Cells will be red rated where figures are negative or where your ratios and allocated spending are greater than we might expect to see for schools. This is a guide to help you think through your plans and you can provide any notes or reasoning in the column labelled 'Assumption/ Rationale'.</t>
  </si>
  <si>
    <t>On the pre-16 and post-16 ready reckoners: these cells show pupil numbers and funding amounts which have been calculated using your local authority’s funding rates for pre-16 pupils, and national funding rates for post-16s.</t>
  </si>
  <si>
    <t>The max figures apply over the whole budgeting period.</t>
  </si>
  <si>
    <r>
      <t/>
    </r>
    <r>
      <rPr>
        <b/>
        <sz val="10"/>
        <rFont val="Arial"/>
        <family val="2"/>
        <charset val="0"/>
      </rPr>
      <t>Section 2 – Income</t>
    </r>
    <r>
      <rPr>
        <sz val="10"/>
        <rFont val="Arial"/>
        <family val="2"/>
        <charset val="0"/>
      </rPr>
      <t xml:space="preserve">
This section will automatically generate an estimate of your funding income, based upon the data you have selected on the cover sheet, and the data entered on the Pupil_Place Numbers sheet.</t>
    </r>
  </si>
  <si>
    <t>Leadership grant - Calculation details can be found in the guidance documentation.</t>
  </si>
  <si>
    <t>Are you procuring goods or services from connected bodies?</t>
  </si>
  <si>
    <t>Mainstream (LA Presumption)</t>
  </si>
  <si>
    <r>
      <t xml:space="preserve">Free schools being opened through the local authority (LA) presumption route should use the Mainstream (LA Presumption) template, available on GOV.UK.
</t>
    </r>
    <r>
      <rPr>
        <b/>
        <sz val="10"/>
        <rFont val="Arial"/>
        <family val="2"/>
        <charset val="0"/>
      </rPr>
      <t>We have provided further documents which you will need to use to help you complete this template correctly:</t>
    </r>
    <r>
      <rPr>
        <sz val="10"/>
        <rFont val="Arial"/>
        <family val="2"/>
        <charset val="0"/>
      </rPr>
      <t xml:space="preserve">
</t>
    </r>
    <r>
      <rPr>
        <sz val="10"/>
        <color indexed="10"/>
        <rFont val="Arial"/>
        <family val="2"/>
        <charset val="0"/>
      </rPr>
      <t xml:space="preserve">
</t>
    </r>
    <r>
      <rPr>
        <sz val="10"/>
        <rFont val="Arial"/>
        <family val="2"/>
        <charset val="0"/>
      </rPr>
      <t xml:space="preserve">- </t>
    </r>
    <r>
      <rPr>
        <u val="single"/>
        <sz val="10"/>
        <color indexed="30"/>
        <rFont val="Arial"/>
        <family val="2"/>
        <charset val="0"/>
      </rPr>
      <t>Completing the mainstream free school financial template</t>
    </r>
    <r>
      <rPr>
        <sz val="10"/>
        <color indexed="10"/>
        <rFont val="Arial"/>
        <family val="2"/>
        <charset val="0"/>
      </rPr>
      <t xml:space="preserve"> </t>
    </r>
    <r>
      <rPr>
        <sz val="10"/>
        <rFont val="Arial"/>
        <family val="2"/>
        <charset val="0"/>
      </rPr>
      <t xml:space="preserve">– a step-by-step guide to completing the template. The latest template is also held here.
</t>
    </r>
    <r>
      <rPr>
        <sz val="10"/>
        <color indexed="10"/>
        <rFont val="Arial"/>
        <family val="2"/>
        <charset val="0"/>
      </rPr>
      <t xml:space="preserve">
</t>
    </r>
    <r>
      <rPr>
        <sz val="10"/>
        <rFont val="Arial"/>
        <family val="2"/>
        <charset val="0"/>
      </rPr>
      <t xml:space="preserve">- </t>
    </r>
    <r>
      <rPr>
        <u val="single"/>
        <sz val="10"/>
        <color indexed="30"/>
        <rFont val="Arial"/>
        <family val="2"/>
        <charset val="0"/>
      </rPr>
      <t>A guide to new mainstream free school revenue funding</t>
    </r>
    <r>
      <rPr>
        <sz val="10"/>
        <color indexed="10"/>
        <rFont val="Arial"/>
        <family val="2"/>
        <charset val="0"/>
      </rPr>
      <t xml:space="preserve"> </t>
    </r>
    <r>
      <rPr>
        <sz val="10"/>
        <rFont val="Arial"/>
        <family val="2"/>
        <charset val="0"/>
      </rPr>
      <t>and</t>
    </r>
    <r>
      <rPr>
        <sz val="10"/>
        <color indexed="10"/>
        <rFont val="Arial"/>
        <family val="2"/>
        <charset val="0"/>
      </rPr>
      <t xml:space="preserve"> </t>
    </r>
    <r>
      <rPr>
        <u val="single"/>
        <sz val="10"/>
        <color indexed="30"/>
        <rFont val="Arial"/>
        <family val="2"/>
        <charset val="0"/>
      </rPr>
      <t>A guide to new 16-19 free school revenue funding</t>
    </r>
    <r>
      <rPr>
        <sz val="10"/>
        <color indexed="10"/>
        <rFont val="Arial"/>
        <family val="2"/>
        <charset val="0"/>
      </rPr>
      <t xml:space="preserve"> </t>
    </r>
    <r>
      <rPr>
        <sz val="10"/>
        <rFont val="Arial"/>
        <family val="2"/>
        <charset val="0"/>
      </rPr>
      <t xml:space="preserve">– to help you understand the sorts of funding you are likely to receive. </t>
    </r>
    <r>
      <rPr>
        <sz val="10"/>
        <color indexed="10"/>
        <rFont val="Arial"/>
        <family val="2"/>
        <charset val="0"/>
      </rPr>
      <t xml:space="preserve">
</t>
    </r>
    <r>
      <rPr>
        <b/>
        <sz val="10"/>
        <rFont val="Arial"/>
        <family val="2"/>
        <charset val="0"/>
      </rPr>
      <t xml:space="preserve">Once you have read this sheet, you should complete the template in the following order: </t>
    </r>
    <r>
      <rPr>
        <sz val="10"/>
        <rFont val="Arial"/>
        <family val="2"/>
        <charset val="0"/>
      </rPr>
      <t xml:space="preserve">
- G2. Cover Sheet
- Pupil_Place Numbers
- G3. Budget
- Pre-16 Ready Reckoner if relevant (see guidance below)
- Post-16 Ready Reckoner if relevant (see guidance below)
- G4. Staff
</t>
    </r>
    <r>
      <rPr>
        <sz val="10"/>
        <color indexed="10"/>
        <rFont val="Arial"/>
        <family val="2"/>
        <charset val="0"/>
      </rPr>
      <t xml:space="preserve">
</t>
    </r>
    <r>
      <rPr>
        <sz val="10"/>
        <rFont val="Arial"/>
        <family val="2"/>
        <charset val="0"/>
      </rPr>
      <t xml:space="preserve">Sheet "G5. Summary" provides a summary of key financial indicators. 
</t>
    </r>
    <r>
      <rPr>
        <b/>
        <sz val="10"/>
        <rFont val="Arial"/>
        <family val="2"/>
        <charset val="0"/>
      </rPr>
      <t>When you have completed the template, you should complete the Checklist tab to ensure that all relevant information has been included.</t>
    </r>
    <r>
      <rPr>
        <sz val="10"/>
        <color indexed="10"/>
        <rFont val="Arial"/>
        <family val="2"/>
        <charset val="0"/>
      </rPr>
      <t xml:space="preserve">
</t>
    </r>
    <r>
      <rPr>
        <sz val="10"/>
        <color indexed="8"/>
        <rFont val="Arial"/>
        <family val="2"/>
        <charset val="0"/>
      </rPr>
      <t>On each sheet you will find:</t>
    </r>
  </si>
  <si>
    <r>
      <t/>
    </r>
    <r>
      <rPr>
        <b/>
        <sz val="10"/>
        <rFont val="Arial"/>
        <family val="2"/>
        <charset val="0"/>
      </rPr>
      <t>Section 2 – Income</t>
    </r>
    <r>
      <rPr>
        <sz val="10"/>
        <rFont val="Arial"/>
        <family val="2"/>
        <charset val="0"/>
      </rPr>
      <t xml:space="preserve">
This section will automatically generate an estimate of your funding income, based upon the data you have selected on the cover sheet, and the data entered on the Pupil_Place Numbers sheet.
Leadership grant: DfE will agree leadership grant for AP schools on a case-by-case basis. Please include the agreed amount in the cells provided.</t>
    </r>
  </si>
  <si>
    <t>Other income 1</t>
  </si>
  <si>
    <t>Other income 2</t>
  </si>
  <si>
    <t>Other income 3</t>
  </si>
  <si>
    <t>Other income 4</t>
  </si>
  <si>
    <t>Other income 5</t>
  </si>
  <si>
    <t>Leadership grant - please refer to the Guidance sheet.</t>
  </si>
  <si>
    <r>
      <t xml:space="preserve">If you wish to move any values entered mistakenly to another area of the worksheet, please </t>
    </r>
    <r>
      <rPr>
        <b/>
        <sz val="10"/>
        <color rgb="FFFF0000"/>
        <rFont val="Arial"/>
        <family val="2"/>
        <charset val="0"/>
      </rPr>
      <t>DO NOT</t>
    </r>
    <r>
      <rPr>
        <sz val="10"/>
        <color rgb="FFFF0000"/>
        <rFont val="Arial"/>
        <family val="2"/>
        <charset val="0"/>
      </rPr>
      <t xml:space="preserve"> use the ‘</t>
    </r>
    <r>
      <rPr>
        <b/>
        <sz val="10"/>
        <color rgb="FFFF0000"/>
        <rFont val="Arial"/>
        <family val="2"/>
        <charset val="0"/>
      </rPr>
      <t>Cut</t>
    </r>
    <r>
      <rPr>
        <sz val="10"/>
        <color rgb="FFFF0000"/>
        <rFont val="Arial"/>
        <family val="2"/>
        <charset val="0"/>
      </rPr>
      <t xml:space="preserve"> &amp; Paste’ option as it will cause an error in the formulas. Instead, please use ‘</t>
    </r>
    <r>
      <rPr>
        <b/>
        <sz val="10"/>
        <color rgb="FFFF0000"/>
        <rFont val="Arial"/>
        <family val="2"/>
        <charset val="0"/>
      </rPr>
      <t>Copy</t>
    </r>
    <r>
      <rPr>
        <sz val="10"/>
        <color rgb="FFFF0000"/>
        <rFont val="Arial"/>
        <family val="2"/>
        <charset val="0"/>
      </rPr>
      <t xml:space="preserve"> &amp; Paste’ and then delete the original values entered if necessary.</t>
    </r>
  </si>
  <si>
    <t xml:space="preserve">
Instructions</t>
  </si>
  <si>
    <r>
      <t xml:space="preserve">Please </t>
    </r>
    <r>
      <rPr>
        <b/>
        <sz val="12"/>
        <color rgb="FFFF0000"/>
        <rFont val="Arial"/>
        <family val="2"/>
        <charset val="0"/>
      </rPr>
      <t>DO NOT</t>
    </r>
    <r>
      <rPr>
        <sz val="12"/>
        <color rgb="FFFF0000"/>
        <rFont val="Arial"/>
        <family val="2"/>
        <charset val="0"/>
      </rPr>
      <t xml:space="preserve"> ‘</t>
    </r>
    <r>
      <rPr>
        <b/>
        <sz val="12"/>
        <color rgb="FFFF0000"/>
        <rFont val="Arial"/>
        <family val="2"/>
        <charset val="0"/>
      </rPr>
      <t>Cut</t>
    </r>
    <r>
      <rPr>
        <sz val="12"/>
        <color rgb="FFFF0000"/>
        <rFont val="Arial"/>
        <family val="2"/>
        <charset val="0"/>
      </rPr>
      <t xml:space="preserve"> &amp; Paste’ information into cells. Use ‘</t>
    </r>
    <r>
      <rPr>
        <b/>
        <sz val="12"/>
        <color rgb="FFFF0000"/>
        <rFont val="Arial"/>
        <family val="2"/>
        <charset val="0"/>
      </rPr>
      <t>Copy</t>
    </r>
    <r>
      <rPr>
        <sz val="12"/>
        <color rgb="FFFF0000"/>
        <rFont val="Arial"/>
        <family val="2"/>
        <charset val="0"/>
      </rPr>
      <t xml:space="preserve"> &amp; Paste’ instead.</t>
    </r>
  </si>
  <si>
    <t>Staffing Plan</t>
  </si>
  <si>
    <t>Date completed</t>
  </si>
  <si>
    <t>Age range</t>
  </si>
  <si>
    <t>Insurance: Risk Protection Arrangement opt in</t>
  </si>
  <si>
    <t>Staffing structure</t>
  </si>
  <si>
    <t>Key Financial Indicators</t>
  </si>
  <si>
    <t>To use this template, please follow the instruction below, otherwise the template will not work.</t>
  </si>
  <si>
    <t>Bournemouth, Christchurch &amp; Poole</t>
  </si>
  <si>
    <t>2018-19 LA Name</t>
  </si>
  <si>
    <t>NI category</t>
  </si>
  <si>
    <t>Prorated pay inc allowances</t>
  </si>
  <si>
    <t>NI Contribution</t>
  </si>
  <si>
    <t>Pension contribution</t>
  </si>
  <si>
    <t>LEL</t>
  </si>
  <si>
    <t>Primary Threshold (PT)</t>
  </si>
  <si>
    <t>Secondary Threshold (ST)</t>
  </si>
  <si>
    <t>Upper Secondary Threshold (under 21) (UST)</t>
  </si>
  <si>
    <t>Apprentice Upper Secondary Threshold (apprentice under 25) (AUST)</t>
  </si>
  <si>
    <t>Upper Earnings Limit (UEL)</t>
  </si>
  <si>
    <t>Per Year</t>
  </si>
  <si>
    <t>National Insurance category letter</t>
  </si>
  <si>
    <t>Earnings at or above LEL up to and including ST</t>
  </si>
  <si>
    <t>Earnings above ST up to and including UEL/UST/AUST</t>
  </si>
  <si>
    <t>Balance of earnings above UEL/UST/AUST</t>
  </si>
  <si>
    <t>Additional ESFA/DfE funding</t>
  </si>
  <si>
    <t>ESFA rates grant</t>
  </si>
  <si>
    <t>Additional funding 1</t>
  </si>
  <si>
    <t>Additional funding 2</t>
  </si>
  <si>
    <t>Additional funding 3</t>
  </si>
  <si>
    <t>Additional funding 4</t>
  </si>
  <si>
    <t>Proportion of year school is open for</t>
  </si>
  <si>
    <t>PROPORTION OF YEAR SCHOOL IS OPEN FOR</t>
  </si>
  <si>
    <t>2019-20 Pupil Premium</t>
  </si>
  <si>
    <t>FSM Ever 6 - Primary</t>
  </si>
  <si>
    <t>FSM Ever 6 - Secondary</t>
  </si>
  <si>
    <t>Threshold</t>
  </si>
  <si>
    <t>Primary (Years R-6)</t>
  </si>
  <si>
    <t>IDACI Band  F</t>
  </si>
  <si>
    <t>IDACI Band  E</t>
  </si>
  <si>
    <t>IDACI Band  D</t>
  </si>
  <si>
    <t>IDACI Band  C</t>
  </si>
  <si>
    <t>IDACI Band  B</t>
  </si>
  <si>
    <t>IDACI Band  A</t>
  </si>
  <si>
    <t>Weighting</t>
  </si>
  <si>
    <t>Amount per pupil (primary or secondary respectively)</t>
  </si>
  <si>
    <t>Primary Low Attainment</t>
  </si>
  <si>
    <t>Secondary low attainment (year 7)</t>
  </si>
  <si>
    <t>Secondary low attainment (year 8)</t>
  </si>
  <si>
    <t>Secondary low attainment (year 9)</t>
  </si>
  <si>
    <t>Secondary low attainment (years 10 to 11)</t>
  </si>
  <si>
    <t>London Fringe Rates 2019-20</t>
  </si>
  <si>
    <t>Low attainment proportion under new EYFSP</t>
  </si>
  <si>
    <t>Low Attainment Secondary Proportion Yr 7</t>
  </si>
  <si>
    <t>Low Attainment Secondary Proportion Yr 8</t>
  </si>
  <si>
    <t>Low Attainment Secondary Proportion Yr 9</t>
  </si>
  <si>
    <t>Low Attainment Secondary Proportion Yr 10-11</t>
  </si>
  <si>
    <t>NOR Primary</t>
  </si>
  <si>
    <t>NOR Secondary</t>
  </si>
  <si>
    <t>NOR Y9</t>
  </si>
  <si>
    <t>NOR Y10-11</t>
  </si>
  <si>
    <t>Future Funding Income for Years 2 to 8 - based on 2019-20 Proforma data and LA Averages</t>
  </si>
  <si>
    <t>TOTAL INDICATIVE FUNDING FOR ACADEMIC YEAR 2019 TO 2020</t>
  </si>
  <si>
    <t>Bournemouth, ChristChurch &amp; Poole</t>
  </si>
  <si>
    <t>Primary minimum per pupil funding level</t>
  </si>
  <si>
    <t>Secondary (KS3 only) minimum per pupil funding level</t>
  </si>
  <si>
    <t>Secondary (KS4 only) minimum per pupil funding level</t>
  </si>
  <si>
    <t>Secondary (KS3 and KS4) minimum per pupil funding level</t>
  </si>
  <si>
    <t>FSM Ever 6  Primary Amount Per Pupil</t>
  </si>
  <si>
    <t>Secondary low attainment (year 9) weighting</t>
  </si>
  <si>
    <t>Secondary (KS4 only) MFL/ Pupil</t>
  </si>
  <si>
    <t>Are you aware that funding beyond 2019/20 is only indicative?</t>
  </si>
  <si>
    <t>Free School Protection: uses Local Authority Average for the previous year against the Local Authority Average (LAA) for the current year</t>
  </si>
  <si>
    <t>LAA</t>
  </si>
  <si>
    <t>YEAR 1-6</t>
  </si>
  <si>
    <t>YEAR 9</t>
  </si>
  <si>
    <t>YEAR 9 Weight</t>
  </si>
  <si>
    <t>YEAR 10-11</t>
  </si>
  <si>
    <t>Primary FSM and FSM6</t>
  </si>
  <si>
    <t>Yr 1-6</t>
  </si>
  <si>
    <t>Yr 9</t>
  </si>
  <si>
    <t>Yr 10-11</t>
  </si>
  <si>
    <t>Pupil units</t>
  </si>
  <si>
    <t>Total pupil led funding</t>
  </si>
  <si>
    <t>Lump sum adjustment</t>
  </si>
  <si>
    <t xml:space="preserve">     Total pupil led funding</t>
  </si>
  <si>
    <t xml:space="preserve">     Add actual lump sum</t>
  </si>
  <si>
    <t xml:space="preserve">     Deduct current year lump sum</t>
  </si>
  <si>
    <t>Adjusted total</t>
  </si>
  <si>
    <t>Other income from third parties</t>
  </si>
  <si>
    <t>Other income 6</t>
  </si>
  <si>
    <t>Other income 7</t>
  </si>
  <si>
    <t>Other income 8</t>
  </si>
  <si>
    <t>Cells will turn red in the Budget sheet where you have not used the LA Average and have instead entered alternative figures in the pre- and/or post-16 ready reckoners. Cells will turn red in the Summary sheet where certain metrics fall outside of set ranges. These red cells are a guide only, intended to assist you in your plans, and are not intended as mandatory targets. Please use the assumptions column to provide explanations when cells turn red.</t>
  </si>
  <si>
    <r>
      <t xml:space="preserve">Section 1 - Pupil numbers
</t>
    </r>
    <r>
      <rPr>
        <sz val="10"/>
        <rFont val="Arial"/>
        <family val="2"/>
        <charset val="0"/>
      </rPr>
      <t>This section will aggregate the figures entered on the Pupil_Place Numbers sheet, and also allows you to enter the per pupil top-up funding rates.</t>
    </r>
  </si>
  <si>
    <r>
      <t xml:space="preserve">Are NI categories correct?
</t>
    </r>
    <r>
      <rPr>
        <u val="single"/>
        <sz val="10"/>
        <color rgb="FF0066CC"/>
        <rFont val="Arial"/>
        <family val="2"/>
        <charset val="0"/>
      </rPr>
      <t>https://www.gov.uk/national-insurance-rates-letters/contribution-rates</t>
    </r>
  </si>
  <si>
    <t>Independent convertor</t>
  </si>
  <si>
    <t>Has the staffing structure and schedule of appointments been agreed with the project’s DfE external expert?</t>
  </si>
  <si>
    <t>Total number of pupils  guaranteed by the local authority by year</t>
  </si>
  <si>
    <r>
      <t xml:space="preserve">You will only need to fill in the table below if the Local Authority </t>
    </r>
    <r>
      <rPr>
        <b/>
        <sz val="11"/>
        <color theme="1"/>
        <rFont val="Calibri"/>
        <family val="2"/>
        <charset val="0"/>
        <scheme val="minor"/>
      </rPr>
      <t>has agreed</t>
    </r>
    <r>
      <rPr>
        <sz val="11"/>
        <color theme="1"/>
        <rFont val="Calibri"/>
        <family val="2"/>
        <charset val="0"/>
        <scheme val="minor"/>
      </rPr>
      <t xml:space="preserve"> to guarantee/underwrite pupil numbers</t>
    </r>
  </si>
  <si>
    <t>Deleting rows will cause any information recorded in those rows to be lost permanently</t>
  </si>
  <si>
    <t>Independent Convertor</t>
  </si>
  <si>
    <t>H - Apprentice under 25</t>
  </si>
  <si>
    <t>J - Deferment</t>
  </si>
  <si>
    <t>C - Over the State Pension age</t>
  </si>
  <si>
    <t>M - Under 21</t>
  </si>
  <si>
    <t>Z - Deferment (Under 21)</t>
  </si>
  <si>
    <t>A - All employees not in groups B, C, J, H, M or Z</t>
  </si>
  <si>
    <t>Secondary (KS3 only) MFL/ Pupil</t>
  </si>
  <si>
    <t>Lower Threshold</t>
  </si>
  <si>
    <t>Upper Threshold</t>
  </si>
  <si>
    <t>Mainstream Primary</t>
  </si>
  <si>
    <t>Mainstream Secondary</t>
  </si>
  <si>
    <t>Mainstream All Through</t>
  </si>
  <si>
    <r>
      <t xml:space="preserve">This sheet provides a breakdown of your funding allocation, your pupil and staff numbers, and staff structure. This data is compared with known averages to provide guideline financial ratios. When the ratio differs from the average the numbering in the cells will turn </t>
    </r>
    <r>
      <rPr>
        <sz val="10"/>
        <color indexed="10"/>
        <rFont val="Arial"/>
        <family val="2"/>
        <charset val="0"/>
      </rPr>
      <t>red</t>
    </r>
    <r>
      <rPr>
        <sz val="10"/>
        <rFont val="Arial"/>
        <family val="2"/>
        <charset val="0"/>
      </rPr>
      <t xml:space="preserve">. If this applies, please use the Assumption column to provide notes or explanations. </t>
    </r>
  </si>
  <si>
    <t>2020/21</t>
  </si>
  <si>
    <t>2021/22</t>
  </si>
  <si>
    <t>2022/23</t>
  </si>
  <si>
    <t>2023/24</t>
  </si>
  <si>
    <t>2024/25</t>
  </si>
  <si>
    <t>2025/26</t>
  </si>
  <si>
    <t>2026/27</t>
  </si>
  <si>
    <t>16-19 FTE ESFA-funded places 2026/27</t>
  </si>
  <si>
    <t>(of which) 16-19 high-needs pupils 2026/27</t>
  </si>
  <si>
    <t>16-19 FTE commissioner-led places 2026/27</t>
  </si>
  <si>
    <t>Reception 2026/27</t>
  </si>
  <si>
    <t>UTC only (not part of extraction/import…. Please do not remove)</t>
  </si>
  <si>
    <t>2627 Total new primary places (£250 per pupil)</t>
  </si>
  <si>
    <t>2627 Total new secondary places (£500 per new place)</t>
  </si>
  <si>
    <t>2627 Number of empty year groups  - Reception to Year 11</t>
  </si>
  <si>
    <t>2627 Leadership grant</t>
  </si>
  <si>
    <t>M 16-19 ONLY</t>
  </si>
  <si>
    <t>Percentage of Secondary pupils eligible (Y10)</t>
  </si>
  <si>
    <t>Percentage of Secondary pupils eligible (Y9)</t>
  </si>
  <si>
    <t>Secondary (KS3) MFL/ Pupil £</t>
  </si>
  <si>
    <t>Secondary (KS4) MFL/ Pupil £</t>
  </si>
  <si>
    <t>Disadvantaged funding (Block 2 funding) - Total Instances Attracting Funding</t>
  </si>
  <si>
    <t>B - Married women and widows entitled to reduced NI</t>
  </si>
  <si>
    <t>LA Proforma Data 2019-20</t>
  </si>
  <si>
    <t>LA Averages Data 2019-20</t>
  </si>
  <si>
    <t>DD/MM/YYYY</t>
  </si>
  <si>
    <t>Free School Protection</t>
  </si>
  <si>
    <t>We will advise you if you are eligible for fringe payments</t>
  </si>
  <si>
    <t xml:space="preserve"> If this factor is applicable to your school, please contact the Department for Education</t>
  </si>
  <si>
    <t>Financial Template 2020/21</t>
  </si>
  <si>
    <t>This tool is intended to help you plan your budget by giving an indicative funding allocation for 2020/21 based on the size, phase and location of the proposed school.
It has been designed for users without specialist finance knowledge - so has been kept as simple as possible.</t>
  </si>
  <si>
    <r>
      <t xml:space="preserve">Please provide details of the post, full time equivalent (FTE) salary, allowance, pension rate and National Insurance category.
Allowances are for additional responsibility given to staff (to ensure continued delivery of high-quality teaching and learning) for which they are made accountable.
You should indicate whether members of staff are full or part time. Each member of staff should be entered in a separate row.
The 2020/21 version of the template includes a change to how NI contributions are calculated. You should select each employee's NI category ('A' is selected as default). The employer's NI contribution is then automatically calculated and included in the total staff cost. Guidance on National Insurance categories and rates is available here: </t>
    </r>
    <r>
      <rPr>
        <u val="single"/>
        <sz val="10"/>
        <color rgb="FF0066CC"/>
        <rFont val="Arial"/>
        <family val="2"/>
        <charset val="0"/>
      </rPr>
      <t>https://www.gov.uk/national-insurance-rates-letters/contribution-rates</t>
    </r>
  </si>
  <si>
    <t>2019-20 Local authority area</t>
  </si>
  <si>
    <t xml:space="preserve"> Indicative 2020/21  Pre 16 Funding Calculator</t>
  </si>
  <si>
    <t>Additional Funding for Academic Year 2020 to 2021</t>
  </si>
  <si>
    <t>TOTAL INDICATIVE FUNDING FOR ACADEMIC YEAR 2020 TO 2021</t>
  </si>
  <si>
    <t>Free School Protection against 2020/21</t>
  </si>
  <si>
    <t>The amount that will be displayed in the Pre 16 Ready Reckoner for 2020/21</t>
  </si>
  <si>
    <t>2020/21 Pupil units</t>
  </si>
  <si>
    <t>19/20 Per pupil rate</t>
  </si>
  <si>
    <t>19/20 Difference</t>
  </si>
  <si>
    <t>2020-21 Funding Amounts</t>
  </si>
  <si>
    <t>2020-21 Pre-16 high needs place funding</t>
  </si>
  <si>
    <t>2020-21 Post-16 high needs place funding</t>
  </si>
  <si>
    <t>2020-21 RPA per pupil amount</t>
  </si>
  <si>
    <t>2019-20 Post-Opening Grant / Non-Staffing Resources</t>
  </si>
  <si>
    <t>2019-20 Leadership Grant / 16-19 School</t>
  </si>
  <si>
    <t>2020-21 Pupil Premium</t>
  </si>
  <si>
    <t>London Fringe Rates 2020-21</t>
  </si>
  <si>
    <t>Class 1 National Insurance thresholds 2020 to 2021</t>
  </si>
  <si>
    <t>Employer (secondary) contribution rates 2020 to 2021</t>
  </si>
  <si>
    <t>Please Enter The NI Cont. in ££££</t>
  </si>
  <si>
    <t xml:space="preserve"> Indicative 2019/20  Pre 16 Funding Calculator</t>
  </si>
  <si>
    <t>Y9</t>
  </si>
  <si>
    <t>Bournemouth,Christcurch &amp; Poole</t>
  </si>
  <si>
    <t>LA Averages Data 2020-21</t>
  </si>
  <si>
    <t>No. Year Groups</t>
  </si>
  <si>
    <t>DIS-ADVANTAGE FUNDING</t>
  </si>
  <si>
    <t>LEVEL 3 PROGRAMME MATHS AND ENGLISH PAYMENT</t>
  </si>
  <si>
    <t>Table 3: Breakdown of Disadvantage Funding</t>
  </si>
  <si>
    <t>3A</t>
  </si>
  <si>
    <t>3B</t>
  </si>
  <si>
    <t>3C</t>
  </si>
  <si>
    <t>3D</t>
  </si>
  <si>
    <t>Rate</t>
  </si>
  <si>
    <t>Total Level 3 Maths and English Funding</t>
  </si>
  <si>
    <t>Eligible 1 Year Programmes</t>
  </si>
  <si>
    <t>Eligible 2 Year Programmes</t>
  </si>
  <si>
    <t>From Table 3</t>
  </si>
  <si>
    <t>From Table 4</t>
  </si>
  <si>
    <t>Table 4: High Value Course Premium</t>
  </si>
  <si>
    <t>4A</t>
  </si>
  <si>
    <r>
      <t xml:space="preserve">Total Disadvantage Funding </t>
    </r>
    <r>
      <rPr>
        <b/>
        <sz val="10"/>
        <color indexed="8"/>
        <rFont val="Arial"/>
        <family val="2"/>
        <charset val="0"/>
      </rPr>
      <t>(Sum of Block 1, Block 2 &amp; Min. Top-Up)</t>
    </r>
  </si>
  <si>
    <r>
      <t/>
    </r>
    <r>
      <rPr>
        <b/>
        <sz val="10"/>
        <color theme="1"/>
        <rFont val="Arial"/>
        <family val="2"/>
        <charset val="0"/>
      </rPr>
      <t xml:space="preserve">STUDENT
NUMBERS
</t>
    </r>
    <r>
      <rPr>
        <sz val="10"/>
        <color theme="1"/>
        <rFont val="Arial"/>
        <family val="2"/>
        <charset val="0"/>
      </rPr>
      <t xml:space="preserve">
</t>
    </r>
  </si>
  <si>
    <r>
      <t/>
    </r>
    <r>
      <rPr>
        <b/>
        <sz val="10"/>
        <color rgb="FF000000"/>
        <rFont val="Arial"/>
        <family val="2"/>
        <charset val="0"/>
      </rPr>
      <t>NOTES</t>
    </r>
    <r>
      <rPr>
        <sz val="10"/>
        <color indexed="8"/>
        <rFont val="Arial"/>
        <family val="2"/>
        <charset val="0"/>
      </rPr>
      <t xml:space="preserve">
All figures are indicative, provisional and based on standard full-time sixth form delivery. Figures may also differ slightly from the final allocation due to rounding.
- Full time 18+ year olds are funded at the highest part-time band (450+hrs) at a rate of £3,455.
- Disadvantage Block 2 funding is allocated at a rate of £480 per funded instance.
- High Value Courses Premium is allocated at a rate of £400 per funded student.
- Additional funding may be allocated for bursary and this is not represented in this funding calculator.
- Some Local Authorities span more than one area cost uplift location. In such instances, the lowest value has been used in this model. The final uplift will be based on the registered delivery location of the new institution.</t>
    </r>
  </si>
  <si>
    <t>NOR Y10</t>
  </si>
  <si>
    <t>NOR Y11</t>
  </si>
  <si>
    <t>NOR_ Primary</t>
  </si>
  <si>
    <t>NOR_ Secondary</t>
  </si>
  <si>
    <t>Low Attainment under new EYFSP Proportion</t>
  </si>
  <si>
    <t>Low Attainment Secondary Proportion Y7</t>
  </si>
  <si>
    <t>Low Attainment Secondary Proportion Y8</t>
  </si>
  <si>
    <t>Low Attainment Secondary Proportion Y9</t>
  </si>
  <si>
    <t>Low Attainment Secondary Proportion Y10</t>
  </si>
  <si>
    <t>Low Attainment Secondary Proportion Y11</t>
  </si>
  <si>
    <t>Weighted Secondary LPA</t>
  </si>
  <si>
    <t>Secondary low attainment (year 10)</t>
  </si>
  <si>
    <t>Secondary low attainment (year 11)</t>
  </si>
  <si>
    <t>Key Stage 4 (Year 10)</t>
  </si>
  <si>
    <t>Key Stage 4 (Year 11)</t>
  </si>
  <si>
    <t>YEAR 10</t>
  </si>
  <si>
    <t>YEAR 11</t>
  </si>
  <si>
    <t>YEAR 10 Weight</t>
  </si>
  <si>
    <t>Yr 10</t>
  </si>
  <si>
    <t>Yr 11</t>
  </si>
  <si>
    <t>Secondary minimum per pupil funding level</t>
  </si>
  <si>
    <t>Secondary low attainment (year 10) weighting</t>
  </si>
  <si>
    <t>LA Proforma Data 2020-21</t>
  </si>
  <si>
    <t>IDACI Primary Percentage Band F</t>
  </si>
  <si>
    <t>IDACI Secondary Percentage Band F</t>
  </si>
  <si>
    <t>IDACI Primary Percentage Band E</t>
  </si>
  <si>
    <t>IDACI Secondary Percentage Band E</t>
  </si>
  <si>
    <t>IDACI Primary Percentage Band D</t>
  </si>
  <si>
    <t>IDACI Secondary Percentage Band D</t>
  </si>
  <si>
    <t>IDACI Primary Percentage Band C</t>
  </si>
  <si>
    <t>IDACI Secondary Percentage Band C</t>
  </si>
  <si>
    <t>IDACI Primary Percentage Band B</t>
  </si>
  <si>
    <t>IDACI Secondary Percentage Band B</t>
  </si>
  <si>
    <t>IDACI Primary Percentage Band A</t>
  </si>
  <si>
    <t>IDACI Secondary Percentage Band A</t>
  </si>
  <si>
    <t>Primary FSM Percentage</t>
  </si>
  <si>
    <t>Secondary FSM Percentage</t>
  </si>
  <si>
    <t>Primary Ever 6 Percentage</t>
  </si>
  <si>
    <t>Secondary Ever 6 Percentage</t>
  </si>
  <si>
    <t>LAC  X Value</t>
  </si>
  <si>
    <t>EAL Primary Type</t>
  </si>
  <si>
    <t>EAL Secondary Type</t>
  </si>
  <si>
    <t>Primary Low Attainment APP (Value)</t>
  </si>
  <si>
    <t>Secondary low attainment (year 8) Weighting (%)</t>
  </si>
  <si>
    <t>Secondary low attainment (year 7) Weighting (%)</t>
  </si>
  <si>
    <t>Secondary low attainment (year 9) Weighting (%)</t>
  </si>
  <si>
    <t>Secondary low attainment (year 10) Weighting (%)</t>
  </si>
  <si>
    <t>Percentage of Secondary pupils eligible (Y11)</t>
  </si>
  <si>
    <t>L3 Maths &amp; English Funding (Impact)</t>
  </si>
  <si>
    <t>L3 Maths &amp; English Funding (Baseline)</t>
  </si>
  <si>
    <t>HVCP Funding (Impact)</t>
  </si>
  <si>
    <t>HVCP Funding (Baseline)</t>
  </si>
  <si>
    <t>2027/28</t>
  </si>
  <si>
    <t>2627 Number of Year Groups Present - Reception to Year 11</t>
  </si>
  <si>
    <t>2728 Number of Year Groups Present - Reception to Year 11</t>
  </si>
  <si>
    <t>16-19 FTE ESFA-funded places 2027/28</t>
  </si>
  <si>
    <t>(of which) 16-19 high-needs pupils 2027/28</t>
  </si>
  <si>
    <t>16-19 FTE commissioner-led places 2027/28</t>
  </si>
  <si>
    <t>Reception 2027/28</t>
  </si>
  <si>
    <t>Year 1 2026/27</t>
  </si>
  <si>
    <t>Year 1 2027/28</t>
  </si>
  <si>
    <t>Year 2 2026/27</t>
  </si>
  <si>
    <t>Year 2 2027/28</t>
  </si>
  <si>
    <t>Year 3 2026/27</t>
  </si>
  <si>
    <t>Year 3 2027/28</t>
  </si>
  <si>
    <t>Year 4 2026/27</t>
  </si>
  <si>
    <t>Year 4 2027/28</t>
  </si>
  <si>
    <t>Year 5 2026/27</t>
  </si>
  <si>
    <t>Year 5 2027/28</t>
  </si>
  <si>
    <t>Year 6 2026/27</t>
  </si>
  <si>
    <t>Year 6 2027/28</t>
  </si>
  <si>
    <t>Year 7 2026/27</t>
  </si>
  <si>
    <t>Year 7 2027/28</t>
  </si>
  <si>
    <t>Year 8 2026/27</t>
  </si>
  <si>
    <t>Year 8 2027/28</t>
  </si>
  <si>
    <t>Year 9 2026/27</t>
  </si>
  <si>
    <t>Year 9 2027/28</t>
  </si>
  <si>
    <t>Year 10 2026/27</t>
  </si>
  <si>
    <t>Year 10 2027/28</t>
  </si>
  <si>
    <t>Year 11 2026/27</t>
  </si>
  <si>
    <t>Year 11 2027/28</t>
  </si>
  <si>
    <t>Year 12 2026/27</t>
  </si>
  <si>
    <t>Year 12 2027/28</t>
  </si>
  <si>
    <t>Year 13 2026/27</t>
  </si>
  <si>
    <t>Year 13 2027/28</t>
  </si>
  <si>
    <t>2728 Total new primary places (£250 per pupil)</t>
  </si>
  <si>
    <t>2728 Total new secondary places (£500 per new place)</t>
  </si>
  <si>
    <t>2728 Number of empty year groups  - Reception to Year 11</t>
  </si>
  <si>
    <t>2728 Leadership grant</t>
  </si>
  <si>
    <t>2019/20 Free School Protection</t>
  </si>
  <si>
    <t>Total Indicative Funding For Academic Year 2020 To 2021</t>
  </si>
  <si>
    <t>Alternative factor approved by ESFA Funding Directorate</t>
  </si>
  <si>
    <t>Alternative factor
approved by ESFA Funding Directorate</t>
  </si>
  <si>
    <t>Total instances</t>
  </si>
  <si>
    <t>Instances attracting funding per student
(national average)</t>
  </si>
  <si>
    <t>Level 3
1 year programme maths and English funding</t>
  </si>
  <si>
    <t>Level 3
2 year programme maths and English funding</t>
  </si>
  <si>
    <t>Economic deprivation funding</t>
  </si>
  <si>
    <t>Block 1 factor
(LA average)</t>
  </si>
  <si>
    <t>Funding including programme costs</t>
  </si>
  <si>
    <t>Block 1 funding</t>
  </si>
  <si>
    <t>Block 2 funding</t>
  </si>
  <si>
    <t>Table 2: Level 3 Programme Maths and English Payment</t>
  </si>
  <si>
    <t>Proportion of students on HVCP
(national average)</t>
  </si>
  <si>
    <t>HVCP funding</t>
  </si>
  <si>
    <r>
      <t/>
    </r>
    <r>
      <rPr>
        <b/>
        <sz val="10"/>
        <color indexed="8"/>
        <rFont val="Arial"/>
        <family val="2"/>
        <charset val="0"/>
      </rPr>
      <t xml:space="preserve">RETENTION FACTOR
</t>
    </r>
    <r>
      <rPr>
        <sz val="10"/>
        <color indexed="8"/>
        <rFont val="Arial"/>
        <family val="2"/>
        <charset val="0"/>
      </rPr>
      <t>(national average)</t>
    </r>
  </si>
  <si>
    <r>
      <t/>
    </r>
    <r>
      <rPr>
        <b/>
        <sz val="10"/>
        <color indexed="8"/>
        <rFont val="Arial"/>
        <family val="2"/>
        <charset val="0"/>
      </rPr>
      <t xml:space="preserve">PROGRAMME COST WEIGHTING
</t>
    </r>
    <r>
      <rPr>
        <sz val="10"/>
        <color indexed="8"/>
        <rFont val="Arial"/>
        <family val="2"/>
        <charset val="0"/>
      </rPr>
      <t>(national average)</t>
    </r>
  </si>
  <si>
    <r>
      <t/>
    </r>
    <r>
      <rPr>
        <b/>
        <sz val="10"/>
        <color indexed="8"/>
        <rFont val="Arial"/>
        <family val="2"/>
        <charset val="0"/>
      </rPr>
      <t xml:space="preserve">AREA COST ALLOWANCE
</t>
    </r>
    <r>
      <rPr>
        <sz val="10"/>
        <color indexed="8"/>
        <rFont val="Arial"/>
        <family val="2"/>
        <charset val="0"/>
      </rPr>
      <t>(based on LA)</t>
    </r>
  </si>
  <si>
    <r>
      <t/>
    </r>
    <r>
      <rPr>
        <b/>
        <sz val="10"/>
        <color theme="1"/>
        <rFont val="Arial"/>
        <family val="2"/>
        <charset val="0"/>
      </rPr>
      <t>HIGH VALUE COURSE PREMIUM</t>
    </r>
    <r>
      <rPr>
        <sz val="10"/>
        <color theme="1"/>
        <rFont val="Arial"/>
        <family val="2"/>
        <charset val="0"/>
      </rPr>
      <t xml:space="preserve">
(national average)</t>
    </r>
  </si>
  <si>
    <t>Minimum top-up (If applicable)</t>
  </si>
  <si>
    <r>
      <t/>
    </r>
    <r>
      <rPr>
        <b/>
        <sz val="10"/>
        <rFont val="Arial"/>
        <family val="2"/>
        <charset val="0"/>
      </rPr>
      <t>Section 3 - Expenditure</t>
    </r>
    <r>
      <rPr>
        <sz val="10"/>
        <rFont val="Arial"/>
        <family val="2"/>
        <charset val="0"/>
      </rPr>
      <t xml:space="preserve">
Details of staff salaries will draw on the information you enter in the 'Staff' tab. 
For other expenditure, enter your costs under the headings: Other Staff Costs, Premises, Educational Resources, Professional Services and Other. The categories we have provided are suggestions of the sorts of expenditure we would expect to see. Please include assumptions for each expenditure line, and please refer to the schools benchmarking website:
</t>
    </r>
    <r>
      <rPr>
        <u val="single"/>
        <sz val="10"/>
        <color rgb="FF0066CC"/>
        <rFont val="Arial"/>
        <family val="2"/>
        <charset val="0"/>
      </rPr>
      <t>https://schools-financial-benchmarking.service.gov.uk/</t>
    </r>
  </si>
  <si>
    <r>
      <t xml:space="preserve">Is the school reliant on ‘other income from third parties’ in any year e.g. lettings or donations?
</t>
    </r>
    <r>
      <rPr>
        <i/>
        <sz val="10"/>
        <color theme="1"/>
        <rFont val="Arial"/>
        <family val="2"/>
        <charset val="0"/>
      </rPr>
      <t>(Reliance on third party income to be financially viable is not acceptable unless supported by robust evidence e.g. legal agreements)</t>
    </r>
  </si>
  <si>
    <r>
      <t xml:space="preserve">Has the ready reckoner been left unchanged, to model the worst case financial scenario?
</t>
    </r>
    <r>
      <rPr>
        <i/>
        <sz val="10"/>
        <color theme="1"/>
        <rFont val="Arial"/>
        <family val="2"/>
        <charset val="0"/>
      </rPr>
      <t>(Schools opening in 2020 should enter the results from their post 16 business case. For schools opening in 2021 and beyond you will be invited to provide a business case justifying changes to the ready reckoner e.g. to reflect a science or engineering-focused curriculum in the January before opening.) Please leave the sheet unchanged until ESFA have agreed your business case.</t>
    </r>
  </si>
  <si>
    <t>Alternative factors used?</t>
  </si>
  <si>
    <t>PCW</t>
  </si>
  <si>
    <t>ACW</t>
  </si>
  <si>
    <t>L3MathsAndEnglish1YearOverride</t>
  </si>
  <si>
    <t>L3MathsAndEnglish2YearOverride</t>
  </si>
  <si>
    <t>Block1</t>
  </si>
  <si>
    <t>Block2</t>
  </si>
  <si>
    <t>HVCP</t>
  </si>
  <si>
    <t>Any?</t>
  </si>
  <si>
    <t>pcw_switch</t>
  </si>
  <si>
    <t>block1_switch</t>
  </si>
  <si>
    <t>block2_switch</t>
  </si>
  <si>
    <t>pupils</t>
  </si>
  <si>
    <t>nfr per student</t>
  </si>
  <si>
    <t>retention factor</t>
  </si>
  <si>
    <t>programme cost weighting</t>
  </si>
  <si>
    <t>L3 maths and english</t>
  </si>
  <si>
    <t>disadvantage funding</t>
  </si>
  <si>
    <t>acw_switch</t>
  </si>
  <si>
    <t>area cost allowance</t>
  </si>
  <si>
    <t>proportion of year open</t>
  </si>
  <si>
    <t>result</t>
  </si>
</sst>
</file>

<file path=xl/styles.xml><?xml version="1.0" encoding="utf-8"?>
<styleSheet xmlns:mc="http://schemas.openxmlformats.org/markup-compatibility/2006" xmlns:x14ac="http://schemas.microsoft.com/office/spreadsheetml/2009/9/ac" xmlns="http://schemas.openxmlformats.org/spreadsheetml/2006/main" mc:Ignorable="x14ac">
  <numFmts count="24">
    <numFmt numFmtId="5" formatCode="&quot;£&quot;#,##0;\-&quot;£&quot;#,##0"/>
    <numFmt numFmtId="6" formatCode="&quot;£&quot;#,##0;[Red]\-&quot;£&quot;#,##0"/>
    <numFmt numFmtId="8" formatCode="&quot;£&quot;#,##0.00;[Red]\-&quot;£&quot;#,##0.00"/>
    <numFmt numFmtId="44" formatCode="_-&quot;£&quot;* #,##0.00_-;\-&quot;£&quot;* #,##0.00_-;_-&quot;£&quot;* &quot;-&quot;??_-;_-@_-"/>
    <numFmt numFmtId="43" formatCode="_-* #,##0.00_-;\-* #,##0.00_-;_-* &quot;-&quot;??_-;_-@_-"/>
    <numFmt numFmtId="164" formatCode="_-&quot;£&quot;* #,##0_-;\-&quot;£&quot;* #,##0_-;_-&quot;£&quot;* &quot;-&quot;??_-;_-@_-"/>
    <numFmt numFmtId="165" formatCode="0.0%"/>
    <numFmt numFmtId="166" formatCode="0.0"/>
    <numFmt numFmtId="167" formatCode="_-[$£-809]* #,##0_-;\-[$£-809]* #,##0_-;_-[$£-809]* &quot;-&quot;??_-;_-@_-"/>
    <numFmt numFmtId="168" formatCode="&quot;£&quot;#,##0"/>
    <numFmt numFmtId="169" formatCode="mmmm\ yyyy"/>
    <numFmt numFmtId="170" formatCode="&quot;£&quot;#,##0.00"/>
    <numFmt numFmtId="171" formatCode="_-* #,##0_-;\-* #,##0_-;_-* &quot;-&quot;??_-;_-@_-"/>
    <numFmt numFmtId="172" formatCode="0.000"/>
    <numFmt numFmtId="173" formatCode="&quot;£&quot;###,###,###"/>
    <numFmt numFmtId="174" formatCode="0_ ;[Red]\-0\ "/>
    <numFmt numFmtId="175" formatCode="#,##0.00_ ;\-#,##0.00\ "/>
    <numFmt numFmtId="176" formatCode="#,##0_ ;\-#,##0\ "/>
    <numFmt numFmtId="177" formatCode="&quot;£&quot;#,##0.000000"/>
    <numFmt numFmtId="178" formatCode="&quot;£&quot;#,##0.00000"/>
    <numFmt numFmtId="179" formatCode="&quot;£&quot;#,##0.000"/>
    <numFmt numFmtId="180" formatCode="0.0000000000"/>
    <numFmt numFmtId="181" formatCode="0.000000000000000%"/>
    <numFmt numFmtId="182" formatCode="#,##0.0000000"/>
  </numFmts>
  <fonts count="73">
    <font>
      <sz val="11"/>
      <color theme="1"/>
      <name val="Calibri"/>
      <family val="2"/>
      <charset val="0"/>
      <scheme val="minor"/>
    </font>
    <font>
      <sz val="10"/>
      <name val="Arial"/>
      <family val="2"/>
      <charset val="0"/>
    </font>
    <font>
      <b/>
      <sz val="10"/>
      <name val="Arial"/>
      <family val="2"/>
      <charset val="0"/>
    </font>
    <font>
      <sz val="10"/>
      <color rgb="FFFF0000"/>
      <name val="Arial"/>
      <family val="2"/>
      <charset val="0"/>
    </font>
    <font>
      <sz val="11"/>
      <color theme="1"/>
      <name val="Calibri"/>
      <family val="2"/>
      <charset val="0"/>
      <scheme val="minor"/>
    </font>
    <font>
      <b/>
      <sz val="10"/>
      <color indexed="10"/>
      <name val="Arial"/>
      <family val="2"/>
      <charset val="0"/>
    </font>
    <font>
      <sz val="10"/>
      <color indexed="10"/>
      <name val="Arial"/>
      <family val="2"/>
      <charset val="0"/>
    </font>
    <font>
      <u val="single"/>
      <sz val="10"/>
      <color indexed="30"/>
      <name val="Arial"/>
      <family val="2"/>
      <charset val="0"/>
    </font>
    <font>
      <sz val="10"/>
      <color indexed="8"/>
      <name val="Arial"/>
      <family val="2"/>
      <charset val="0"/>
    </font>
    <font>
      <sz val="11"/>
      <color theme="1"/>
      <name val="Arial"/>
      <family val="2"/>
      <charset val="0"/>
    </font>
    <font>
      <b/>
      <sz val="10"/>
      <color theme="1"/>
      <name val="Arial"/>
      <family val="2"/>
      <charset val="0"/>
    </font>
    <font>
      <sz val="10"/>
      <color theme="1"/>
      <name val="Arial"/>
      <family val="2"/>
      <charset val="0"/>
    </font>
    <font>
      <i/>
      <sz val="10"/>
      <color theme="1"/>
      <name val="Arial"/>
      <family val="2"/>
      <charset val="0"/>
    </font>
    <font>
      <sz val="10"/>
      <color rgb="FF000000"/>
      <name val="Arial"/>
      <family val="2"/>
      <charset val="0"/>
    </font>
    <font>
      <i/>
      <sz val="10"/>
      <color rgb="FF000000"/>
      <name val="Arial"/>
      <family val="2"/>
      <charset val="0"/>
    </font>
    <font>
      <u val="single"/>
      <sz val="11"/>
      <color theme="10"/>
      <name val="Arial"/>
      <family val="2"/>
      <charset val="0"/>
    </font>
    <font>
      <sz val="14"/>
      <name val="Arial"/>
      <family val="2"/>
      <charset val="0"/>
    </font>
    <font>
      <sz val="11"/>
      <name val="Arial"/>
      <family val="2"/>
      <charset val="0"/>
    </font>
    <font>
      <sz val="12"/>
      <name val="Arial"/>
      <family val="2"/>
      <charset val="0"/>
    </font>
    <font>
      <sz val="12"/>
      <color theme="1"/>
      <name val="Arial"/>
      <family val="2"/>
      <charset val="0"/>
    </font>
    <font>
      <b/>
      <sz val="12"/>
      <color theme="1"/>
      <name val="Arial"/>
      <family val="2"/>
      <charset val="0"/>
    </font>
    <font>
      <b/>
      <sz val="20"/>
      <color rgb="FF104F75"/>
      <name val="Arial"/>
      <family val="2"/>
      <charset val="0"/>
    </font>
    <font>
      <b/>
      <sz val="16"/>
      <color rgb="FFFF0000"/>
      <name val="Arial"/>
      <family val="2"/>
      <charset val="0"/>
    </font>
    <font>
      <sz val="14"/>
      <color theme="1"/>
      <name val="Calibri"/>
      <family val="2"/>
      <charset val="0"/>
      <scheme val="minor"/>
    </font>
    <font>
      <b/>
      <sz val="18"/>
      <color theme="1"/>
      <name val="Calibri"/>
      <family val="2"/>
      <charset val="0"/>
      <scheme val="minor"/>
    </font>
    <font>
      <sz val="22"/>
      <color theme="1"/>
      <name val="Calibri"/>
      <family val="2"/>
      <charset val="0"/>
      <scheme val="minor"/>
    </font>
    <font>
      <sz val="14"/>
      <color rgb="FFFF0000"/>
      <name val="Calibri"/>
      <family val="2"/>
      <charset val="0"/>
      <scheme val="minor"/>
    </font>
    <font>
      <b/>
      <sz val="11"/>
      <color theme="1"/>
      <name val="Calibri"/>
      <family val="2"/>
      <charset val="0"/>
      <scheme val="minor"/>
    </font>
    <font>
      <b/>
      <sz val="14"/>
      <color theme="1"/>
      <name val="Arial"/>
      <family val="2"/>
      <charset val="0"/>
    </font>
    <font>
      <b/>
      <sz val="12"/>
      <color theme="8"/>
      <name val="Arial"/>
      <family val="2"/>
      <charset val="0"/>
    </font>
    <font>
      <b/>
      <sz val="10"/>
      <color indexed="8"/>
      <name val="Arial"/>
      <family val="2"/>
      <charset val="0"/>
    </font>
    <font>
      <b/>
      <sz val="11"/>
      <color theme="1"/>
      <name val="Arial"/>
      <family val="2"/>
      <charset val="0"/>
    </font>
    <font>
      <sz val="8"/>
      <name val="Arial"/>
      <family val="2"/>
      <charset val="0"/>
    </font>
    <font>
      <b/>
      <sz val="11"/>
      <name val="Arial"/>
      <family val="2"/>
      <charset val="0"/>
    </font>
    <font>
      <b/>
      <sz val="11"/>
      <name val="Calibri"/>
      <family val="2"/>
      <charset val="0"/>
      <scheme val="minor"/>
    </font>
    <font>
      <b/>
      <sz val="10"/>
      <name val="Calibri"/>
      <family val="2"/>
      <charset val="0"/>
      <scheme val="minor"/>
    </font>
    <font>
      <b/>
      <i/>
      <sz val="11"/>
      <name val="Calibri"/>
      <family val="2"/>
      <charset val="0"/>
      <scheme val="minor"/>
    </font>
    <font>
      <b/>
      <sz val="14"/>
      <name val="Calibri"/>
      <family val="2"/>
      <charset val="0"/>
    </font>
    <font>
      <sz val="11"/>
      <color rgb="FF000000"/>
      <name val="Calibri"/>
      <family val="2"/>
      <charset val="0"/>
    </font>
    <font>
      <b/>
      <sz val="11"/>
      <color rgb="FF000000"/>
      <name val="Arial"/>
      <family val="2"/>
      <charset val="0"/>
    </font>
    <font>
      <b/>
      <sz val="14"/>
      <color rgb="FF000000"/>
      <name val="Calibri"/>
      <family val="2"/>
      <charset val="0"/>
    </font>
    <font>
      <b/>
      <sz val="12"/>
      <name val="Calibri"/>
      <family val="2"/>
      <charset val="0"/>
    </font>
    <font>
      <b/>
      <sz val="11"/>
      <color rgb="FF000000"/>
      <name val="Calibri"/>
      <family val="2"/>
      <charset val="0"/>
    </font>
    <font>
      <sz val="11"/>
      <name val="Calibri"/>
      <family val="2"/>
      <charset val="0"/>
    </font>
    <font>
      <b/>
      <u val="single"/>
      <sz val="11"/>
      <name val="Calibri"/>
      <family val="2"/>
      <charset val="0"/>
    </font>
    <font>
      <sz val="11"/>
      <color rgb="FFFF0000"/>
      <name val="Calibri"/>
      <family val="2"/>
      <charset val="0"/>
    </font>
    <font>
      <sz val="10"/>
      <name val="Calibri"/>
      <family val="2"/>
      <charset val="0"/>
    </font>
    <font>
      <b/>
      <sz val="16"/>
      <color rgb="FFFF0000"/>
      <name val="Calibri"/>
      <family val="2"/>
      <charset val="0"/>
    </font>
    <font>
      <b/>
      <sz val="11"/>
      <color rgb="FFFF0000"/>
      <name val="Calibri"/>
      <family val="2"/>
      <charset val="0"/>
    </font>
    <font>
      <b/>
      <sz val="20"/>
      <color theme="1"/>
      <name val="Calibri"/>
      <family val="2"/>
      <charset val="0"/>
      <scheme val="minor"/>
    </font>
    <font>
      <b/>
      <sz val="11"/>
      <color theme="0"/>
      <name val="Calibri"/>
      <family val="2"/>
      <charset val="0"/>
    </font>
    <font>
      <b/>
      <sz val="20"/>
      <name val="Calibri"/>
      <family val="2"/>
      <charset val="0"/>
    </font>
    <font>
      <u val="single"/>
      <sz val="10"/>
      <color rgb="FF0066CC"/>
      <name val="Arial"/>
      <family val="2"/>
      <charset val="0"/>
    </font>
    <font>
      <u val="single"/>
      <sz val="10"/>
      <color theme="10"/>
      <name val="Arial"/>
      <family val="2"/>
      <charset val="0"/>
    </font>
    <font>
      <i/>
      <sz val="11"/>
      <name val="Calibri"/>
      <family val="2"/>
      <charset val="0"/>
      <scheme val="minor"/>
    </font>
    <font>
      <sz val="14"/>
      <name val="Calibri"/>
      <family val="2"/>
      <charset val="0"/>
      <scheme val="minor"/>
    </font>
    <font>
      <sz val="15"/>
      <name val="Arial"/>
      <family val="2"/>
      <charset val="0"/>
    </font>
    <font>
      <sz val="10"/>
      <color theme="1"/>
      <name val="Calibri"/>
      <family val="2"/>
      <charset val="0"/>
      <scheme val="minor"/>
    </font>
    <font>
      <b/>
      <sz val="16"/>
      <name val="Calibri"/>
      <family val="2"/>
      <charset val="0"/>
      <scheme val="minor"/>
    </font>
    <font>
      <sz val="11"/>
      <color theme="0"/>
      <name val="Calibri"/>
      <family val="2"/>
      <charset val="0"/>
      <scheme val="minor"/>
    </font>
    <font>
      <b/>
      <sz val="10"/>
      <color rgb="FFFF0000"/>
      <name val="Arial"/>
      <family val="2"/>
      <charset val="0"/>
    </font>
    <font>
      <sz val="12"/>
      <color rgb="FFFF0000"/>
      <name val="Arial"/>
      <family val="2"/>
      <charset val="0"/>
    </font>
    <font>
      <b/>
      <sz val="12"/>
      <color rgb="FFFF0000"/>
      <name val="Arial"/>
      <family val="2"/>
      <charset val="0"/>
    </font>
    <font>
      <b/>
      <sz val="11"/>
      <color theme="0"/>
      <name val="Arial"/>
      <family val="2"/>
      <charset val="0"/>
    </font>
    <font>
      <b/>
      <sz val="8"/>
      <name val="Arial"/>
      <family val="2"/>
      <charset val="0"/>
    </font>
    <font>
      <b/>
      <sz val="10"/>
      <color theme="3"/>
      <name val="Arial"/>
      <family val="2"/>
      <charset val="0"/>
    </font>
    <font>
      <sz val="10"/>
      <color theme="7" tint="0.79998168889431442"/>
      <name val="Arial"/>
      <family val="2"/>
      <charset val="0"/>
    </font>
    <font>
      <b/>
      <sz val="10"/>
      <color rgb="FF000000"/>
      <name val="Arial"/>
      <family val="2"/>
      <charset val="0"/>
    </font>
    <font>
      <sz val="8"/>
      <name val="Calibri"/>
      <family val="2"/>
      <charset val="0"/>
      <scheme val="minor"/>
    </font>
    <font>
      <b/>
      <sz val="9"/>
      <color indexed="81"/>
      <name val="Tahoma"/>
      <family val="2"/>
      <charset val="0"/>
    </font>
    <font>
      <sz val="9"/>
      <color indexed="81"/>
      <name val="Tahoma"/>
      <family val="2"/>
      <charset val="0"/>
    </font>
    <font>
      <sz val="11"/>
      <color indexed="8"/>
      <name val="Calibri"/>
      <family val="2"/>
      <charset val="0"/>
    </font>
    <font>
      <sz val="11"/>
      <color rgb="00000000"/>
      <name val="Calibri"/>
      <family val="2"/>
      <charset val="0"/>
    </font>
  </fonts>
  <fills count="41">
    <fill>
      <patternFill patternType="none">
        <fgColor indexed="64"/>
        <bgColor indexed="65"/>
      </patternFill>
    </fill>
    <fill>
      <patternFill patternType="gray125">
        <fgColor indexed="64"/>
        <bgColor indexed="65"/>
      </patternFill>
    </fill>
    <fill>
      <patternFill patternType="solid">
        <fgColor indexed="9"/>
        <bgColor indexed="64"/>
      </patternFill>
    </fill>
    <fill>
      <patternFill patternType="solid">
        <fgColor indexed="22"/>
        <bgColor indexed="64"/>
      </patternFill>
    </fill>
    <fill>
      <patternFill patternType="solid">
        <fgColor rgb="FFCCFFCC"/>
        <bgColor indexed="64"/>
      </patternFill>
    </fill>
    <fill>
      <patternFill patternType="solid">
        <fgColor indexed="43"/>
        <bgColor indexed="64"/>
      </patternFill>
    </fill>
    <fill>
      <patternFill patternType="solid">
        <fgColor rgb="FFFF0000"/>
        <bgColor indexed="64"/>
      </patternFill>
    </fill>
    <fill>
      <patternFill patternType="solid">
        <fgColor rgb="FFF2F2F2"/>
        <bgColor indexed="64"/>
      </patternFill>
    </fill>
    <fill>
      <patternFill patternType="solid">
        <fgColor theme="0"/>
        <bgColor indexed="64"/>
      </patternFill>
    </fill>
    <fill>
      <patternFill patternType="solid">
        <fgColor theme="0" tint="-0.249977111117893"/>
        <bgColor indexed="64"/>
      </patternFill>
    </fill>
    <fill>
      <patternFill patternType="solid">
        <fgColor rgb="FFDCE6F1"/>
        <bgColor indexed="64"/>
      </patternFill>
    </fill>
    <fill>
      <patternFill patternType="solid">
        <fgColor rgb="FFFFFFFF"/>
        <bgColor rgb="FF000000"/>
      </patternFill>
    </fill>
    <fill>
      <patternFill patternType="solid">
        <fgColor rgb="FFDCE6F1"/>
        <bgColor rgb="FF000000"/>
      </patternFill>
    </fill>
    <fill>
      <patternFill patternType="darkGray">
        <fgColor rgb="FF000000"/>
        <bgColor rgb="FF808080"/>
      </patternFill>
    </fill>
    <fill>
      <patternFill patternType="solid">
        <fgColor theme="0" tint="-0.14999847407452621"/>
        <bgColor indexed="64"/>
      </patternFill>
    </fill>
    <fill>
      <patternFill patternType="solid">
        <fgColor rgb="FFCCFFCC"/>
        <bgColor rgb="FF000000"/>
      </patternFill>
    </fill>
    <fill>
      <patternFill patternType="solid">
        <fgColor rgb="FFE2EFDA"/>
        <bgColor rgb="FF000000"/>
      </patternFill>
    </fill>
    <fill>
      <patternFill patternType="solid">
        <fgColor rgb="FFFFFF99"/>
        <bgColor indexed="64"/>
      </patternFill>
    </fill>
    <fill>
      <patternFill patternType="solid">
        <fgColor theme="0" tint="-0.14996795556505021"/>
        <bgColor indexed="64"/>
      </patternFill>
    </fill>
    <fill>
      <patternFill patternType="solid">
        <fgColor theme="7" tint="0.79998168889431442"/>
        <bgColor indexed="64"/>
      </patternFill>
    </fill>
    <fill>
      <patternFill patternType="darkGray">
        <bgColor rgb="FF808080"/>
      </patternFill>
    </fill>
    <fill>
      <patternFill patternType="solid">
        <fgColor theme="0" tint="-0.14999847407452621"/>
        <bgColor theme="0" tint="-0.14999847407452621"/>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mediumGray">
        <fgColor indexed="64"/>
        <bgColor indexed="65"/>
      </patternFill>
    </fill>
    <fill>
      <patternFill patternType="solid">
        <fgColor rgb="FFFFFF00"/>
        <bgColor indexed="64"/>
      </patternFill>
    </fill>
    <fill>
      <patternFill patternType="darkUp">
        <fgColor indexed="64"/>
        <bgColor theme="4" tint="0.79995117038483843"/>
      </patternFill>
    </fill>
    <fill>
      <patternFill patternType="solid">
        <fgColor theme="2" tint="-0.0999786370433668"/>
        <bgColor indexed="64"/>
      </patternFill>
    </fill>
    <fill>
      <patternFill patternType="solid">
        <fgColor theme="3" tint="0.79998168889431442"/>
        <bgColor indexed="64"/>
      </patternFill>
    </fill>
    <fill>
      <patternFill patternType="solid">
        <fgColor rgb="FF00B0F0"/>
        <bgColor indexed="64"/>
      </patternFill>
    </fill>
    <fill>
      <patternFill patternType="solid">
        <fgColor theme="7" tint="0.39997558519241921"/>
        <bgColor indexed="64"/>
      </patternFill>
    </fill>
    <fill>
      <patternFill patternType="solid">
        <fgColor rgb="FF002060"/>
        <bgColor indexed="64"/>
      </patternFill>
    </fill>
    <fill>
      <patternFill patternType="solid">
        <fgColor theme="5"/>
        <bgColor indexed="64"/>
      </patternFill>
    </fill>
    <fill>
      <patternFill patternType="solid">
        <fgColor rgb="FF7030A0"/>
        <bgColor indexed="64"/>
      </patternFill>
    </fill>
    <fill>
      <patternFill patternType="darkUp">
        <fgColor indexed="64"/>
        <bgColor indexed="65"/>
      </patternFill>
    </fill>
    <fill>
      <patternFill patternType="solid">
        <fgColor rgb="FF66CCFF"/>
        <bgColor indexed="64"/>
      </patternFill>
    </fill>
    <fill>
      <patternFill patternType="solid">
        <fgColor rgb="FFFFFF00"/>
        <bgColor rgb="FF000000"/>
      </patternFill>
    </fill>
    <fill>
      <patternFill patternType="solid">
        <fgColor theme="1"/>
        <bgColor rgb="FF000000"/>
      </patternFill>
    </fill>
  </fills>
  <borders count="101">
    <border>
      <left/>
      <right/>
      <top/>
      <bottom/>
      <diagonal/>
    </border>
    <border>
      <left style="thin">
        <color indexed="64"/>
      </left>
      <right style="thin">
        <color indexed="64"/>
      </right>
      <top style="thin">
        <color indexed="64"/>
      </top>
      <bottom style="thin">
        <color indexed="64"/>
      </bottom>
      <diagonal/>
    </border>
    <border>
      <left/>
      <right/>
      <top/>
      <bottom style="dashed">
        <color indexed="23"/>
      </bottom>
      <diagonal/>
    </border>
    <border>
      <left/>
      <right/>
      <top style="dashed">
        <color indexed="23"/>
      </top>
      <bottom style="dashed">
        <color indexed="23"/>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hair">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bottom/>
      <diagonal/>
    </border>
    <border>
      <left/>
      <right/>
      <top style="thin">
        <color indexed="64"/>
      </top>
      <bottom style="thin">
        <color indexed="64"/>
      </bottom>
      <diagonal/>
    </border>
    <border>
      <left/>
      <right/>
      <top style="hair">
        <color theme="0" tint="-0.499984740745262"/>
      </top>
      <bottom style="hair">
        <color theme="0" tint="-0.499984740745262"/>
      </bottom>
      <diagonal/>
    </border>
    <border>
      <left/>
      <right/>
      <top style="hair">
        <color theme="0" tint="-0.499984740745262"/>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top style="dashed">
        <color indexed="23"/>
      </top>
      <bottom style="dotted">
        <color indexed="23"/>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theme="0" tint="-0.499984740745262"/>
      </left>
      <right style="thin">
        <color theme="0" tint="-0.499984740745262"/>
      </right>
      <top style="thin">
        <color theme="0" tint="-0.499984740745262"/>
      </top>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rgb="FF808080"/>
      </left>
      <right style="thin">
        <color rgb="FF808080"/>
      </right>
      <top/>
      <bottom style="thin">
        <color rgb="FF808080"/>
      </bottom>
      <diagonal/>
    </border>
    <border>
      <left/>
      <right/>
      <top style="double">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s>
  <cellStyleXfs count="1281">
    <xf numFmtId="0" fontId="0" fillId="0" borderId="0"/>
    <xf numFmtId="43" fontId="0" fillId="0" borderId="0" applyAlignment="0" applyBorder="0" applyFont="0" applyFill="0" applyProtection="0"/>
    <xf numFmtId="44" fontId="0" fillId="0" borderId="0" applyAlignment="0" applyBorder="0" applyFont="0" applyFill="0" applyProtection="0"/>
    <xf numFmtId="0" fontId="1" fillId="0" borderId="0"/>
    <xf numFmtId="0" fontId="15" fillId="0" borderId="0" applyAlignment="0" applyBorder="0" applyNumberFormat="0" applyFill="0" applyProtection="0"/>
    <xf numFmtId="44" fontId="18" fillId="0" borderId="0" applyAlignment="0" applyBorder="0" applyFont="0" applyFill="0" applyProtection="0"/>
    <xf numFmtId="9" fontId="0" fillId="0" borderId="0" applyAlignment="0" applyBorder="0" applyFont="0" applyFill="0" applyProtection="0"/>
    <xf numFmtId="0" fontId="18" fillId="0" borderId="0"/>
    <xf numFmtId="0" fontId="19" fillId="0" borderId="0"/>
    <xf numFmtId="0" fontId="19" fillId="0" borderId="0"/>
    <xf numFmtId="44" fontId="19" fillId="0" borderId="0" applyAlignment="0" applyBorder="0" applyFont="0" applyFill="0" applyProtection="0"/>
    <xf numFmtId="9" fontId="19" fillId="0" borderId="0" applyAlignment="0" applyBorder="0" applyFont="0" applyFill="0" applyProtection="0"/>
    <xf numFmtId="0" fontId="1" fillId="0" borderId="0"/>
    <xf numFmtId="0" fontId="9" fillId="0" borderId="0"/>
    <xf numFmtId="0" fontId="1" fillId="0" borderId="0"/>
    <xf numFmtId="0" fontId="1" fillId="0" borderId="0"/>
    <xf numFmtId="44" fontId="1" fillId="0" borderId="0" applyAlignment="0" applyBorder="0" applyFont="0" applyFill="0" applyProtection="0"/>
    <xf numFmtId="9" fontId="1" fillId="0" borderId="0" applyAlignment="0" applyBorder="0" applyFont="0" applyFill="0" applyProtection="0"/>
    <xf numFmtId="43" fontId="1" fillId="0" borderId="0" applyAlignment="0" applyBorder="0" applyFont="0" applyFill="0" applyProtection="0"/>
    <xf numFmtId="0" fontId="1" fillId="0" borderId="0"/>
  </cellStyleXfs>
  <cellXfs>
    <xf numFmtId="0" fontId="0" fillId="0" borderId="0" xfId="0"/>
    <xf numFmtId="0" fontId="2" fillId="2" borderId="0" xfId="3" applyAlignment="1" applyBorder="1" applyFont="1" applyFill="1" applyProtection="1">
      <alignment vertical="center" wrapText="1"/>
      <protection hidden="1"/>
    </xf>
    <xf numFmtId="0" fontId="1" fillId="3" borderId="1" xfId="3" applyAlignment="1" applyBorder="1" applyFont="1" applyFill="1" applyProtection="1">
      <alignment vertical="center" wrapText="1"/>
      <protection hidden="1"/>
    </xf>
    <xf numFmtId="0" fontId="1" fillId="2" borderId="1" xfId="3" applyAlignment="1" applyBorder="1" applyFont="1" applyFill="1" applyProtection="1">
      <alignment vertical="center" wrapText="1"/>
      <protection hidden="1"/>
    </xf>
    <xf numFmtId="0" fontId="1" fillId="4" borderId="1" xfId="3" applyAlignment="1" applyBorder="1" applyFont="1" applyFill="1" applyProtection="1">
      <alignment vertical="center" wrapText="1"/>
      <protection hidden="1"/>
    </xf>
    <xf numFmtId="0" fontId="1" fillId="5" borderId="1" xfId="3" applyAlignment="1" applyBorder="1" applyFont="1" applyFill="1" applyProtection="1">
      <alignment vertical="center" wrapText="1"/>
      <protection hidden="1"/>
    </xf>
    <xf numFmtId="0" fontId="1" fillId="6" borderId="1" xfId="3" applyAlignment="1" applyBorder="1" applyFont="1" applyFill="1" applyProtection="1">
      <alignment vertical="center" wrapText="1"/>
      <protection hidden="1"/>
    </xf>
    <xf numFmtId="0" fontId="2" fillId="2" borderId="2" xfId="3" applyAlignment="1" applyBorder="1" applyFont="1" applyFill="1" applyProtection="1">
      <alignment vertical="center" wrapText="1"/>
      <protection hidden="1"/>
    </xf>
    <xf numFmtId="0" fontId="1" fillId="2" borderId="2" xfId="3" applyAlignment="1" applyBorder="1" applyFont="1" applyFill="1" applyProtection="1">
      <alignment vertical="center" wrapText="1"/>
      <protection hidden="1"/>
    </xf>
    <xf numFmtId="0" fontId="2" fillId="2" borderId="3" xfId="3" applyAlignment="1" applyBorder="1" applyFont="1" applyFill="1" applyProtection="1">
      <alignment vertical="center" wrapText="1"/>
      <protection hidden="1"/>
    </xf>
    <xf numFmtId="0" fontId="1" fillId="2" borderId="3" xfId="3" applyAlignment="1" applyBorder="1" applyFont="1" applyFill="1" applyProtection="1">
      <alignment vertical="center" wrapText="1"/>
      <protection hidden="1"/>
    </xf>
    <xf numFmtId="0" fontId="1" fillId="2" borderId="0" xfId="3" applyAlignment="1" applyBorder="1" applyFont="1" applyFill="1" applyProtection="1">
      <alignment vertical="center" wrapText="1"/>
      <protection hidden="1"/>
    </xf>
    <xf numFmtId="0" fontId="10" fillId="7" borderId="4" xfId="0" applyAlignment="1" applyBorder="1" applyFont="1" applyFill="1">
      <alignment vertical="center" wrapText="1"/>
    </xf>
    <xf numFmtId="0" fontId="10" fillId="0" borderId="5" xfId="0" applyAlignment="1" applyBorder="1" applyFont="1">
      <alignment vertical="center" wrapText="1"/>
    </xf>
    <xf numFmtId="0" fontId="1" fillId="0" borderId="6" xfId="0" applyAlignment="1" applyBorder="1" applyFont="1">
      <alignment vertical="center" wrapText="1"/>
    </xf>
    <xf numFmtId="0" fontId="11" fillId="0" borderId="0" xfId="0" applyAlignment="1" applyFont="1">
      <alignment vertical="center"/>
    </xf>
    <xf numFmtId="0" fontId="11" fillId="0" borderId="5" xfId="0" applyAlignment="1" applyBorder="1" applyFont="1">
      <alignment vertical="center" wrapText="1"/>
    </xf>
    <xf numFmtId="0" fontId="10" fillId="0" borderId="0" xfId="0" applyAlignment="1" applyFont="1">
      <alignment vertical="center"/>
    </xf>
    <xf numFmtId="0" fontId="10" fillId="0" borderId="5" xfId="0" applyAlignment="1" applyBorder="1" applyFont="1">
      <alignment horizontal="center" vertical="center" wrapText="1"/>
    </xf>
    <xf numFmtId="0" fontId="13" fillId="0" borderId="5" xfId="0" applyAlignment="1" applyBorder="1" applyFont="1">
      <alignment vertical="center" wrapText="1"/>
    </xf>
    <xf numFmtId="0" fontId="11" fillId="0" borderId="6" xfId="0" applyAlignment="1" applyBorder="1" applyFont="1">
      <alignment vertical="center" wrapText="1"/>
    </xf>
    <xf numFmtId="0" fontId="11" fillId="8" borderId="7" xfId="0" applyAlignment="1" applyBorder="1" applyFont="1" applyFill="1" applyProtection="1">
      <alignment vertical="center"/>
      <protection hidden="1"/>
    </xf>
    <xf numFmtId="0" fontId="11" fillId="8" borderId="8" xfId="0" applyAlignment="1" applyBorder="1" applyFont="1" applyFill="1" applyProtection="1">
      <alignment vertical="center"/>
      <protection hidden="1"/>
    </xf>
    <xf numFmtId="0" fontId="11" fillId="8" borderId="8" xfId="0" applyAlignment="1" applyBorder="1" applyFont="1" applyFill="1" applyProtection="1">
      <alignment horizontal="center" vertical="center"/>
      <protection hidden="1"/>
    </xf>
    <xf numFmtId="0" fontId="11" fillId="8" borderId="0" xfId="0" applyAlignment="1" applyFont="1" applyFill="1" applyProtection="1">
      <alignment vertical="center"/>
      <protection hidden="1"/>
    </xf>
    <xf numFmtId="0" fontId="11" fillId="8" borderId="9" xfId="0" applyAlignment="1" applyBorder="1" applyFont="1" applyFill="1" applyProtection="1">
      <alignment vertical="center"/>
      <protection hidden="1"/>
    </xf>
    <xf numFmtId="0" fontId="10" fillId="8" borderId="0" xfId="0" applyAlignment="1" applyBorder="1" applyFont="1" applyFill="1" applyProtection="1">
      <alignment vertical="center"/>
      <protection hidden="1"/>
    </xf>
    <xf numFmtId="0" fontId="11" fillId="8" borderId="0" xfId="0" applyAlignment="1" applyBorder="1" applyFont="1" applyFill="1" applyProtection="1">
      <alignment horizontal="center" vertical="center"/>
      <protection hidden="1"/>
    </xf>
    <xf numFmtId="0" fontId="11" fillId="8" borderId="0" xfId="0" applyAlignment="1" applyBorder="1" applyFont="1" applyFill="1" applyProtection="1">
      <alignment vertical="center"/>
      <protection hidden="1"/>
    </xf>
    <xf numFmtId="0" fontId="12" fillId="8" borderId="0" xfId="0" applyAlignment="1" applyBorder="1" applyFont="1" applyFill="1" applyProtection="1">
      <alignment vertical="center"/>
      <protection hidden="1"/>
    </xf>
    <xf numFmtId="0" fontId="11" fillId="9" borderId="10" xfId="0" applyAlignment="1" applyBorder="1" applyFont="1" applyFill="1" applyProtection="1">
      <alignment vertical="center"/>
      <protection hidden="1"/>
    </xf>
    <xf numFmtId="0" fontId="10" fillId="9" borderId="10" xfId="0" applyAlignment="1" applyBorder="1" applyFont="1" applyFill="1" applyProtection="1">
      <alignment vertical="center"/>
      <protection hidden="1"/>
    </xf>
    <xf numFmtId="0" fontId="10" fillId="9" borderId="11" xfId="0" applyAlignment="1" applyBorder="1" applyFont="1" applyFill="1" applyProtection="1">
      <alignment vertical="center"/>
      <protection hidden="1"/>
    </xf>
    <xf numFmtId="0" fontId="10" fillId="8" borderId="0" xfId="0" applyAlignment="1" applyBorder="1" applyFont="1" applyFill="1" applyProtection="1">
      <alignment horizontal="left" vertical="center"/>
      <protection hidden="1"/>
    </xf>
    <xf numFmtId="0" fontId="10" fillId="8" borderId="0" xfId="0" applyAlignment="1" applyBorder="1" applyFont="1" applyFill="1" applyProtection="1">
      <alignment horizontal="center" vertical="center"/>
      <protection hidden="1"/>
    </xf>
    <xf numFmtId="0" fontId="11" fillId="8" borderId="0" xfId="0" applyAlignment="1" applyBorder="1" applyFont="1" applyFill="1" applyProtection="1">
      <alignment horizontal="left" vertical="center"/>
      <protection hidden="1"/>
    </xf>
    <xf numFmtId="0" fontId="10" fillId="8" borderId="12" xfId="0" applyAlignment="1" applyBorder="1" applyFont="1" applyFill="1" applyProtection="1">
      <alignment vertical="center"/>
      <protection hidden="1"/>
    </xf>
    <xf numFmtId="0" fontId="10" fillId="8" borderId="10" xfId="0" applyAlignment="1" applyBorder="1" applyFont="1" applyFill="1" applyProtection="1">
      <alignment horizontal="left" vertical="center"/>
      <protection hidden="1"/>
    </xf>
    <xf numFmtId="0" fontId="10" fillId="8" borderId="10" xfId="0" applyAlignment="1" applyBorder="1" applyFont="1" applyFill="1" applyProtection="1">
      <alignment horizontal="center" vertical="center"/>
      <protection hidden="1"/>
    </xf>
    <xf numFmtId="0" fontId="10" fillId="8" borderId="10" xfId="0" applyAlignment="1" applyBorder="1" applyFont="1" applyFill="1" applyProtection="1">
      <alignment vertical="center"/>
      <protection hidden="1"/>
    </xf>
    <xf numFmtId="0" fontId="10" fillId="8" borderId="13" xfId="0" applyAlignment="1" applyBorder="1" applyFont="1" applyFill="1" applyProtection="1">
      <alignment vertical="center"/>
      <protection hidden="1"/>
    </xf>
    <xf numFmtId="0" fontId="10" fillId="8" borderId="14" xfId="0" applyAlignment="1" applyBorder="1" applyFont="1" applyFill="1" applyProtection="1">
      <alignment vertical="center"/>
      <protection hidden="1"/>
    </xf>
    <xf numFmtId="0" fontId="10" fillId="8" borderId="15" xfId="0" applyAlignment="1" applyBorder="1" applyFont="1" applyFill="1" applyProtection="1">
      <alignment vertical="center"/>
      <protection hidden="1"/>
    </xf>
    <xf numFmtId="164" fontId="11" fillId="8" borderId="16" xfId="2" applyAlignment="1" applyBorder="1" applyFont="1" applyNumberFormat="1" applyFill="1" applyProtection="1">
      <alignment vertical="center"/>
      <protection hidden="1"/>
    </xf>
    <xf numFmtId="164" fontId="11" fillId="8" borderId="0" xfId="2" applyAlignment="1" applyBorder="1" applyFont="1" applyNumberFormat="1" applyFill="1" applyProtection="1">
      <alignment vertical="center"/>
      <protection hidden="1"/>
    </xf>
    <xf numFmtId="164" fontId="11" fillId="8" borderId="0" xfId="2" applyAlignment="1" applyBorder="1" applyFont="1" applyNumberFormat="1" applyFill="1" applyProtection="1">
      <alignment horizontal="center" vertical="center"/>
      <protection hidden="1"/>
    </xf>
    <xf numFmtId="10" fontId="11" fillId="8" borderId="0" xfId="0" applyAlignment="1" applyBorder="1" applyFont="1" applyNumberFormat="1" applyFill="1" applyProtection="1">
      <alignment horizontal="left" vertical="center"/>
      <protection hidden="1"/>
    </xf>
    <xf numFmtId="166" fontId="11" fillId="8" borderId="0" xfId="1" applyAlignment="1" applyBorder="1" applyFont="1" applyNumberFormat="1" applyFill="1" applyProtection="1">
      <alignment horizontal="center" vertical="center"/>
      <protection hidden="1"/>
    </xf>
    <xf numFmtId="0" fontId="10" fillId="8" borderId="17" xfId="0" applyAlignment="1" applyBorder="1" applyFont="1" applyFill="1" applyProtection="1">
      <alignment vertical="center"/>
      <protection hidden="1"/>
    </xf>
    <xf numFmtId="0" fontId="10" fillId="8" borderId="11" xfId="0" applyAlignment="1" applyBorder="1" applyFont="1" applyFill="1" applyProtection="1">
      <alignment horizontal="left" vertical="center"/>
      <protection hidden="1"/>
    </xf>
    <xf numFmtId="166" fontId="10" fillId="8" borderId="11" xfId="0" applyAlignment="1" applyBorder="1" applyFont="1" applyNumberFormat="1" applyFill="1" applyProtection="1">
      <alignment horizontal="center" vertical="center"/>
      <protection hidden="1"/>
    </xf>
    <xf numFmtId="0" fontId="10" fillId="8" borderId="11" xfId="0" applyAlignment="1" applyBorder="1" applyFont="1" applyFill="1" applyProtection="1">
      <alignment vertical="center"/>
      <protection hidden="1"/>
    </xf>
    <xf numFmtId="0" fontId="10" fillId="8" borderId="18" xfId="0" applyAlignment="1" applyBorder="1" applyFont="1" applyFill="1" applyProtection="1">
      <alignment vertical="center"/>
      <protection hidden="1"/>
    </xf>
    <xf numFmtId="166" fontId="10" fillId="8" borderId="0" xfId="0" applyAlignment="1" applyBorder="1" applyFont="1" applyNumberFormat="1" applyFill="1" applyProtection="1">
      <alignment horizontal="center" vertical="center"/>
      <protection hidden="1"/>
    </xf>
    <xf numFmtId="0" fontId="11" fillId="8" borderId="10" xfId="0" applyAlignment="1" applyBorder="1" applyFont="1" applyFill="1" applyProtection="1">
      <alignment horizontal="left" vertical="center"/>
      <protection hidden="1"/>
    </xf>
    <xf numFmtId="166" fontId="10" fillId="8" borderId="10" xfId="0" applyAlignment="1" applyBorder="1" applyFont="1" applyNumberFormat="1" applyFill="1" applyProtection="1">
      <alignment horizontal="center" vertical="center"/>
      <protection hidden="1"/>
    </xf>
    <xf numFmtId="44" fontId="11" fillId="8" borderId="0" xfId="0" applyAlignment="1" applyFont="1" applyNumberFormat="1" applyFill="1" applyProtection="1">
      <alignment vertical="center"/>
      <protection hidden="1"/>
    </xf>
    <xf numFmtId="0" fontId="11" fillId="4" borderId="19" xfId="0" applyAlignment="1" applyBorder="1" applyFont="1" applyFill="1" applyProtection="1">
      <alignment horizontal="left" vertical="center"/>
      <protection locked="0"/>
    </xf>
    <xf numFmtId="167" fontId="11" fillId="4" borderId="19" xfId="0" applyAlignment="1" applyBorder="1" applyFont="1" applyNumberFormat="1" applyFill="1" applyProtection="1">
      <alignment horizontal="left" vertical="center"/>
      <protection locked="0"/>
    </xf>
    <xf numFmtId="164" fontId="11" fillId="8" borderId="16" xfId="5" applyAlignment="1" applyBorder="1" applyFont="1" applyNumberFormat="1" applyFill="1" applyProtection="1">
      <alignment vertical="center"/>
      <protection hidden="1"/>
    </xf>
    <xf numFmtId="0" fontId="11" fillId="8" borderId="14" xfId="0" applyAlignment="1" applyBorder="1" applyFont="1" applyFill="1" applyProtection="1">
      <alignment vertical="center"/>
      <protection hidden="1"/>
    </xf>
    <xf numFmtId="0" fontId="11" fillId="8" borderId="15" xfId="0" applyAlignment="1" applyBorder="1" applyFont="1" applyFill="1" applyProtection="1">
      <alignment vertical="center"/>
      <protection hidden="1"/>
    </xf>
    <xf numFmtId="0" fontId="11" fillId="0" borderId="14" xfId="0" applyAlignment="1" applyBorder="1" applyFont="1" applyFill="1" applyProtection="1">
      <alignment vertical="center"/>
      <protection hidden="1"/>
    </xf>
    <xf numFmtId="0" fontId="11" fillId="0" borderId="15" xfId="0" applyAlignment="1" applyBorder="1" applyFont="1" applyFill="1" applyProtection="1">
      <alignment vertical="center"/>
      <protection hidden="1"/>
    </xf>
    <xf numFmtId="0" fontId="11" fillId="0" borderId="0" xfId="0" applyAlignment="1" applyFont="1" applyFill="1" applyProtection="1">
      <alignment vertical="center"/>
      <protection hidden="1"/>
    </xf>
    <xf numFmtId="166" fontId="11" fillId="4" borderId="19" xfId="2" applyAlignment="1" applyBorder="1" applyFont="1" applyNumberFormat="1" applyFill="1" applyProtection="1">
      <alignment horizontal="center" vertical="center"/>
      <protection locked="0"/>
    </xf>
    <xf numFmtId="0" fontId="11" fillId="8" borderId="20" xfId="0" applyAlignment="1" applyBorder="1" applyFont="1" applyFill="1" applyProtection="1">
      <alignment vertical="center"/>
      <protection hidden="1"/>
    </xf>
    <xf numFmtId="0" fontId="10" fillId="9" borderId="21" xfId="0" applyAlignment="1" applyBorder="1" applyFont="1" applyFill="1" applyProtection="1">
      <alignment vertical="center"/>
      <protection hidden="1"/>
    </xf>
    <xf numFmtId="0" fontId="10" fillId="9" borderId="21" xfId="0" applyAlignment="1" applyBorder="1" applyFont="1" applyFill="1" applyProtection="1">
      <alignment horizontal="center" vertical="center"/>
      <protection hidden="1"/>
    </xf>
    <xf numFmtId="0" fontId="11" fillId="8" borderId="17" xfId="0" applyAlignment="1" applyBorder="1" applyFont="1" applyFill="1" applyProtection="1">
      <alignment vertical="center"/>
      <protection hidden="1"/>
    </xf>
    <xf numFmtId="0" fontId="11" fillId="8" borderId="11" xfId="0" applyAlignment="1" applyBorder="1" applyFont="1" applyFill="1" applyProtection="1">
      <alignment vertical="center"/>
      <protection hidden="1"/>
    </xf>
    <xf numFmtId="0" fontId="11" fillId="8" borderId="11" xfId="0" applyAlignment="1" applyBorder="1" applyFont="1" applyFill="1" applyProtection="1">
      <alignment horizontal="center" vertical="center"/>
      <protection hidden="1"/>
    </xf>
    <xf numFmtId="0" fontId="12" fillId="8" borderId="11" xfId="0" applyAlignment="1" applyBorder="1" applyFont="1" applyFill="1" applyProtection="1">
      <alignment vertical="center"/>
      <protection hidden="1"/>
    </xf>
    <xf numFmtId="0" fontId="11" fillId="8" borderId="18" xfId="0" applyAlignment="1" applyBorder="1" applyFont="1" applyFill="1" applyProtection="1">
      <alignment vertical="center"/>
      <protection hidden="1"/>
    </xf>
    <xf numFmtId="0" fontId="11" fillId="8" borderId="10" xfId="0" applyAlignment="1" applyBorder="1" applyFont="1" applyFill="1" applyProtection="1">
      <alignment vertical="center"/>
      <protection hidden="1"/>
    </xf>
    <xf numFmtId="0" fontId="11" fillId="8" borderId="10" xfId="0" applyAlignment="1" applyBorder="1" applyFont="1" applyFill="1" applyProtection="1">
      <alignment horizontal="center" vertical="center"/>
      <protection hidden="1"/>
    </xf>
    <xf numFmtId="0" fontId="12" fillId="8" borderId="10" xfId="0" applyAlignment="1" applyBorder="1" applyFont="1" applyFill="1" applyProtection="1">
      <alignment vertical="center"/>
      <protection hidden="1"/>
    </xf>
    <xf numFmtId="0" fontId="11" fillId="8" borderId="16" xfId="0" applyAlignment="1" applyBorder="1" applyFont="1" applyFill="1" applyProtection="1">
      <alignment horizontal="left" vertical="center" indent="2"/>
      <protection hidden="1"/>
    </xf>
    <xf numFmtId="0" fontId="11" fillId="8" borderId="16" xfId="0" applyAlignment="1" applyBorder="1" applyFont="1" applyFill="1" applyProtection="1">
      <alignment horizontal="center" vertical="center"/>
      <protection hidden="1"/>
    </xf>
    <xf numFmtId="166" fontId="11" fillId="8" borderId="16" xfId="1" applyAlignment="1" applyBorder="1" applyFont="1" applyNumberFormat="1" applyFill="1" applyProtection="1">
      <alignment horizontal="center" vertical="center"/>
      <protection hidden="1"/>
    </xf>
    <xf numFmtId="168" fontId="11" fillId="8" borderId="16" xfId="1" applyAlignment="1" applyBorder="1" applyFont="1" applyNumberFormat="1" applyFill="1" applyProtection="1">
      <alignment horizontal="center" vertical="center"/>
      <protection hidden="1"/>
    </xf>
    <xf numFmtId="0" fontId="11" fillId="8" borderId="22" xfId="0" applyAlignment="1" applyBorder="1" applyFont="1" applyFill="1" applyProtection="1">
      <alignment horizontal="left" vertical="center" indent="2"/>
      <protection hidden="1"/>
    </xf>
    <xf numFmtId="0" fontId="11" fillId="8" borderId="22" xfId="0" applyAlignment="1" applyBorder="1" applyFont="1" applyFill="1" applyProtection="1">
      <alignment horizontal="center" vertical="center"/>
      <protection hidden="1"/>
    </xf>
    <xf numFmtId="166" fontId="11" fillId="8" borderId="22" xfId="1" applyAlignment="1" applyBorder="1" applyFont="1" applyNumberFormat="1" applyFill="1" applyProtection="1">
      <alignment horizontal="center" vertical="center"/>
      <protection hidden="1"/>
    </xf>
    <xf numFmtId="0" fontId="11" fillId="8" borderId="23" xfId="0" applyAlignment="1" applyBorder="1" applyFont="1" applyFill="1" applyProtection="1">
      <alignment horizontal="left" vertical="center" indent="2"/>
      <protection hidden="1"/>
    </xf>
    <xf numFmtId="0" fontId="11" fillId="8" borderId="23" xfId="0" applyAlignment="1" applyBorder="1" applyFont="1" applyFill="1" applyProtection="1">
      <alignment horizontal="center" vertical="center"/>
      <protection hidden="1"/>
    </xf>
    <xf numFmtId="166" fontId="11" fillId="8" borderId="23" xfId="1" applyAlignment="1" applyBorder="1" applyFont="1" applyNumberFormat="1" applyFill="1" applyProtection="1">
      <alignment horizontal="center" vertical="center"/>
      <protection hidden="1"/>
    </xf>
    <xf numFmtId="0" fontId="10" fillId="8" borderId="21" xfId="0" applyAlignment="1" applyBorder="1" applyFont="1" applyFill="1" applyProtection="1">
      <alignment vertical="center"/>
      <protection hidden="1"/>
    </xf>
    <xf numFmtId="0" fontId="10" fillId="8" borderId="21" xfId="0" applyAlignment="1" applyBorder="1" applyFont="1" applyFill="1" applyProtection="1">
      <alignment horizontal="center" vertical="center"/>
      <protection hidden="1"/>
    </xf>
    <xf numFmtId="166" fontId="10" fillId="8" borderId="21" xfId="1" applyAlignment="1" applyBorder="1" applyFont="1" applyNumberFormat="1" applyFill="1" applyProtection="1">
      <alignment horizontal="center" vertical="center"/>
      <protection hidden="1"/>
    </xf>
    <xf numFmtId="164" fontId="10" fillId="9" borderId="21" xfId="0" applyAlignment="1" applyBorder="1" applyFont="1" applyNumberFormat="1" applyFill="1" applyProtection="1">
      <alignment vertical="center"/>
      <protection hidden="1"/>
    </xf>
    <xf numFmtId="0" fontId="11" fillId="8" borderId="0" xfId="0" applyAlignment="1" applyFont="1" applyFill="1" applyProtection="1">
      <alignment horizontal="center" vertical="center"/>
      <protection hidden="1"/>
    </xf>
    <xf numFmtId="0" fontId="12" fillId="8" borderId="0" xfId="0" applyAlignment="1" applyFont="1" applyFill="1" applyProtection="1">
      <alignment vertical="center"/>
      <protection hidden="1"/>
    </xf>
    <xf numFmtId="0" fontId="3" fillId="8" borderId="0" xfId="0" applyAlignment="1" applyBorder="1" applyFont="1" applyFill="1" applyProtection="1">
      <alignment vertical="center"/>
      <protection hidden="1"/>
    </xf>
    <xf numFmtId="6" fontId="11" fillId="8" borderId="0" xfId="0" applyAlignment="1" applyBorder="1" applyFont="1" applyNumberFormat="1" applyFill="1" applyProtection="1">
      <alignment vertical="center"/>
      <protection hidden="1"/>
    </xf>
    <xf numFmtId="165" fontId="11" fillId="8" borderId="0" xfId="0" applyAlignment="1" applyBorder="1" applyFont="1" applyNumberFormat="1" applyFill="1" applyProtection="1">
      <alignment vertical="center"/>
      <protection hidden="1"/>
    </xf>
    <xf numFmtId="168" fontId="11" fillId="8" borderId="0" xfId="0" applyAlignment="1" applyBorder="1" applyFont="1" applyNumberFormat="1" applyFill="1" applyProtection="1">
      <alignment vertical="center"/>
      <protection hidden="1"/>
    </xf>
    <xf numFmtId="0" fontId="11" fillId="0" borderId="0" xfId="0" applyAlignment="1" applyBorder="1" applyFont="1" applyFill="1" applyProtection="1">
      <protection hidden="1"/>
    </xf>
    <xf numFmtId="0" fontId="11" fillId="0" borderId="0" xfId="0" applyAlignment="1" applyBorder="1" applyFont="1" applyFill="1" applyProtection="1">
      <alignment vertical="center"/>
      <protection hidden="1"/>
    </xf>
    <xf numFmtId="0" fontId="10" fillId="8" borderId="0" xfId="0" applyAlignment="1" applyBorder="1" applyFont="1" applyFill="1" applyProtection="1">
      <alignment vertical="center" wrapText="1"/>
      <protection hidden="1"/>
    </xf>
    <xf numFmtId="0" fontId="11" fillId="8" borderId="0" xfId="0" applyAlignment="1" applyBorder="1" applyFont="1" applyFill="1" applyProtection="1">
      <alignment horizontal="left" vertical="center" indent="2"/>
      <protection hidden="1"/>
    </xf>
    <xf numFmtId="0" fontId="11" fillId="0" borderId="0" xfId="0" applyAlignment="1" applyBorder="1" applyFont="1" applyFill="1" applyProtection="1">
      <alignment horizontal="left" vertical="center" indent="2"/>
      <protection hidden="1"/>
    </xf>
    <xf numFmtId="0" fontId="1" fillId="0" borderId="0" xfId="0" applyAlignment="1" applyBorder="1" applyFont="1" applyFill="1" applyProtection="1">
      <alignment horizontal="left" vertical="center" indent="2"/>
      <protection hidden="1"/>
    </xf>
    <xf numFmtId="0" fontId="0" fillId="0" borderId="0" xfId="0" applyFill="1"/>
    <xf numFmtId="0" fontId="10" fillId="0" borderId="0" xfId="0" applyAlignment="1" applyBorder="1" applyFont="1" applyFill="1" applyProtection="1">
      <alignment vertical="center"/>
      <protection hidden="1"/>
    </xf>
    <xf numFmtId="6" fontId="11" fillId="0" borderId="0" xfId="2" applyAlignment="1" applyBorder="1" applyFont="1" applyNumberFormat="1" applyFill="1" applyProtection="1">
      <alignment vertical="center"/>
      <protection hidden="1"/>
    </xf>
    <xf numFmtId="0" fontId="11" fillId="4" borderId="19" xfId="0" applyAlignment="1" applyBorder="1" applyFont="1" applyFill="1" applyProtection="1">
      <alignment horizontal="left" vertical="center" indent="2"/>
      <protection locked="0"/>
    </xf>
    <xf numFmtId="0" fontId="10" fillId="8" borderId="6" xfId="0" applyAlignment="1" applyBorder="1" applyFont="1" applyFill="1" applyProtection="1">
      <alignment vertical="center"/>
      <protection hidden="1"/>
    </xf>
    <xf numFmtId="0" fontId="10" fillId="0" borderId="24" xfId="0" applyAlignment="1" applyBorder="1" applyFont="1">
      <alignment vertical="center" wrapText="1"/>
    </xf>
    <xf numFmtId="0" fontId="10" fillId="9" borderId="0" xfId="0" applyAlignment="1" applyBorder="1" applyFont="1" applyFill="1" applyProtection="1">
      <alignment vertical="center"/>
      <protection hidden="1"/>
    </xf>
    <xf numFmtId="0" fontId="10" fillId="9" borderId="0" xfId="0" applyAlignment="1" applyBorder="1" applyFont="1" applyFill="1" applyProtection="1">
      <alignment horizontal="center" vertical="center"/>
      <protection hidden="1"/>
    </xf>
    <xf numFmtId="0" fontId="10" fillId="0" borderId="0" xfId="0" applyAlignment="1" applyBorder="1" applyFont="1" applyFill="1" applyProtection="1">
      <alignment horizontal="center" vertical="center"/>
      <protection hidden="1"/>
    </xf>
    <xf numFmtId="0" fontId="21" fillId="0" borderId="0" xfId="0" applyAlignment="1" applyFont="1">
      <alignment vertical="center"/>
    </xf>
    <xf numFmtId="0" fontId="10" fillId="7" borderId="25" xfId="0" applyAlignment="1" applyBorder="1" applyFont="1" applyFill="1">
      <alignment vertical="center" wrapText="1"/>
    </xf>
    <xf numFmtId="0" fontId="10" fillId="7" borderId="26" xfId="0" applyAlignment="1" applyBorder="1" applyFont="1" applyFill="1">
      <alignment vertical="center" wrapText="1"/>
    </xf>
    <xf numFmtId="0" fontId="10" fillId="0" borderId="0" xfId="0" applyAlignment="1" applyBorder="1" applyFont="1" applyFill="1">
      <alignment vertical="center" wrapText="1"/>
    </xf>
    <xf numFmtId="0" fontId="1" fillId="0" borderId="0" xfId="0" applyAlignment="1" applyBorder="1" applyFont="1" applyFill="1">
      <alignment vertical="center" wrapText="1"/>
    </xf>
    <xf numFmtId="0" fontId="11" fillId="0" borderId="0" xfId="0" applyAlignment="1" applyFont="1" applyFill="1">
      <alignment vertical="center"/>
    </xf>
    <xf numFmtId="0" fontId="11" fillId="0" borderId="0" xfId="0" applyAlignment="1" applyBorder="1" applyFont="1" applyFill="1">
      <alignment vertical="center" wrapText="1"/>
    </xf>
    <xf numFmtId="0" fontId="10" fillId="0" borderId="0" xfId="0" applyAlignment="1" applyFont="1" applyFill="1">
      <alignment vertical="center"/>
    </xf>
    <xf numFmtId="0" fontId="10" fillId="0" borderId="0" xfId="0" applyAlignment="1" applyBorder="1" applyFont="1" applyFill="1">
      <alignment horizontal="center" vertical="center" wrapText="1"/>
    </xf>
    <xf numFmtId="0" fontId="13" fillId="0" borderId="0" xfId="0" applyAlignment="1" applyBorder="1" applyFont="1" applyFill="1">
      <alignment vertical="center" wrapText="1"/>
    </xf>
    <xf numFmtId="168" fontId="10" fillId="8" borderId="21" xfId="0" applyAlignment="1" applyBorder="1" applyFont="1" applyNumberFormat="1" applyFill="1" applyProtection="1">
      <alignment vertical="center"/>
      <protection hidden="1"/>
    </xf>
    <xf numFmtId="0" fontId="10" fillId="9" borderId="27" xfId="0" applyAlignment="1" applyBorder="1" applyFont="1" applyFill="1" applyProtection="1">
      <alignment horizontal="center" vertical="center"/>
      <protection hidden="1"/>
    </xf>
    <xf numFmtId="0" fontId="10" fillId="9" borderId="28" xfId="0" applyAlignment="1" applyBorder="1" applyFont="1" applyFill="1" applyProtection="1">
      <alignment horizontal="center" vertical="center"/>
      <protection hidden="1"/>
    </xf>
    <xf numFmtId="0" fontId="11" fillId="0" borderId="0" xfId="0" applyAlignment="1" applyBorder="1" applyFont="1" applyFill="1" applyProtection="1">
      <alignment horizontal="center"/>
      <protection hidden="1"/>
    </xf>
    <xf numFmtId="0" fontId="11" fillId="0" borderId="0" xfId="0" applyAlignment="1" applyBorder="1" applyFont="1" applyFill="1" applyProtection="1">
      <alignment horizontal="center" vertical="center"/>
      <protection hidden="1"/>
    </xf>
    <xf numFmtId="168" fontId="1" fillId="0" borderId="0" xfId="2" applyAlignment="1" applyBorder="1" applyFont="1" applyNumberFormat="1" applyFill="1" applyProtection="1">
      <alignment vertical="center"/>
      <protection hidden="1"/>
    </xf>
    <xf numFmtId="168" fontId="1" fillId="0" borderId="0" xfId="2" applyAlignment="1" applyBorder="1" applyFont="1" applyNumberFormat="1" applyFill="1" applyProtection="1" quotePrefix="1">
      <alignment vertical="center"/>
      <protection hidden="1"/>
    </xf>
    <xf numFmtId="6" fontId="11" fillId="8" borderId="29" xfId="0" applyAlignment="1" applyBorder="1" applyFont="1" applyNumberFormat="1" applyFill="1" applyProtection="1">
      <alignment vertical="center"/>
      <protection hidden="1"/>
    </xf>
    <xf numFmtId="165" fontId="11" fillId="8" borderId="6" xfId="6" applyAlignment="1" applyBorder="1" applyFont="1" applyNumberFormat="1" applyFill="1" applyProtection="1">
      <alignment vertical="center"/>
      <protection hidden="1"/>
    </xf>
    <xf numFmtId="6" fontId="11" fillId="8" borderId="6" xfId="0" applyAlignment="1" applyBorder="1" applyFont="1" applyNumberFormat="1" applyFill="1" applyProtection="1">
      <alignment vertical="center"/>
      <protection hidden="1"/>
    </xf>
    <xf numFmtId="6" fontId="11" fillId="8" borderId="30" xfId="0" applyAlignment="1" applyBorder="1" applyFont="1" applyNumberFormat="1" applyFill="1" applyProtection="1">
      <alignment vertical="center"/>
      <protection hidden="1"/>
    </xf>
    <xf numFmtId="6" fontId="11" fillId="8" borderId="31" xfId="0" applyAlignment="1" applyBorder="1" applyFont="1" applyNumberFormat="1" applyFill="1" applyProtection="1">
      <alignment vertical="center"/>
      <protection hidden="1"/>
    </xf>
    <xf numFmtId="6" fontId="11" fillId="8" borderId="32" xfId="0" applyAlignment="1" applyBorder="1" applyFont="1" applyNumberFormat="1" applyFill="1" applyProtection="1">
      <alignment vertical="center"/>
      <protection hidden="1"/>
    </xf>
    <xf numFmtId="0" fontId="10" fillId="0" borderId="0" xfId="0" applyAlignment="1" applyBorder="1" applyFont="1" applyFill="1" applyProtection="1">
      <alignment horizontal="center"/>
      <protection hidden="1"/>
    </xf>
    <xf numFmtId="170" fontId="12" fillId="8" borderId="0" xfId="0" applyAlignment="1" applyBorder="1" applyFont="1" applyNumberFormat="1" applyFill="1" applyProtection="1">
      <alignment vertical="center"/>
      <protection hidden="1"/>
    </xf>
    <xf numFmtId="0" fontId="0" fillId="0" borderId="0" xfId="0" applyAlignment="1">
      <alignment horizontal="center" vertical="center"/>
    </xf>
    <xf numFmtId="0" fontId="11" fillId="4" borderId="33" xfId="0" applyAlignment="1" applyBorder="1" applyFont="1" applyFill="1" applyProtection="1">
      <alignment vertical="center" wrapText="1"/>
      <protection locked="0"/>
    </xf>
    <xf numFmtId="0" fontId="11" fillId="4" borderId="34" xfId="0" applyAlignment="1" applyBorder="1" applyFont="1" applyFill="1" applyProtection="1">
      <alignment vertical="center" wrapText="1"/>
      <protection locked="0"/>
    </xf>
    <xf numFmtId="165" fontId="11" fillId="8" borderId="0" xfId="0" applyAlignment="1" applyBorder="1" applyFont="1" applyNumberFormat="1" applyFill="1" applyProtection="1" quotePrefix="1">
      <alignment vertical="center"/>
      <protection hidden="1"/>
    </xf>
    <xf numFmtId="0" fontId="11" fillId="8" borderId="35" xfId="0" applyAlignment="1" applyBorder="1" applyFont="1" applyFill="1" applyProtection="1">
      <alignment vertical="center"/>
      <protection hidden="1"/>
    </xf>
    <xf numFmtId="165" fontId="11" fillId="8" borderId="35" xfId="0" applyAlignment="1" applyBorder="1" applyFont="1" applyNumberFormat="1" applyFill="1" applyProtection="1">
      <alignment horizontal="center" vertical="center"/>
      <protection hidden="1"/>
    </xf>
    <xf numFmtId="165" fontId="11" fillId="8" borderId="35" xfId="0" applyAlignment="1" applyBorder="1" applyFont="1" applyNumberFormat="1" applyFill="1" applyProtection="1">
      <alignment vertical="center"/>
      <protection hidden="1"/>
    </xf>
    <xf numFmtId="0" fontId="11" fillId="4" borderId="24" xfId="0" applyAlignment="1" applyBorder="1" applyFont="1" applyFill="1" applyProtection="1">
      <alignment vertical="center" wrapText="1"/>
      <protection locked="0"/>
    </xf>
    <xf numFmtId="0" fontId="11" fillId="8" borderId="35" xfId="0" applyAlignment="1" applyBorder="1" applyFont="1" applyFill="1" applyProtection="1">
      <alignment horizontal="center" vertical="center"/>
      <protection hidden="1"/>
    </xf>
    <xf numFmtId="165" fontId="11" fillId="8" borderId="35" xfId="0" applyAlignment="1" applyBorder="1" applyFont="1" applyNumberFormat="1" applyFill="1" applyProtection="1" quotePrefix="1">
      <alignment vertical="center"/>
      <protection hidden="1"/>
    </xf>
    <xf numFmtId="0" fontId="1" fillId="2" borderId="0" xfId="3" applyAlignment="1" applyBorder="1" applyFont="1" applyFill="1" applyProtection="1">
      <alignment horizontal="left" vertical="center" wrapText="1"/>
      <protection hidden="1"/>
    </xf>
    <xf numFmtId="0" fontId="1" fillId="0" borderId="29" xfId="0" applyAlignment="1" applyBorder="1" applyFont="1">
      <alignment vertical="center" wrapText="1"/>
    </xf>
    <xf numFmtId="0" fontId="2" fillId="2" borderId="36" xfId="3" applyAlignment="1" applyBorder="1" applyFont="1" applyFill="1" applyProtection="1">
      <alignment vertical="center" wrapText="1"/>
      <protection hidden="1"/>
    </xf>
    <xf numFmtId="0" fontId="1" fillId="2" borderId="36" xfId="3" applyAlignment="1" applyBorder="1" applyFont="1" applyFill="1" applyProtection="1">
      <alignment vertical="center" wrapText="1"/>
      <protection hidden="1"/>
    </xf>
    <xf numFmtId="0" fontId="10" fillId="0" borderId="10" xfId="0" applyAlignment="1" applyBorder="1" applyFont="1" applyFill="1" applyProtection="1">
      <alignment vertical="center"/>
      <protection hidden="1"/>
    </xf>
    <xf numFmtId="0" fontId="10" fillId="0" borderId="10" xfId="0" applyAlignment="1" applyBorder="1" applyFont="1" applyFill="1" applyProtection="1">
      <alignment horizontal="center" vertical="center"/>
      <protection hidden="1"/>
    </xf>
    <xf numFmtId="0" fontId="1" fillId="0" borderId="0" xfId="0" applyBorder="1" applyFont="1" applyProtection="1">
      <protection hidden="1"/>
    </xf>
    <xf numFmtId="0" fontId="11" fillId="0" borderId="11" xfId="0" applyAlignment="1" applyBorder="1" applyFont="1" applyFill="1" applyProtection="1">
      <alignment vertical="center"/>
      <protection hidden="1"/>
    </xf>
    <xf numFmtId="6" fontId="2" fillId="9" borderId="0" xfId="2" applyAlignment="1" applyBorder="1" applyFont="1" applyNumberFormat="1" applyFill="1" applyProtection="1">
      <alignment vertical="center"/>
      <protection hidden="1"/>
    </xf>
    <xf numFmtId="168" fontId="10" fillId="8" borderId="0" xfId="0" applyAlignment="1" applyBorder="1" applyFont="1" applyNumberFormat="1" applyFill="1" applyProtection="1">
      <alignment vertical="center"/>
      <protection hidden="1"/>
    </xf>
    <xf numFmtId="0" fontId="0" fillId="0" borderId="0" xfId="0" applyProtection="1">
      <protection hidden="1"/>
    </xf>
    <xf numFmtId="0" fontId="0" fillId="0" borderId="0" xfId="0" applyAlignment="1" applyProtection="1">
      <alignment wrapText="1"/>
      <protection hidden="1"/>
    </xf>
    <xf numFmtId="0" fontId="0" fillId="0" borderId="12" xfId="0" applyBorder="1" applyProtection="1">
      <protection hidden="1"/>
    </xf>
    <xf numFmtId="0" fontId="0" fillId="0" borderId="13" xfId="0" applyBorder="1" applyProtection="1">
      <protection hidden="1"/>
    </xf>
    <xf numFmtId="0" fontId="0" fillId="0" borderId="14" xfId="0" applyBorder="1" applyProtection="1">
      <protection hidden="1"/>
    </xf>
    <xf numFmtId="0" fontId="0" fillId="0" borderId="15" xfId="0" applyBorder="1" applyProtection="1">
      <protection hidden="1"/>
    </xf>
    <xf numFmtId="0" fontId="0" fillId="0" borderId="0" xfId="0" applyBorder="1" applyProtection="1">
      <protection hidden="1"/>
    </xf>
    <xf numFmtId="0" fontId="0" fillId="0" borderId="17" xfId="0" applyBorder="1" applyProtection="1">
      <protection hidden="1"/>
    </xf>
    <xf numFmtId="0" fontId="0" fillId="0" borderId="18" xfId="0" applyBorder="1" applyProtection="1">
      <protection hidden="1"/>
    </xf>
    <xf numFmtId="0" fontId="0" fillId="0" borderId="10" xfId="0" applyBorder="1" applyProtection="1">
      <protection hidden="1"/>
    </xf>
    <xf numFmtId="0" fontId="12" fillId="0" borderId="0" xfId="0" applyAlignment="1" applyBorder="1" applyFont="1" applyFill="1" applyProtection="1">
      <alignment horizontal="left" vertical="center" indent="2"/>
      <protection hidden="1"/>
    </xf>
    <xf numFmtId="0" fontId="11" fillId="0" borderId="0" xfId="0" applyBorder="1" applyFont="1" applyProtection="1">
      <protection hidden="1"/>
    </xf>
    <xf numFmtId="0" fontId="0" fillId="0" borderId="0" xfId="0" applyFill="1" applyProtection="1">
      <protection hidden="1"/>
    </xf>
    <xf numFmtId="168" fontId="11" fillId="0" borderId="0" xfId="0" applyBorder="1" applyFont="1" applyNumberFormat="1" applyProtection="1">
      <protection hidden="1"/>
    </xf>
    <xf numFmtId="0" fontId="0" fillId="0" borderId="0" xfId="0" applyBorder="1" applyFill="1" applyProtection="1">
      <protection hidden="1"/>
    </xf>
    <xf numFmtId="0" fontId="0" fillId="0" borderId="10" xfId="0" applyBorder="1" applyFill="1" applyProtection="1">
      <protection hidden="1"/>
    </xf>
    <xf numFmtId="0" fontId="0" fillId="0" borderId="11" xfId="0" applyBorder="1" applyProtection="1">
      <protection hidden="1"/>
    </xf>
    <xf numFmtId="0" fontId="1" fillId="0" borderId="6" xfId="0" applyAlignment="1" applyBorder="1" applyFont="1" applyProtection="1">
      <alignment horizontal="center" vertical="center" wrapText="1"/>
      <protection locked="0"/>
    </xf>
    <xf numFmtId="0" fontId="1" fillId="0" borderId="6" xfId="0" applyAlignment="1" applyBorder="1" applyFont="1" applyProtection="1">
      <alignment vertical="center" wrapText="1"/>
      <protection locked="0"/>
    </xf>
    <xf numFmtId="168" fontId="11" fillId="8" borderId="0" xfId="0" applyAlignment="1" applyBorder="1" applyFont="1" applyNumberFormat="1" applyFill="1" applyProtection="1">
      <protection hidden="1"/>
    </xf>
    <xf numFmtId="0" fontId="0" fillId="0" borderId="0" xfId="0" applyProtection="1"/>
    <xf numFmtId="0" fontId="0" fillId="0" borderId="0" xfId="0" applyAlignment="1" applyProtection="1">
      <alignment wrapText="1"/>
    </xf>
    <xf numFmtId="0" fontId="11" fillId="0" borderId="6" xfId="0" applyAlignment="1" applyBorder="1" applyFont="1" applyProtection="1">
      <alignment horizontal="center" vertical="center"/>
      <protection locked="0"/>
    </xf>
    <xf numFmtId="0" fontId="2" fillId="2" borderId="0" xfId="3" applyAlignment="1" applyBorder="1" applyFont="1" applyFill="1" applyProtection="1">
      <alignment vertical="top" wrapText="1"/>
      <protection hidden="1"/>
    </xf>
    <xf numFmtId="0" fontId="20" fillId="0" borderId="1" xfId="0" applyAlignment="1" applyBorder="1" applyFont="1" applyProtection="1">
      <alignment horizontal="left" vertical="center" wrapText="1" indent="1"/>
      <protection hidden="1"/>
    </xf>
    <xf numFmtId="0" fontId="0" fillId="0" borderId="0" xfId="0" applyAlignment="1" applyProtection="1">
      <alignment horizontal="left" vertical="center" indent="1"/>
      <protection hidden="1"/>
    </xf>
    <xf numFmtId="0" fontId="19" fillId="4" borderId="1" xfId="0" applyAlignment="1" applyBorder="1" applyFont="1" applyFill="1" applyProtection="1">
      <alignment horizontal="left" vertical="center" wrapText="1" indent="1"/>
      <protection hidden="1" locked="0"/>
    </xf>
    <xf numFmtId="0" fontId="0" fillId="0" borderId="0" xfId="0" applyAlignment="1" applyProtection="1">
      <alignment horizontal="left" vertical="center" wrapText="1" indent="1"/>
      <protection hidden="1"/>
    </xf>
    <xf numFmtId="0" fontId="0" fillId="0" borderId="0" xfId="0" applyAlignment="1" applyFont="1" applyProtection="1">
      <alignment horizontal="left" vertical="center" wrapText="1" indent="1"/>
      <protection hidden="1"/>
    </xf>
    <xf numFmtId="169" fontId="19" fillId="4" borderId="1" xfId="0" applyAlignment="1" applyBorder="1" applyFont="1" applyNumberFormat="1" applyFill="1" applyProtection="1">
      <alignment horizontal="left" vertical="center" wrapText="1" indent="1"/>
      <protection hidden="1" locked="0"/>
    </xf>
    <xf numFmtId="0" fontId="20" fillId="0" borderId="0" xfId="0" applyAlignment="1" applyBorder="1" applyFont="1" applyProtection="1">
      <alignment horizontal="left" vertical="center" wrapText="1" indent="1"/>
      <protection hidden="1"/>
    </xf>
    <xf numFmtId="14" fontId="19" fillId="4" borderId="1" xfId="0" applyAlignment="1" applyBorder="1" applyFont="1" applyNumberFormat="1" applyFill="1" applyProtection="1">
      <alignment horizontal="left" vertical="center" wrapText="1" indent="1"/>
      <protection hidden="1" locked="0"/>
    </xf>
    <xf numFmtId="0" fontId="2" fillId="0" borderId="0" xfId="8" applyAlignment="1" applyFont="1" applyFill="1">
      <alignment vertical="top" wrapText="1"/>
    </xf>
    <xf numFmtId="0" fontId="2" fillId="0" borderId="0" xfId="8" applyAlignment="1" applyFont="1" applyFill="1">
      <alignment horizontal="left" vertical="top" wrapText="1" indent="1"/>
    </xf>
    <xf numFmtId="0" fontId="10" fillId="0" borderId="0" xfId="8" applyAlignment="1" applyBorder="1" applyFont="1">
      <alignment horizontal="center" vertical="center" wrapText="1"/>
    </xf>
    <xf numFmtId="0" fontId="11" fillId="0" borderId="37" xfId="8" applyAlignment="1" applyBorder="1" applyFont="1">
      <alignment horizontal="center" vertical="center"/>
    </xf>
    <xf numFmtId="0" fontId="10" fillId="0" borderId="0" xfId="8" applyAlignment="1" applyBorder="1" applyFont="1">
      <alignment vertical="center" wrapText="1"/>
    </xf>
    <xf numFmtId="168" fontId="11" fillId="10" borderId="37" xfId="8" applyAlignment="1" applyBorder="1" applyFont="1" applyNumberFormat="1" applyFill="1">
      <alignment horizontal="center" vertical="center"/>
    </xf>
    <xf numFmtId="173" fontId="11" fillId="10" borderId="38" xfId="8" applyAlignment="1" applyBorder="1" applyFont="1" applyNumberFormat="1" applyFill="1">
      <alignment horizontal="center" vertical="center"/>
    </xf>
    <xf numFmtId="168" fontId="11" fillId="10" borderId="38" xfId="8" applyAlignment="1" applyBorder="1" applyFont="1" applyNumberFormat="1" applyFill="1">
      <alignment horizontal="center" vertical="center"/>
    </xf>
    <xf numFmtId="0" fontId="11" fillId="0" borderId="39" xfId="8" applyAlignment="1" applyBorder="1" applyFont="1">
      <alignment horizontal="center"/>
    </xf>
    <xf numFmtId="0" fontId="11" fillId="0" borderId="40" xfId="8" applyAlignment="1" applyBorder="1" applyFont="1">
      <alignment horizontal="center"/>
    </xf>
    <xf numFmtId="0" fontId="11" fillId="0" borderId="0" xfId="8" applyAlignment="1" applyBorder="1" applyFont="1">
      <alignment horizontal="center"/>
    </xf>
    <xf numFmtId="0" fontId="10" fillId="0" borderId="0" xfId="8" applyAlignment="1" applyBorder="1" applyFont="1">
      <alignment horizontal="left"/>
    </xf>
    <xf numFmtId="168" fontId="10" fillId="0" borderId="0" xfId="8" applyAlignment="1" applyBorder="1" applyFont="1" applyNumberFormat="1">
      <alignment horizontal="center"/>
    </xf>
    <xf numFmtId="0" fontId="10" fillId="0" borderId="0" xfId="8" applyAlignment="1" applyBorder="1" applyFont="1">
      <alignment horizontal="center"/>
    </xf>
    <xf numFmtId="0" fontId="32" fillId="0" borderId="0" xfId="12" applyAlignment="1" applyBorder="1" applyFont="1" applyFill="1" applyProtection="1"/>
    <xf numFmtId="174" fontId="32" fillId="0" borderId="0" xfId="12" applyAlignment="1" applyBorder="1" applyFont="1" applyNumberFormat="1" applyFill="1" applyProtection="1">
      <alignment horizontal="center"/>
    </xf>
    <xf numFmtId="0" fontId="32" fillId="0" borderId="0" xfId="12" applyAlignment="1" applyBorder="1" applyFont="1" applyFill="1" applyProtection="1">
      <alignment horizontal="center"/>
    </xf>
    <xf numFmtId="0" fontId="38" fillId="11" borderId="0" xfId="13" applyBorder="1" applyFont="1" applyFill="1" applyProtection="1">
      <protection hidden="1"/>
    </xf>
    <xf numFmtId="0" fontId="38" fillId="11" borderId="0" xfId="13" applyAlignment="1" applyBorder="1" applyFont="1" applyFill="1" applyProtection="1">
      <alignment horizontal="left"/>
      <protection hidden="1"/>
    </xf>
    <xf numFmtId="0" fontId="38" fillId="11" borderId="0" xfId="13" applyAlignment="1" applyBorder="1" applyFont="1" applyFill="1" applyProtection="1">
      <alignment horizontal="center"/>
      <protection hidden="1"/>
    </xf>
    <xf numFmtId="176" fontId="38" fillId="11" borderId="0" xfId="13" applyBorder="1" applyFont="1" applyNumberFormat="1" applyFill="1" applyProtection="1">
      <protection hidden="1"/>
    </xf>
    <xf numFmtId="0" fontId="9" fillId="11" borderId="0" xfId="13" applyBorder="1" applyFont="1" applyFill="1" applyProtection="1">
      <protection hidden="1"/>
    </xf>
    <xf numFmtId="0" fontId="39" fillId="11" borderId="0" xfId="13" applyBorder="1" applyFont="1" applyFill="1" applyProtection="1">
      <protection hidden="1"/>
    </xf>
    <xf numFmtId="0" fontId="34" fillId="11" borderId="0" xfId="14" applyBorder="1" applyFont="1" applyFill="1" applyProtection="1">
      <protection hidden="1"/>
    </xf>
    <xf numFmtId="0" fontId="38" fillId="11" borderId="41" xfId="13" applyBorder="1" applyFont="1" applyFill="1" applyProtection="1">
      <protection hidden="1"/>
    </xf>
    <xf numFmtId="0" fontId="38" fillId="11" borderId="42" xfId="13" applyBorder="1" applyFont="1" applyFill="1" applyProtection="1">
      <protection hidden="1"/>
    </xf>
    <xf numFmtId="0" fontId="38" fillId="11" borderId="43" xfId="13" applyBorder="1" applyFont="1" applyFill="1" applyProtection="1">
      <protection hidden="1"/>
    </xf>
    <xf numFmtId="0" fontId="40" fillId="11" borderId="0" xfId="13" applyAlignment="1" applyBorder="1" applyFont="1" applyFill="1" applyProtection="1">
      <alignment vertical="center"/>
      <protection hidden="1"/>
    </xf>
    <xf numFmtId="0" fontId="38" fillId="11" borderId="44" xfId="13" applyBorder="1" applyFont="1" applyFill="1" applyProtection="1">
      <protection hidden="1"/>
    </xf>
    <xf numFmtId="0" fontId="37" fillId="11" borderId="0" xfId="3" applyAlignment="1" applyBorder="1" applyFont="1" applyFill="1" applyProtection="1">
      <alignment horizontal="left" vertical="center"/>
      <protection hidden="1"/>
    </xf>
    <xf numFmtId="0" fontId="41" fillId="11" borderId="0" xfId="3" applyAlignment="1" applyBorder="1" applyFont="1" applyFill="1" applyProtection="1">
      <alignment horizontal="left" vertical="center"/>
      <protection hidden="1"/>
    </xf>
    <xf numFmtId="0" fontId="41" fillId="11" borderId="0" xfId="3" applyAlignment="1" applyBorder="1" applyFont="1" applyFill="1" applyProtection="1">
      <alignment horizontal="center" vertical="center"/>
      <protection hidden="1"/>
    </xf>
    <xf numFmtId="3" fontId="34" fillId="12" borderId="6" xfId="3" applyAlignment="1" applyBorder="1" applyFont="1" applyNumberFormat="1" applyFill="1" applyProtection="1">
      <alignment horizontal="center" vertical="center" wrapText="1"/>
      <protection hidden="1"/>
    </xf>
    <xf numFmtId="0" fontId="35" fillId="11" borderId="0" xfId="3" applyAlignment="1" applyBorder="1" applyFont="1" applyFill="1" applyProtection="1">
      <alignment horizontal="center" vertical="center"/>
      <protection hidden="1"/>
    </xf>
    <xf numFmtId="0" fontId="37" fillId="11" borderId="0" xfId="3" applyAlignment="1" applyBorder="1" applyFont="1" applyFill="1" applyProtection="1">
      <alignment horizontal="center" vertical="center"/>
      <protection hidden="1"/>
    </xf>
    <xf numFmtId="3" fontId="42" fillId="11" borderId="0" xfId="13" applyAlignment="1" applyBorder="1" applyFont="1" applyNumberFormat="1" applyFill="1" applyProtection="1">
      <alignment vertical="center"/>
      <protection hidden="1"/>
    </xf>
    <xf numFmtId="0" fontId="35" fillId="11" borderId="0" xfId="3" applyAlignment="1" applyBorder="1" applyFont="1" applyFill="1" applyProtection="1">
      <alignment horizontal="left" vertical="center"/>
      <protection hidden="1"/>
    </xf>
    <xf numFmtId="0" fontId="43" fillId="11" borderId="43" xfId="15" applyBorder="1" applyFont="1" applyFill="1" applyProtection="1">
      <protection hidden="1"/>
    </xf>
    <xf numFmtId="0" fontId="44" fillId="11" borderId="0" xfId="3" applyAlignment="1" applyBorder="1" applyFont="1" applyFill="1" applyProtection="1">
      <alignment horizontal="left"/>
      <protection hidden="1"/>
    </xf>
    <xf numFmtId="0" fontId="35" fillId="11" borderId="0" xfId="3" applyAlignment="1" applyBorder="1" applyFont="1" applyFill="1" applyProtection="1">
      <alignment horizontal="center"/>
      <protection hidden="1"/>
    </xf>
    <xf numFmtId="0" fontId="38" fillId="11" borderId="0" xfId="15" applyBorder="1" applyFont="1" applyFill="1" applyProtection="1">
      <protection hidden="1"/>
    </xf>
    <xf numFmtId="0" fontId="35" fillId="11" borderId="0" xfId="3" applyAlignment="1" applyBorder="1" applyFont="1" applyFill="1" applyProtection="1">
      <protection hidden="1"/>
    </xf>
    <xf numFmtId="3" fontId="42" fillId="11" borderId="0" xfId="15" applyAlignment="1" applyBorder="1" applyFont="1" applyNumberFormat="1" applyFill="1" applyProtection="1">
      <alignment vertical="center"/>
      <protection hidden="1"/>
    </xf>
    <xf numFmtId="0" fontId="43" fillId="11" borderId="44" xfId="15" applyBorder="1" applyFont="1" applyFill="1" applyProtection="1">
      <protection hidden="1"/>
    </xf>
    <xf numFmtId="0" fontId="43" fillId="11" borderId="0" xfId="15" applyBorder="1" applyFont="1" applyFill="1" applyProtection="1">
      <protection hidden="1"/>
    </xf>
    <xf numFmtId="0" fontId="34" fillId="11" borderId="8" xfId="3" applyAlignment="1" applyBorder="1" applyFont="1" applyFill="1" applyProtection="1">
      <alignment horizontal="center" vertical="center" wrapText="1"/>
      <protection hidden="1"/>
    </xf>
    <xf numFmtId="0" fontId="34" fillId="11" borderId="6" xfId="3" applyAlignment="1" applyBorder="1" applyFont="1" applyFill="1" applyProtection="1">
      <alignment horizontal="center" vertical="center" wrapText="1"/>
      <protection hidden="1"/>
    </xf>
    <xf numFmtId="0" fontId="43" fillId="11" borderId="45" xfId="3" applyAlignment="1" applyBorder="1" applyFont="1" applyFill="1" applyProtection="1">
      <alignment horizontal="left" vertical="center" wrapText="1"/>
      <protection hidden="1"/>
    </xf>
    <xf numFmtId="0" fontId="43" fillId="11" borderId="37" xfId="3" applyAlignment="1" applyBorder="1" applyFont="1" applyFill="1" applyProtection="1">
      <alignment horizontal="left" vertical="center" wrapText="1"/>
      <protection hidden="1"/>
    </xf>
    <xf numFmtId="0" fontId="43" fillId="0" borderId="37" xfId="3" applyAlignment="1" applyBorder="1" applyFont="1" applyFill="1" applyProtection="1">
      <alignment horizontal="left" vertical="center" wrapText="1"/>
      <protection hidden="1"/>
    </xf>
    <xf numFmtId="0" fontId="43" fillId="11" borderId="38" xfId="3" applyAlignment="1" applyBorder="1" applyFont="1" applyFill="1" applyProtection="1">
      <alignment horizontal="left" vertical="center" wrapText="1"/>
      <protection hidden="1"/>
    </xf>
    <xf numFmtId="0" fontId="34" fillId="11" borderId="46" xfId="3" applyAlignment="1" applyBorder="1" applyFont="1" applyFill="1" applyProtection="1">
      <alignment horizontal="center" vertical="center" wrapText="1"/>
      <protection hidden="1"/>
    </xf>
    <xf numFmtId="0" fontId="34" fillId="11" borderId="32" xfId="3" applyAlignment="1" applyBorder="1" applyFont="1" applyFill="1" applyProtection="1">
      <alignment horizontal="center" vertical="center" wrapText="1"/>
      <protection hidden="1"/>
    </xf>
    <xf numFmtId="0" fontId="34" fillId="11" borderId="47" xfId="3" applyAlignment="1" applyBorder="1" applyFont="1" applyFill="1" applyProtection="1">
      <alignment horizontal="center" vertical="center" wrapText="1"/>
      <protection hidden="1"/>
    </xf>
    <xf numFmtId="0" fontId="34" fillId="11" borderId="5" xfId="3" applyAlignment="1" applyBorder="1" applyFont="1" applyFill="1" applyProtection="1">
      <alignment horizontal="center" vertical="center" wrapText="1"/>
      <protection hidden="1"/>
    </xf>
    <xf numFmtId="8" fontId="43" fillId="11" borderId="45" xfId="3" applyAlignment="1" applyBorder="1" applyFont="1" applyNumberFormat="1" applyFill="1" applyProtection="1">
      <alignment horizontal="left"/>
      <protection hidden="1"/>
    </xf>
    <xf numFmtId="6" fontId="43" fillId="12" borderId="48" xfId="3" applyAlignment="1" applyBorder="1" applyFont="1" applyNumberFormat="1" applyFill="1" applyProtection="1">
      <alignment horizontal="center" vertical="center"/>
      <protection hidden="1"/>
    </xf>
    <xf numFmtId="10" fontId="43" fillId="12" borderId="49" xfId="6" applyAlignment="1" applyBorder="1" applyFont="1" applyNumberFormat="1" applyFill="1" applyProtection="1">
      <alignment horizontal="center" vertical="center" wrapText="1"/>
      <protection hidden="1"/>
    </xf>
    <xf numFmtId="168" fontId="43" fillId="12" borderId="50" xfId="16" applyAlignment="1" applyBorder="1" applyFont="1" applyNumberFormat="1" applyFill="1" applyProtection="1">
      <alignment horizontal="center" vertical="center" wrapText="1"/>
      <protection hidden="1"/>
    </xf>
    <xf numFmtId="8" fontId="43" fillId="11" borderId="37" xfId="3" applyAlignment="1" applyBorder="1" applyFont="1" applyNumberFormat="1" applyFill="1" applyProtection="1">
      <alignment horizontal="left"/>
      <protection hidden="1"/>
    </xf>
    <xf numFmtId="6" fontId="43" fillId="12" borderId="27" xfId="3" applyAlignment="1" applyBorder="1" applyFont="1" applyNumberFormat="1" applyFill="1" applyProtection="1">
      <alignment horizontal="center" vertical="center"/>
      <protection hidden="1"/>
    </xf>
    <xf numFmtId="10" fontId="43" fillId="12" borderId="51" xfId="6" applyAlignment="1" applyBorder="1" applyFont="1" applyNumberFormat="1" applyFill="1" applyProtection="1">
      <alignment horizontal="center" vertical="center" wrapText="1"/>
      <protection hidden="1"/>
    </xf>
    <xf numFmtId="168" fontId="43" fillId="12" borderId="37" xfId="16" applyAlignment="1" applyBorder="1" applyFont="1" applyNumberFormat="1" applyFill="1" applyProtection="1">
      <alignment horizontal="center" vertical="center" wrapText="1"/>
      <protection hidden="1"/>
    </xf>
    <xf numFmtId="6" fontId="43" fillId="12" borderId="39" xfId="3" applyAlignment="1" applyBorder="1" applyFont="1" applyNumberFormat="1" applyFill="1" applyProtection="1">
      <alignment horizontal="center" vertical="center"/>
      <protection hidden="1"/>
    </xf>
    <xf numFmtId="10" fontId="43" fillId="12" borderId="39" xfId="6" applyAlignment="1" applyBorder="1" applyFont="1" applyNumberFormat="1" applyFill="1" applyProtection="1">
      <alignment horizontal="center" vertical="center" wrapText="1"/>
      <protection hidden="1"/>
    </xf>
    <xf numFmtId="6" fontId="43" fillId="12" borderId="40" xfId="3" applyAlignment="1" applyBorder="1" applyFont="1" applyNumberFormat="1" applyFill="1" applyProtection="1">
      <alignment horizontal="center" vertical="center"/>
      <protection hidden="1"/>
    </xf>
    <xf numFmtId="6" fontId="43" fillId="12" borderId="52" xfId="3" applyAlignment="1" applyBorder="1" applyFont="1" applyNumberFormat="1" applyFill="1" applyProtection="1">
      <alignment horizontal="center" vertical="center"/>
      <protection hidden="1"/>
    </xf>
    <xf numFmtId="10" fontId="43" fillId="12" borderId="40" xfId="6" applyAlignment="1" applyBorder="1" applyFont="1" applyNumberFormat="1" applyFill="1" applyProtection="1">
      <alignment horizontal="center" vertical="center" wrapText="1"/>
      <protection hidden="1"/>
    </xf>
    <xf numFmtId="10" fontId="43" fillId="12" borderId="53" xfId="6" applyAlignment="1" applyBorder="1" applyFont="1" applyNumberFormat="1" applyFill="1" applyProtection="1">
      <alignment horizontal="center" vertical="center" wrapText="1"/>
      <protection hidden="1"/>
    </xf>
    <xf numFmtId="0" fontId="43" fillId="11" borderId="6" xfId="3" applyAlignment="1" applyBorder="1" applyFont="1" applyFill="1" applyProtection="1">
      <alignment vertical="center" wrapText="1"/>
      <protection hidden="1"/>
    </xf>
    <xf numFmtId="0" fontId="34" fillId="11" borderId="54" xfId="3" applyAlignment="1" applyBorder="1" applyFont="1" applyFill="1" applyProtection="1">
      <alignment horizontal="center" vertical="center" wrapText="1"/>
      <protection hidden="1"/>
    </xf>
    <xf numFmtId="0" fontId="34" fillId="11" borderId="55" xfId="3" applyAlignment="1" applyBorder="1" applyFont="1" applyFill="1" applyProtection="1">
      <alignment horizontal="center" vertical="center" wrapText="1"/>
      <protection hidden="1"/>
    </xf>
    <xf numFmtId="0" fontId="34" fillId="11" borderId="15" xfId="3" applyAlignment="1" applyBorder="1" applyFont="1" applyFill="1" applyProtection="1">
      <alignment horizontal="center" vertical="center" wrapText="1"/>
      <protection hidden="1"/>
    </xf>
    <xf numFmtId="0" fontId="34" fillId="11" borderId="14" xfId="3" applyAlignment="1" applyBorder="1" applyFont="1" applyFill="1" applyProtection="1">
      <alignment horizontal="center" vertical="center" wrapText="1"/>
      <protection hidden="1"/>
    </xf>
    <xf numFmtId="0" fontId="34" fillId="11" borderId="56" xfId="3" applyAlignment="1" applyBorder="1" applyFont="1" applyFill="1" applyProtection="1">
      <alignment horizontal="center" vertical="center" wrapText="1"/>
      <protection hidden="1"/>
    </xf>
    <xf numFmtId="0" fontId="34" fillId="11" borderId="57" xfId="3" applyAlignment="1" applyBorder="1" applyFont="1" applyFill="1" applyProtection="1">
      <alignment horizontal="center" vertical="center" wrapText="1"/>
      <protection hidden="1"/>
    </xf>
    <xf numFmtId="0" fontId="34" fillId="11" borderId="29" xfId="3" applyAlignment="1" applyBorder="1" applyFont="1" applyFill="1" applyProtection="1">
      <alignment horizontal="center" vertical="center" wrapText="1"/>
      <protection hidden="1"/>
    </xf>
    <xf numFmtId="0" fontId="43" fillId="11" borderId="6" xfId="3" applyAlignment="1" applyBorder="1" applyFont="1" applyFill="1" applyProtection="1">
      <alignment horizontal="left" vertical="center" wrapText="1"/>
      <protection hidden="1"/>
    </xf>
    <xf numFmtId="8" fontId="43" fillId="11" borderId="4" xfId="3" applyAlignment="1" applyBorder="1" applyFont="1" applyNumberFormat="1" applyFill="1" applyProtection="1">
      <alignment horizontal="left" vertical="center"/>
      <protection hidden="1"/>
    </xf>
    <xf numFmtId="168" fontId="34" fillId="12" borderId="6" xfId="16" applyAlignment="1" applyBorder="1" applyFont="1" applyNumberFormat="1" applyFill="1" applyProtection="1">
      <alignment horizontal="center" vertical="center" wrapText="1"/>
      <protection hidden="1"/>
    </xf>
    <xf numFmtId="8" fontId="43" fillId="13" borderId="58" xfId="3" applyAlignment="1" applyBorder="1" applyFont="1" applyNumberFormat="1" applyFill="1" applyProtection="1">
      <alignment horizontal="center" vertical="center"/>
      <protection hidden="1"/>
    </xf>
    <xf numFmtId="10" fontId="43" fillId="13" borderId="39" xfId="6" applyAlignment="1" applyBorder="1" applyFont="1" applyNumberFormat="1" applyFill="1" applyProtection="1">
      <alignment horizontal="center" vertical="center"/>
      <protection hidden="1"/>
    </xf>
    <xf numFmtId="10" fontId="43" fillId="13" borderId="51" xfId="6" applyAlignment="1" applyBorder="1" applyFont="1" applyNumberFormat="1" applyFill="1" applyProtection="1">
      <alignment horizontal="center" vertical="center"/>
      <protection hidden="1"/>
    </xf>
    <xf numFmtId="6" fontId="43" fillId="12" borderId="59" xfId="3" applyAlignment="1" applyBorder="1" applyFont="1" applyNumberFormat="1" applyFill="1" applyProtection="1">
      <alignment horizontal="center" vertical="center"/>
      <protection hidden="1"/>
    </xf>
    <xf numFmtId="10" fontId="43" fillId="13" borderId="40" xfId="6" applyAlignment="1" applyBorder="1" applyFont="1" applyNumberFormat="1" applyFill="1" applyProtection="1">
      <alignment horizontal="center" vertical="center"/>
      <protection hidden="1"/>
    </xf>
    <xf numFmtId="10" fontId="34" fillId="11" borderId="54" xfId="6" applyAlignment="1" applyBorder="1" applyFont="1" applyNumberFormat="1" applyFill="1" applyProtection="1">
      <alignment horizontal="center" vertical="center" wrapText="1"/>
      <protection hidden="1"/>
    </xf>
    <xf numFmtId="10" fontId="34" fillId="11" borderId="55" xfId="6" applyAlignment="1" applyBorder="1" applyFont="1" applyNumberFormat="1" applyFill="1" applyProtection="1">
      <alignment horizontal="center" vertical="center" wrapText="1"/>
      <protection hidden="1"/>
    </xf>
    <xf numFmtId="8" fontId="43" fillId="0" borderId="60" xfId="3" applyAlignment="1" applyBorder="1" applyFont="1" applyNumberFormat="1" applyFill="1" applyProtection="1">
      <alignment horizontal="left"/>
      <protection hidden="1"/>
    </xf>
    <xf numFmtId="0" fontId="43" fillId="11" borderId="0" xfId="3" applyAlignment="1" applyBorder="1" applyFont="1" applyFill="1" applyProtection="1">
      <alignment vertical="center" wrapText="1"/>
      <protection hidden="1"/>
    </xf>
    <xf numFmtId="0" fontId="43" fillId="11" borderId="0" xfId="13" applyAlignment="1" applyBorder="1" applyFont="1" applyFill="1" applyProtection="1">
      <alignment vertical="center"/>
      <protection hidden="1"/>
    </xf>
    <xf numFmtId="6" fontId="43" fillId="11" borderId="0" xfId="3" applyAlignment="1" applyBorder="1" applyFont="1" applyNumberFormat="1" applyFill="1" applyProtection="1">
      <alignment horizontal="center" vertical="center"/>
      <protection hidden="1"/>
    </xf>
    <xf numFmtId="4" fontId="43" fillId="11" borderId="0" xfId="3" applyAlignment="1" applyBorder="1" applyFont="1" applyNumberFormat="1" applyFill="1" applyProtection="1">
      <alignment horizontal="right" vertical="center"/>
      <protection hidden="1"/>
    </xf>
    <xf numFmtId="166" fontId="43" fillId="11" borderId="0" xfId="18" applyAlignment="1" applyBorder="1" applyFont="1" applyNumberFormat="1" applyFill="1" applyProtection="1">
      <alignment horizontal="center" vertical="center"/>
      <protection hidden="1"/>
    </xf>
    <xf numFmtId="166" fontId="43" fillId="11" borderId="0" xfId="18" applyAlignment="1" applyBorder="1" applyFont="1" applyNumberFormat="1" applyFill="1" applyProtection="1">
      <alignment horizontal="right" vertical="center"/>
      <protection hidden="1"/>
    </xf>
    <xf numFmtId="3" fontId="43" fillId="11" borderId="0" xfId="16" applyAlignment="1" applyBorder="1" applyFont="1" applyNumberFormat="1" applyFill="1" applyProtection="1">
      <alignment horizontal="right" vertical="center" wrapText="1"/>
      <protection hidden="1"/>
    </xf>
    <xf numFmtId="0" fontId="43" fillId="11" borderId="0" xfId="13" applyBorder="1" applyFont="1" applyFill="1" applyProtection="1">
      <protection hidden="1"/>
    </xf>
    <xf numFmtId="0" fontId="34" fillId="11" borderId="0" xfId="3" applyAlignment="1" applyBorder="1" applyFont="1" applyFill="1" applyProtection="1">
      <alignment horizontal="left" vertical="center" wrapText="1"/>
      <protection hidden="1"/>
    </xf>
    <xf numFmtId="0" fontId="43" fillId="11" borderId="0" xfId="3" applyAlignment="1" applyBorder="1" applyFont="1" applyFill="1" applyProtection="1">
      <alignment horizontal="center" vertical="center" wrapText="1"/>
      <protection hidden="1"/>
    </xf>
    <xf numFmtId="6" fontId="43" fillId="11" borderId="0" xfId="3" applyAlignment="1" applyBorder="1" applyFont="1" applyNumberFormat="1" applyFill="1" applyProtection="1">
      <alignment horizontal="center" vertical="center" wrapText="1"/>
      <protection hidden="1"/>
    </xf>
    <xf numFmtId="176" fontId="43" fillId="11" borderId="0" xfId="18" applyAlignment="1" applyBorder="1" applyFont="1" applyNumberFormat="1" applyFill="1" applyProtection="1">
      <alignment horizontal="center" vertical="center" wrapText="1"/>
      <protection hidden="1"/>
    </xf>
    <xf numFmtId="0" fontId="34" fillId="11" borderId="0" xfId="3" applyAlignment="1" applyBorder="1" applyFont="1" applyFill="1" applyProtection="1">
      <alignment horizontal="center"/>
      <protection hidden="1"/>
    </xf>
    <xf numFmtId="0" fontId="34" fillId="11" borderId="0" xfId="3" applyAlignment="1" applyBorder="1" applyFont="1" applyFill="1" applyProtection="1">
      <protection hidden="1"/>
    </xf>
    <xf numFmtId="177" fontId="34" fillId="11" borderId="0" xfId="3" applyAlignment="1" applyBorder="1" applyFont="1" applyNumberFormat="1" applyFill="1" applyProtection="1">
      <protection hidden="1"/>
    </xf>
    <xf numFmtId="178" fontId="34" fillId="11" borderId="0" xfId="3" applyAlignment="1" applyBorder="1" applyFont="1" applyNumberFormat="1" applyFill="1" applyProtection="1">
      <protection hidden="1"/>
    </xf>
    <xf numFmtId="8" fontId="43" fillId="11" borderId="0" xfId="13" applyBorder="1" applyFont="1" applyNumberFormat="1" applyFill="1" applyProtection="1">
      <protection hidden="1"/>
    </xf>
    <xf numFmtId="0" fontId="34" fillId="11" borderId="0" xfId="3" applyAlignment="1" applyBorder="1" applyFont="1" applyFill="1" applyProtection="1">
      <alignment horizontal="left"/>
      <protection hidden="1"/>
    </xf>
    <xf numFmtId="0" fontId="34" fillId="11" borderId="4" xfId="3" applyAlignment="1" applyBorder="1" applyFont="1" applyFill="1" applyProtection="1">
      <alignment horizontal="left" vertical="center" wrapText="1"/>
      <protection hidden="1"/>
    </xf>
    <xf numFmtId="0" fontId="34" fillId="11" borderId="25" xfId="3" applyAlignment="1" applyBorder="1" applyFont="1" applyFill="1" applyProtection="1">
      <alignment horizontal="left" vertical="center" wrapText="1"/>
      <protection hidden="1"/>
    </xf>
    <xf numFmtId="170" fontId="43" fillId="12" borderId="47" xfId="16" applyAlignment="1" applyBorder="1" applyFont="1" applyNumberFormat="1" applyFill="1" applyProtection="1">
      <alignment horizontal="center" vertical="center"/>
      <protection hidden="1"/>
    </xf>
    <xf numFmtId="0" fontId="43" fillId="11" borderId="61" xfId="3" applyAlignment="1" applyBorder="1" applyFont="1" applyFill="1" applyProtection="1">
      <alignment vertical="center" wrapText="1"/>
      <protection hidden="1"/>
    </xf>
    <xf numFmtId="0" fontId="43" fillId="11" borderId="21" xfId="3" applyAlignment="1" applyBorder="1" applyFont="1" applyFill="1" applyProtection="1">
      <alignment vertical="center" wrapText="1"/>
      <protection hidden="1"/>
    </xf>
    <xf numFmtId="0" fontId="43" fillId="11" borderId="4" xfId="3" applyAlignment="1" applyBorder="1" applyFont="1" applyFill="1" applyProtection="1">
      <alignment vertical="center"/>
      <protection hidden="1"/>
    </xf>
    <xf numFmtId="0" fontId="43" fillId="11" borderId="25" xfId="3" applyAlignment="1" applyBorder="1" applyFont="1" applyFill="1" applyProtection="1">
      <alignment vertical="center"/>
      <protection hidden="1"/>
    </xf>
    <xf numFmtId="0" fontId="43" fillId="11" borderId="0" xfId="3" applyAlignment="1" applyBorder="1" applyFont="1" applyFill="1" applyProtection="1">
      <alignment horizontal="left" vertical="center" wrapText="1"/>
      <protection hidden="1"/>
    </xf>
    <xf numFmtId="170" fontId="43" fillId="11" borderId="0" xfId="3" applyAlignment="1" applyBorder="1" applyFont="1" applyNumberFormat="1" applyFill="1" applyProtection="1">
      <alignment horizontal="center" vertical="center"/>
      <protection hidden="1"/>
    </xf>
    <xf numFmtId="168" fontId="34" fillId="12" borderId="6" xfId="13" applyAlignment="1" applyBorder="1" applyFont="1" applyNumberFormat="1" applyFill="1" applyProtection="1">
      <alignment horizontal="center" vertical="center"/>
      <protection hidden="1"/>
    </xf>
    <xf numFmtId="6" fontId="43" fillId="11" borderId="0" xfId="16" applyAlignment="1" applyBorder="1" applyFont="1" applyNumberFormat="1" applyFill="1" applyProtection="1">
      <alignment horizontal="center" vertical="center" wrapText="1"/>
      <protection hidden="1"/>
    </xf>
    <xf numFmtId="165" fontId="43" fillId="11" borderId="0" xfId="16" applyAlignment="1" applyBorder="1" applyFont="1" applyNumberFormat="1" applyFill="1" applyProtection="1">
      <alignment horizontal="center" vertical="center" wrapText="1"/>
      <protection hidden="1"/>
    </xf>
    <xf numFmtId="0" fontId="43" fillId="11" borderId="62" xfId="15" applyBorder="1" applyFont="1" applyFill="1" applyProtection="1">
      <protection hidden="1"/>
    </xf>
    <xf numFmtId="0" fontId="43" fillId="11" borderId="35" xfId="3" applyAlignment="1" applyBorder="1" applyFont="1" applyFill="1" applyProtection="1">
      <alignment horizontal="center" vertical="center" wrapText="1"/>
      <protection hidden="1"/>
    </xf>
    <xf numFmtId="0" fontId="34" fillId="11" borderId="35" xfId="3" applyAlignment="1" applyBorder="1" applyFont="1" applyFill="1" applyProtection="1">
      <alignment vertical="center" wrapText="1"/>
      <protection hidden="1"/>
    </xf>
    <xf numFmtId="6" fontId="43" fillId="11" borderId="35" xfId="16" applyAlignment="1" applyBorder="1" applyFont="1" applyNumberFormat="1" applyFill="1" applyProtection="1">
      <alignment horizontal="center" vertical="center" wrapText="1"/>
      <protection hidden="1"/>
    </xf>
    <xf numFmtId="6" fontId="43" fillId="11" borderId="35" xfId="16" applyAlignment="1" applyBorder="1" applyFont="1" applyNumberFormat="1" applyFill="1" applyProtection="1">
      <alignment vertical="center" wrapText="1"/>
      <protection hidden="1"/>
    </xf>
    <xf numFmtId="0" fontId="43" fillId="11" borderId="35" xfId="15" applyBorder="1" applyFont="1" applyFill="1" applyProtection="1">
      <protection hidden="1"/>
    </xf>
    <xf numFmtId="0" fontId="43" fillId="11" borderId="63" xfId="15" applyBorder="1" applyFont="1" applyFill="1" applyProtection="1">
      <protection hidden="1"/>
    </xf>
    <xf numFmtId="0" fontId="43" fillId="11" borderId="0" xfId="3" applyAlignment="1" applyBorder="1" applyFont="1" applyFill="1" applyProtection="1">
      <alignment horizontal="left" vertical="center"/>
      <protection hidden="1"/>
    </xf>
    <xf numFmtId="0" fontId="35" fillId="11" borderId="0" xfId="3" applyAlignment="1" applyBorder="1" applyFont="1" applyFill="1" applyProtection="1">
      <alignment horizontal="right" vertical="center"/>
      <protection hidden="1"/>
    </xf>
    <xf numFmtId="9" fontId="38" fillId="11" borderId="0" xfId="6" applyAlignment="1" applyBorder="1" applyFont="1" applyNumberFormat="1" applyFill="1" applyProtection="1">
      <alignment horizontal="center" vertical="center"/>
      <protection hidden="1"/>
    </xf>
    <xf numFmtId="0" fontId="44" fillId="11" borderId="0" xfId="3" applyAlignment="1" applyBorder="1" applyFont="1" applyFill="1" applyProtection="1">
      <alignment horizontal="left" vertical="center"/>
      <protection hidden="1"/>
    </xf>
    <xf numFmtId="0" fontId="46" fillId="11" borderId="0" xfId="3" applyAlignment="1" applyBorder="1" applyFont="1" applyFill="1" applyProtection="1">
      <alignment horizontal="center" vertical="center" wrapText="1"/>
      <protection hidden="1"/>
    </xf>
    <xf numFmtId="0" fontId="35" fillId="11" borderId="0" xfId="3" applyAlignment="1" applyBorder="1" applyFont="1" applyFill="1" applyProtection="1">
      <alignment vertical="center" wrapText="1"/>
      <protection hidden="1"/>
    </xf>
    <xf numFmtId="6" fontId="46" fillId="11" borderId="0" xfId="16" applyAlignment="1" applyBorder="1" applyFont="1" applyNumberFormat="1" applyFill="1" applyProtection="1">
      <alignment horizontal="center" vertical="center" wrapText="1"/>
      <protection hidden="1"/>
    </xf>
    <xf numFmtId="6" fontId="46" fillId="11" borderId="0" xfId="16" applyAlignment="1" applyBorder="1" applyFont="1" applyNumberFormat="1" applyFill="1" applyProtection="1">
      <alignment vertical="center" wrapText="1"/>
      <protection hidden="1"/>
    </xf>
    <xf numFmtId="0" fontId="47" fillId="11" borderId="0" xfId="3" applyAlignment="1" applyBorder="1" applyFont="1" applyFill="1" applyProtection="1">
      <alignment horizontal="left" vertical="center"/>
      <protection hidden="1"/>
    </xf>
    <xf numFmtId="0" fontId="34" fillId="0" borderId="4" xfId="0" applyAlignment="1" applyBorder="1" applyFont="1" applyFill="1" applyProtection="1">
      <alignment horizontal="center" vertical="center"/>
      <protection hidden="1"/>
    </xf>
    <xf numFmtId="0" fontId="34" fillId="11" borderId="30" xfId="3" applyAlignment="1" applyBorder="1" applyFont="1" applyFill="1" applyProtection="1">
      <alignment horizontal="center" vertical="center" wrapText="1"/>
      <protection hidden="1"/>
    </xf>
    <xf numFmtId="0" fontId="34" fillId="11" borderId="64" xfId="3" applyAlignment="1" applyBorder="1" applyFont="1" applyFill="1" applyProtection="1">
      <alignment horizontal="center" vertical="center" wrapText="1"/>
      <protection hidden="1"/>
    </xf>
    <xf numFmtId="6" fontId="34" fillId="0" borderId="6" xfId="16" applyAlignment="1" applyBorder="1" applyFont="1" applyNumberFormat="1" applyFill="1" applyProtection="1">
      <alignment horizontal="center" vertical="center" wrapText="1"/>
      <protection hidden="1"/>
    </xf>
    <xf numFmtId="0" fontId="43" fillId="0" borderId="65" xfId="3" applyAlignment="1" applyBorder="1" applyFont="1" applyFill="1" applyProtection="1">
      <alignment vertical="center" wrapText="1"/>
      <protection hidden="1"/>
    </xf>
    <xf numFmtId="168" fontId="43" fillId="12" borderId="61" xfId="6" applyAlignment="1" applyBorder="1" applyFont="1" applyNumberFormat="1" applyFill="1" applyProtection="1">
      <alignment horizontal="center" vertical="center"/>
      <protection hidden="1"/>
    </xf>
    <xf numFmtId="10" fontId="43" fillId="12" borderId="66" xfId="6" applyAlignment="1" applyBorder="1" applyFont="1" applyNumberFormat="1" applyFill="1" applyProtection="1">
      <alignment horizontal="center" vertical="center" wrapText="1"/>
      <protection hidden="1"/>
    </xf>
    <xf numFmtId="10" fontId="43" fillId="12" borderId="58" xfId="6" applyAlignment="1" applyBorder="1" applyFont="1" applyNumberFormat="1" applyFill="1" applyProtection="1">
      <alignment horizontal="center" vertical="center" wrapText="1"/>
      <protection hidden="1"/>
    </xf>
    <xf numFmtId="0" fontId="43" fillId="0" borderId="61" xfId="3" applyAlignment="1" applyBorder="1" applyFont="1" applyFill="1" applyProtection="1">
      <alignment vertical="center" wrapText="1"/>
      <protection hidden="1"/>
    </xf>
    <xf numFmtId="0" fontId="43" fillId="0" borderId="60" xfId="3" applyAlignment="1" applyBorder="1" applyFont="1" applyFill="1" applyProtection="1">
      <alignment vertical="center" wrapText="1"/>
      <protection hidden="1"/>
    </xf>
    <xf numFmtId="0" fontId="48" fillId="11" borderId="0" xfId="3" applyAlignment="1" applyBorder="1" applyFont="1" applyFill="1" applyProtection="1">
      <alignment horizontal="left" vertical="center"/>
      <protection hidden="1"/>
    </xf>
    <xf numFmtId="0" fontId="46" fillId="11" borderId="0" xfId="3" applyAlignment="1" applyBorder="1" applyFont="1" applyFill="1" applyProtection="1">
      <alignment horizontal="left" vertical="center" wrapText="1"/>
      <protection hidden="1"/>
    </xf>
    <xf numFmtId="168" fontId="43" fillId="11" borderId="0" xfId="6" applyAlignment="1" applyBorder="1" applyFont="1" applyNumberFormat="1" applyFill="1" applyProtection="1">
      <alignment horizontal="center" vertical="center"/>
      <protection hidden="1"/>
    </xf>
    <xf numFmtId="168" fontId="46" fillId="11" borderId="0" xfId="3" applyAlignment="1" applyBorder="1" applyFont="1" applyNumberFormat="1" applyFill="1" applyProtection="1">
      <alignment horizontal="center" vertical="center" wrapText="1"/>
      <protection hidden="1"/>
    </xf>
    <xf numFmtId="3" fontId="46" fillId="11" borderId="0" xfId="16" applyAlignment="1" applyBorder="1" applyFont="1" applyNumberFormat="1" applyFill="1" applyProtection="1">
      <alignment horizontal="center" vertical="center" wrapText="1"/>
      <protection hidden="1"/>
    </xf>
    <xf numFmtId="168" fontId="46" fillId="11" borderId="0" xfId="16" applyAlignment="1" applyBorder="1" applyFont="1" applyNumberFormat="1" applyFill="1" applyProtection="1">
      <alignment horizontal="center" vertical="center" wrapText="1"/>
      <protection hidden="1"/>
    </xf>
    <xf numFmtId="168" fontId="35" fillId="11" borderId="0" xfId="16" applyAlignment="1" applyBorder="1" applyFont="1" applyNumberFormat="1" applyFill="1" applyProtection="1">
      <alignment horizontal="center" vertical="center" wrapText="1"/>
      <protection hidden="1"/>
    </xf>
    <xf numFmtId="0" fontId="48" fillId="0" borderId="0" xfId="3" applyAlignment="1" applyBorder="1" applyFont="1" applyFill="1" applyProtection="1">
      <alignment horizontal="left" vertical="center"/>
      <protection hidden="1"/>
    </xf>
    <xf numFmtId="0" fontId="43" fillId="11" borderId="0" xfId="15" applyAlignment="1" applyBorder="1" applyFont="1" applyFill="1" applyProtection="1">
      <alignment horizontal="left"/>
      <protection hidden="1"/>
    </xf>
    <xf numFmtId="0" fontId="43" fillId="11" borderId="0" xfId="15" applyAlignment="1" applyBorder="1" applyFont="1" applyFill="1" applyProtection="1">
      <alignment horizontal="center"/>
      <protection hidden="1"/>
    </xf>
    <xf numFmtId="0" fontId="43" fillId="11" borderId="67" xfId="15" applyBorder="1" applyFont="1" applyFill="1" applyProtection="1">
      <protection hidden="1"/>
    </xf>
    <xf numFmtId="0" fontId="43" fillId="11" borderId="68" xfId="15" applyAlignment="1" applyBorder="1" applyFont="1" applyFill="1" applyProtection="1">
      <alignment horizontal="left"/>
      <protection hidden="1"/>
    </xf>
    <xf numFmtId="0" fontId="43" fillId="11" borderId="68" xfId="15" applyAlignment="1" applyBorder="1" applyFont="1" applyFill="1" applyProtection="1">
      <alignment horizontal="center"/>
      <protection hidden="1"/>
    </xf>
    <xf numFmtId="0" fontId="43" fillId="11" borderId="68" xfId="15" applyBorder="1" applyFont="1" applyFill="1" applyProtection="1">
      <protection hidden="1"/>
    </xf>
    <xf numFmtId="0" fontId="43" fillId="11" borderId="69" xfId="15" applyBorder="1" applyFont="1" applyFill="1" applyProtection="1">
      <protection hidden="1"/>
    </xf>
    <xf numFmtId="170" fontId="43" fillId="11" borderId="0" xfId="15" applyBorder="1" applyFont="1" applyNumberFormat="1" applyFill="1" applyProtection="1">
      <protection hidden="1"/>
    </xf>
    <xf numFmtId="0" fontId="43" fillId="0" borderId="0" xfId="15" applyBorder="1" applyFont="1" applyFill="1" applyProtection="1">
      <protection hidden="1"/>
    </xf>
    <xf numFmtId="0" fontId="11" fillId="0" borderId="1" xfId="0" applyAlignment="1" applyBorder="1" applyFont="1" applyFill="1" applyProtection="1">
      <alignment horizontal="left" vertical="center"/>
      <protection hidden="1"/>
    </xf>
    <xf numFmtId="0" fontId="11" fillId="0" borderId="0" xfId="0" applyAlignment="1" applyFont="1" applyFill="1" applyProtection="1">
      <alignment horizontal="center" vertical="center"/>
      <protection hidden="1"/>
    </xf>
    <xf numFmtId="170" fontId="11" fillId="8" borderId="1" xfId="0" applyAlignment="1" applyBorder="1" applyFont="1" applyNumberFormat="1" applyFill="1" applyProtection="1">
      <alignment vertical="center"/>
      <protection hidden="1"/>
    </xf>
    <xf numFmtId="0" fontId="11" fillId="8" borderId="1" xfId="0" applyAlignment="1" applyBorder="1" applyFont="1" applyFill="1" applyProtection="1">
      <alignment vertical="center"/>
      <protection hidden="1"/>
    </xf>
    <xf numFmtId="0" fontId="10" fillId="14" borderId="1" xfId="0" applyAlignment="1" applyBorder="1" applyFont="1" applyFill="1" applyProtection="1">
      <alignment horizontal="left" vertical="center"/>
      <protection hidden="1"/>
    </xf>
    <xf numFmtId="0" fontId="10" fillId="14" borderId="1" xfId="0" applyAlignment="1" applyBorder="1" applyFont="1" applyFill="1" applyProtection="1">
      <alignment vertical="center"/>
      <protection hidden="1"/>
    </xf>
    <xf numFmtId="10" fontId="43" fillId="15" borderId="48" xfId="6" applyAlignment="1" applyBorder="1" applyFont="1" applyNumberFormat="1" applyFill="1" applyProtection="1">
      <alignment horizontal="center" vertical="center" wrapText="1"/>
      <protection locked="0"/>
    </xf>
    <xf numFmtId="10" fontId="43" fillId="15" borderId="51" xfId="6" applyAlignment="1" applyBorder="1" applyFont="1" applyNumberFormat="1" applyFill="1" applyProtection="1">
      <alignment horizontal="center" vertical="center" wrapText="1"/>
      <protection locked="0"/>
    </xf>
    <xf numFmtId="10" fontId="43" fillId="15" borderId="70" xfId="6" applyAlignment="1" applyBorder="1" applyFont="1" applyNumberFormat="1" applyFill="1" applyProtection="1">
      <alignment horizontal="center" vertical="center" wrapText="1"/>
      <protection locked="0"/>
    </xf>
    <xf numFmtId="10" fontId="43" fillId="15" borderId="53" xfId="6" applyAlignment="1" applyBorder="1" applyFont="1" applyNumberFormat="1" applyFill="1" applyProtection="1">
      <alignment horizontal="center" vertical="center" wrapText="1"/>
      <protection locked="0"/>
    </xf>
    <xf numFmtId="10" fontId="43" fillId="15" borderId="71" xfId="6" applyAlignment="1" applyBorder="1" applyFont="1" applyNumberFormat="1" applyFill="1" applyProtection="1">
      <alignment horizontal="center" vertical="center" wrapText="1"/>
      <protection locked="0"/>
    </xf>
    <xf numFmtId="0" fontId="43" fillId="11" borderId="0" xfId="3" applyAlignment="1" applyBorder="1" applyFont="1" applyFill="1" applyProtection="1">
      <alignment vertical="center"/>
      <protection hidden="1"/>
    </xf>
    <xf numFmtId="0" fontId="43" fillId="11" borderId="8" xfId="3" applyAlignment="1" applyBorder="1" applyFont="1" applyFill="1" applyProtection="1">
      <alignment vertical="center"/>
      <protection hidden="1"/>
    </xf>
    <xf numFmtId="6" fontId="34" fillId="11" borderId="0" xfId="16" applyAlignment="1" applyBorder="1" applyFont="1" applyNumberFormat="1" applyFill="1" applyProtection="1">
      <alignment vertical="center"/>
      <protection hidden="1"/>
    </xf>
    <xf numFmtId="10" fontId="43" fillId="15" borderId="72" xfId="6" applyAlignment="1" applyBorder="1" applyFont="1" applyNumberFormat="1" applyFill="1" applyProtection="1">
      <alignment horizontal="center" vertical="center" wrapText="1"/>
      <protection locked="0"/>
    </xf>
    <xf numFmtId="0" fontId="27" fillId="0" borderId="33" xfId="0" applyAlignment="1" applyBorder="1" applyFont="1" applyFill="1" applyProtection="1">
      <protection hidden="1"/>
    </xf>
    <xf numFmtId="0" fontId="49" fillId="0" borderId="0" xfId="0" applyAlignment="1" applyFont="1" applyProtection="1">
      <alignment wrapText="1"/>
      <protection hidden="1"/>
    </xf>
    <xf numFmtId="0" fontId="27" fillId="0" borderId="0" xfId="0" applyFont="1" applyProtection="1">
      <protection hidden="1"/>
    </xf>
    <xf numFmtId="0" fontId="27" fillId="0" borderId="0" xfId="0" applyAlignment="1" applyFont="1" applyProtection="1">
      <alignment wrapText="1"/>
      <protection hidden="1"/>
    </xf>
    <xf numFmtId="0" fontId="0" fillId="14" borderId="1" xfId="0" applyBorder="1" applyFill="1" applyProtection="1">
      <protection hidden="1"/>
    </xf>
    <xf numFmtId="170" fontId="0" fillId="0" borderId="73" xfId="0" applyBorder="1" applyNumberFormat="1" applyProtection="1">
      <protection hidden="1"/>
    </xf>
    <xf numFmtId="0" fontId="0" fillId="0" borderId="1" xfId="0" applyBorder="1" applyProtection="1">
      <protection hidden="1"/>
    </xf>
    <xf numFmtId="170" fontId="0" fillId="0" borderId="1" xfId="0" applyBorder="1" applyNumberFormat="1" applyProtection="1">
      <protection hidden="1"/>
    </xf>
    <xf numFmtId="0" fontId="0" fillId="0" borderId="74" xfId="0" applyBorder="1" applyProtection="1">
      <protection hidden="1"/>
    </xf>
    <xf numFmtId="5" fontId="0" fillId="0" borderId="1" xfId="0" applyBorder="1" applyNumberFormat="1" applyProtection="1">
      <protection hidden="1"/>
    </xf>
    <xf numFmtId="5" fontId="0" fillId="0" borderId="0" xfId="0" applyNumberFormat="1" applyProtection="1">
      <protection hidden="1"/>
    </xf>
    <xf numFmtId="0" fontId="42" fillId="11" borderId="35" xfId="3" applyAlignment="1" applyBorder="1" applyFont="1" applyFill="1" applyProtection="1">
      <alignment horizontal="center" vertical="center"/>
      <protection hidden="1"/>
    </xf>
    <xf numFmtId="0" fontId="45" fillId="11" borderId="0" xfId="3" applyAlignment="1" applyBorder="1" applyFont="1" applyFill="1" applyProtection="1">
      <alignment horizontal="left" vertical="center"/>
      <protection hidden="1"/>
    </xf>
    <xf numFmtId="6" fontId="10" fillId="8" borderId="21" xfId="0" applyAlignment="1" applyBorder="1" applyFont="1" applyNumberFormat="1" applyFill="1" applyProtection="1">
      <alignment vertical="center"/>
      <protection hidden="1"/>
    </xf>
    <xf numFmtId="168" fontId="10" fillId="9" borderId="21" xfId="0" applyAlignment="1" applyBorder="1" applyFont="1" applyNumberFormat="1" applyFill="1" applyProtection="1">
      <alignment vertical="center"/>
      <protection hidden="1"/>
    </xf>
    <xf numFmtId="0" fontId="51" fillId="0" borderId="0" xfId="12" applyAlignment="1" applyBorder="1" applyFont="1" applyFill="1" applyProtection="1"/>
    <xf numFmtId="0" fontId="1" fillId="0" borderId="0" xfId="12" applyBorder="1" applyFont="1" applyFill="1"/>
    <xf numFmtId="0" fontId="1" fillId="0" borderId="0" xfId="12" applyAlignment="1" applyBorder="1" applyFont="1" applyFill="1">
      <alignment horizontal="center" wrapText="1"/>
    </xf>
    <xf numFmtId="0" fontId="1" fillId="0" borderId="0" xfId="12" applyAlignment="1" applyBorder="1" applyFont="1" applyFill="1">
      <alignment wrapText="1"/>
    </xf>
    <xf numFmtId="0" fontId="17" fillId="11" borderId="0" xfId="0" applyBorder="1" applyFont="1" applyFill="1"/>
    <xf numFmtId="0" fontId="1" fillId="11" borderId="0" xfId="12" applyAlignment="1" applyBorder="1" applyFont="1" applyFill="1">
      <alignment wrapText="1"/>
    </xf>
    <xf numFmtId="0" fontId="17" fillId="0" borderId="0" xfId="0" applyBorder="1" applyFont="1" applyFill="1"/>
    <xf numFmtId="0" fontId="33" fillId="0" borderId="0" xfId="0" applyAlignment="1" applyBorder="1" applyFont="1" applyFill="1">
      <alignment horizontal="center" vertical="center" wrapText="1"/>
    </xf>
    <xf numFmtId="0" fontId="51" fillId="11" borderId="0" xfId="0" applyAlignment="1" applyBorder="1" applyFont="1" applyFill="1">
      <alignment horizontal="left"/>
    </xf>
    <xf numFmtId="0" fontId="0" fillId="11" borderId="0" xfId="0" applyBorder="1" applyFont="1" applyFill="1"/>
    <xf numFmtId="3" fontId="0" fillId="11" borderId="0" xfId="0" applyBorder="1" applyFont="1" applyNumberFormat="1" applyFill="1"/>
    <xf numFmtId="0" fontId="0" fillId="11" borderId="0" xfId="0" applyAlignment="1" applyBorder="1" applyFont="1" applyFill="1">
      <alignment horizontal="left"/>
    </xf>
    <xf numFmtId="0" fontId="0" fillId="11" borderId="0" xfId="0" applyAlignment="1" applyBorder="1" applyFont="1" applyFill="1">
      <alignment horizontal="center"/>
    </xf>
    <xf numFmtId="3" fontId="0" fillId="11" borderId="0" xfId="0" applyAlignment="1" applyBorder="1" applyFont="1" applyNumberFormat="1" applyFill="1">
      <alignment horizontal="center"/>
    </xf>
    <xf numFmtId="175" fontId="38" fillId="11" borderId="0" xfId="1" applyBorder="1" applyFont="1" applyNumberFormat="1" applyFill="1"/>
    <xf numFmtId="0" fontId="34" fillId="16" borderId="45" xfId="0" applyAlignment="1" applyBorder="1" applyFont="1" applyFill="1" applyProtection="1">
      <alignment horizontal="center" vertical="center" wrapText="1"/>
    </xf>
    <xf numFmtId="1" fontId="42" fillId="16" borderId="39" xfId="0" applyAlignment="1" applyBorder="1" applyFont="1" applyNumberFormat="1" applyFill="1"/>
    <xf numFmtId="175" fontId="38" fillId="11" borderId="37" xfId="1" applyBorder="1" applyFont="1" applyNumberFormat="1" applyFill="1"/>
    <xf numFmtId="165" fontId="38" fillId="11" borderId="37" xfId="6" applyBorder="1" applyFont="1" applyNumberFormat="1" applyFill="1"/>
    <xf numFmtId="1" fontId="42" fillId="16" borderId="40" xfId="0" applyAlignment="1" applyBorder="1" applyFont="1" applyNumberFormat="1" applyFill="1"/>
    <xf numFmtId="0" fontId="1" fillId="0" borderId="29" xfId="0" applyAlignment="1" applyBorder="1" applyFont="1" applyProtection="1">
      <alignment vertical="center" wrapText="1"/>
      <protection locked="0"/>
    </xf>
    <xf numFmtId="0" fontId="1" fillId="0" borderId="29" xfId="0" applyAlignment="1" applyBorder="1" applyFont="1" applyProtection="1">
      <alignment horizontal="center" vertical="center" wrapText="1"/>
      <protection locked="0"/>
    </xf>
    <xf numFmtId="0" fontId="13" fillId="0" borderId="6" xfId="0" applyAlignment="1" applyBorder="1" applyFont="1">
      <alignment vertical="center" wrapText="1"/>
    </xf>
    <xf numFmtId="0" fontId="0" fillId="0" borderId="6" xfId="0" applyAlignment="1" applyBorder="1" applyProtection="1">
      <alignment horizontal="center" vertical="center"/>
      <protection locked="0"/>
    </xf>
    <xf numFmtId="6" fontId="43" fillId="12" borderId="75" xfId="3" applyAlignment="1" applyBorder="1" applyFont="1" applyNumberFormat="1" applyFill="1" applyProtection="1">
      <alignment horizontal="center" vertical="center"/>
      <protection hidden="1"/>
    </xf>
    <xf numFmtId="8" fontId="43" fillId="13" borderId="76" xfId="3" applyAlignment="1" applyBorder="1" applyFont="1" applyNumberFormat="1" applyFill="1" applyProtection="1">
      <alignment horizontal="center" vertical="center"/>
      <protection hidden="1"/>
    </xf>
    <xf numFmtId="8" fontId="43" fillId="11" borderId="45" xfId="3" applyAlignment="1" applyBorder="1" applyFont="1" applyNumberFormat="1" applyFill="1" applyProtection="1">
      <alignment horizontal="left" vertical="center"/>
      <protection hidden="1"/>
    </xf>
    <xf numFmtId="8" fontId="43" fillId="11" borderId="38" xfId="3" applyAlignment="1" applyBorder="1" applyFont="1" applyNumberFormat="1" applyFill="1" applyProtection="1">
      <alignment horizontal="left" vertical="center"/>
      <protection hidden="1"/>
    </xf>
    <xf numFmtId="6" fontId="10" fillId="8" borderId="0" xfId="0" applyAlignment="1" applyBorder="1" applyFont="1" applyNumberFormat="1" applyFill="1" applyProtection="1">
      <alignment vertical="center"/>
      <protection hidden="1"/>
    </xf>
    <xf numFmtId="0" fontId="27" fillId="0" borderId="0" xfId="0" applyAlignment="1" applyBorder="1" applyFont="1" applyFill="1" applyProtection="1">
      <protection hidden="1"/>
    </xf>
    <xf numFmtId="168" fontId="11" fillId="0" borderId="1" xfId="0" applyAlignment="1" applyBorder="1" applyFont="1" applyNumberFormat="1" applyFill="1" applyProtection="1">
      <alignment horizontal="right"/>
      <protection hidden="1"/>
    </xf>
    <xf numFmtId="168" fontId="11" fillId="0" borderId="1" xfId="1" applyAlignment="1" applyBorder="1" applyFont="1" applyNumberFormat="1" applyFill="1" applyProtection="1">
      <alignment horizontal="right"/>
      <protection hidden="1"/>
    </xf>
    <xf numFmtId="5" fontId="11" fillId="0" borderId="1" xfId="1" applyAlignment="1" applyBorder="1" applyFont="1" applyNumberFormat="1" applyFill="1" applyProtection="1">
      <alignment horizontal="right"/>
      <protection hidden="1"/>
    </xf>
    <xf numFmtId="5" fontId="11" fillId="8" borderId="1" xfId="1" applyAlignment="1" applyBorder="1" applyFont="1" applyNumberFormat="1" applyFill="1" applyProtection="1">
      <protection hidden="1"/>
    </xf>
    <xf numFmtId="0" fontId="27" fillId="8" borderId="0" xfId="0" applyAlignment="1" applyBorder="1" applyFont="1" applyFill="1" applyProtection="1">
      <alignment vertical="center"/>
      <protection hidden="1"/>
    </xf>
    <xf numFmtId="168" fontId="11" fillId="8" borderId="8" xfId="0" applyAlignment="1" applyBorder="1" applyFont="1" applyNumberFormat="1" applyFill="1" applyProtection="1">
      <alignment vertical="center"/>
      <protection hidden="1"/>
    </xf>
    <xf numFmtId="168" fontId="11" fillId="8" borderId="35" xfId="0" applyAlignment="1" applyBorder="1" applyFont="1" applyNumberFormat="1" applyFill="1" applyProtection="1">
      <alignment vertical="center"/>
      <protection hidden="1"/>
    </xf>
    <xf numFmtId="168" fontId="11" fillId="8" borderId="0" xfId="0" applyAlignment="1" applyBorder="1" applyFont="1" applyNumberFormat="1" applyFill="1" applyProtection="1" quotePrefix="1">
      <alignment vertical="center"/>
      <protection hidden="1"/>
    </xf>
    <xf numFmtId="0" fontId="46" fillId="0" borderId="9" xfId="15" applyBorder="1" applyFont="1" applyFill="1" applyProtection="1">
      <protection hidden="1"/>
    </xf>
    <xf numFmtId="0" fontId="43" fillId="0" borderId="9" xfId="15" applyBorder="1" applyFont="1" applyFill="1" applyProtection="1">
      <protection hidden="1"/>
    </xf>
    <xf numFmtId="0" fontId="34" fillId="0" borderId="0" xfId="15" applyBorder="1" applyFont="1" applyFill="1" applyProtection="1">
      <protection hidden="1"/>
    </xf>
    <xf numFmtId="0" fontId="20" fillId="0" borderId="74" xfId="0" applyAlignment="1" applyBorder="1" applyFont="1" applyProtection="1">
      <alignment horizontal="left" vertical="center" wrapText="1" indent="1"/>
      <protection hidden="1"/>
    </xf>
    <xf numFmtId="0" fontId="20" fillId="0" borderId="77" xfId="0" applyAlignment="1" applyBorder="1" applyFont="1" applyProtection="1">
      <alignment horizontal="left" vertical="center" wrapText="1" indent="1"/>
      <protection hidden="1"/>
    </xf>
    <xf numFmtId="0" fontId="0" fillId="0" borderId="21" xfId="0" applyAlignment="1" applyBorder="1" applyProtection="1">
      <alignment horizontal="left" vertical="center" wrapText="1" indent="1"/>
      <protection hidden="1"/>
    </xf>
    <xf numFmtId="168" fontId="11" fillId="8" borderId="8" xfId="0" applyAlignment="1" applyBorder="1" applyFont="1" applyNumberFormat="1" applyFill="1" applyProtection="1" quotePrefix="1">
      <alignment vertical="center"/>
      <protection hidden="1"/>
    </xf>
    <xf numFmtId="0" fontId="11" fillId="8" borderId="8" xfId="0" applyAlignment="1" applyBorder="1" applyFont="1" applyFill="1" applyProtection="1" quotePrefix="1">
      <alignment horizontal="right" vertical="center"/>
      <protection hidden="1"/>
    </xf>
    <xf numFmtId="0" fontId="11" fillId="8" borderId="35" xfId="0" applyAlignment="1" applyBorder="1" applyFont="1" applyNumberFormat="1" applyFill="1" applyProtection="1" quotePrefix="1">
      <alignment horizontal="right" vertical="center"/>
      <protection hidden="1"/>
    </xf>
    <xf numFmtId="0" fontId="35" fillId="0" borderId="9" xfId="15" applyAlignment="1" applyBorder="1" applyFont="1" applyFill="1" applyProtection="1">
      <alignment horizontal="right" wrapText="1"/>
      <protection hidden="1"/>
    </xf>
    <xf numFmtId="0" fontId="34" fillId="0" borderId="9" xfId="15" applyAlignment="1" applyBorder="1" applyFont="1" applyFill="1" applyProtection="1">
      <alignment wrapText="1"/>
      <protection hidden="1"/>
    </xf>
    <xf numFmtId="0" fontId="43" fillId="0" borderId="0" xfId="15" applyFont="1" applyFill="1" applyProtection="1">
      <protection hidden="1"/>
    </xf>
    <xf numFmtId="0" fontId="43" fillId="0" borderId="0" xfId="0" applyFont="1" applyFill="1" applyProtection="1">
      <protection hidden="1"/>
    </xf>
    <xf numFmtId="0" fontId="33" fillId="0" borderId="8" xfId="0" applyBorder="1" applyFont="1" applyFill="1" applyProtection="1">
      <protection hidden="1"/>
    </xf>
    <xf numFmtId="0" fontId="43" fillId="0" borderId="8" xfId="0" applyBorder="1" applyFont="1" applyFill="1" applyProtection="1">
      <protection hidden="1"/>
    </xf>
    <xf numFmtId="0" fontId="43" fillId="0" borderId="33" xfId="0" applyBorder="1" applyFont="1" applyFill="1" applyProtection="1">
      <protection hidden="1"/>
    </xf>
    <xf numFmtId="0" fontId="43" fillId="0" borderId="9" xfId="0" applyBorder="1" applyFont="1" applyFill="1" applyProtection="1">
      <protection hidden="1"/>
    </xf>
    <xf numFmtId="0" fontId="33" fillId="0" borderId="0" xfId="0" applyBorder="1" applyFont="1" applyFill="1" applyProtection="1">
      <protection hidden="1"/>
    </xf>
    <xf numFmtId="0" fontId="43" fillId="0" borderId="0" xfId="0" applyBorder="1" applyFont="1" applyFill="1" applyProtection="1">
      <protection hidden="1"/>
    </xf>
    <xf numFmtId="0" fontId="43" fillId="0" borderId="34" xfId="0" applyBorder="1" applyFont="1" applyFill="1" applyProtection="1">
      <protection hidden="1"/>
    </xf>
    <xf numFmtId="0" fontId="17" fillId="0" borderId="0" xfId="0" applyBorder="1" applyFont="1" applyFill="1" applyProtection="1">
      <protection hidden="1"/>
    </xf>
    <xf numFmtId="0" fontId="34" fillId="0" borderId="0" xfId="0" applyAlignment="1" applyBorder="1" applyFont="1" applyFill="1" applyProtection="1">
      <alignment horizontal="right"/>
      <protection hidden="1"/>
    </xf>
    <xf numFmtId="0" fontId="34" fillId="0" borderId="0" xfId="0" applyBorder="1" applyFont="1" applyFill="1" applyProtection="1">
      <protection hidden="1"/>
    </xf>
    <xf numFmtId="170" fontId="43" fillId="0" borderId="0" xfId="0" applyBorder="1" applyFont="1" applyNumberFormat="1" applyFill="1" applyProtection="1">
      <protection hidden="1"/>
    </xf>
    <xf numFmtId="0" fontId="37" fillId="0" borderId="12" xfId="0" applyBorder="1" applyFont="1" applyFill="1" applyProtection="1">
      <protection hidden="1"/>
    </xf>
    <xf numFmtId="0" fontId="55" fillId="0" borderId="10" xfId="0" applyBorder="1" applyFont="1" applyFill="1" applyProtection="1">
      <protection hidden="1"/>
    </xf>
    <xf numFmtId="170" fontId="37" fillId="0" borderId="1" xfId="0" applyBorder="1" applyFont="1" applyNumberFormat="1" applyFill="1" applyProtection="1">
      <protection hidden="1"/>
    </xf>
    <xf numFmtId="0" fontId="43" fillId="0" borderId="10" xfId="0" applyBorder="1" applyFont="1" applyFill="1" applyProtection="1">
      <protection hidden="1"/>
    </xf>
    <xf numFmtId="0" fontId="43" fillId="0" borderId="13" xfId="0" applyBorder="1" applyFont="1" applyFill="1" applyProtection="1">
      <protection hidden="1"/>
    </xf>
    <xf numFmtId="0" fontId="43" fillId="0" borderId="14" xfId="0" applyBorder="1" applyFont="1" applyFill="1" applyProtection="1">
      <protection hidden="1"/>
    </xf>
    <xf numFmtId="0" fontId="43" fillId="0" borderId="15" xfId="0" applyBorder="1" applyFont="1" applyFill="1" applyProtection="1">
      <protection hidden="1"/>
    </xf>
    <xf numFmtId="170" fontId="43" fillId="0" borderId="17" xfId="15" applyBorder="1" applyFont="1" applyNumberFormat="1" applyFill="1" applyProtection="1">
      <protection hidden="1"/>
    </xf>
    <xf numFmtId="0" fontId="43" fillId="0" borderId="11" xfId="0" applyBorder="1" applyFont="1" applyFill="1" applyProtection="1">
      <protection hidden="1"/>
    </xf>
    <xf numFmtId="170" fontId="43" fillId="0" borderId="11" xfId="15" applyBorder="1" applyFont="1" applyNumberFormat="1" applyFill="1" applyProtection="1">
      <protection hidden="1"/>
    </xf>
    <xf numFmtId="0" fontId="43" fillId="0" borderId="18" xfId="0" applyBorder="1" applyFont="1" applyFill="1" applyProtection="1">
      <protection hidden="1"/>
    </xf>
    <xf numFmtId="0" fontId="43" fillId="0" borderId="0" xfId="15" applyAlignment="1" applyBorder="1" applyFont="1" applyFill="1" applyProtection="1">
      <alignment horizontal="center"/>
      <protection hidden="1"/>
    </xf>
    <xf numFmtId="0" fontId="36" fillId="0" borderId="34" xfId="15" applyAlignment="1" applyBorder="1" applyFont="1" applyFill="1" applyProtection="1">
      <alignment horizontal="center"/>
      <protection hidden="1"/>
    </xf>
    <xf numFmtId="0" fontId="36" fillId="0" borderId="0" xfId="15" applyAlignment="1" applyBorder="1" applyFont="1" applyFill="1" applyProtection="1">
      <alignment horizontal="center"/>
      <protection hidden="1"/>
    </xf>
    <xf numFmtId="0" fontId="54" fillId="0" borderId="34" xfId="15" applyAlignment="1" applyBorder="1" applyFont="1" applyFill="1" applyProtection="1">
      <alignment horizontal="center"/>
      <protection hidden="1"/>
    </xf>
    <xf numFmtId="0" fontId="54" fillId="0" borderId="0" xfId="15" applyAlignment="1" applyBorder="1" applyFont="1" applyFill="1" applyProtection="1">
      <alignment horizontal="center"/>
      <protection hidden="1"/>
    </xf>
    <xf numFmtId="10" fontId="54" fillId="0" borderId="34" xfId="15" applyAlignment="1" applyBorder="1" applyFont="1" applyNumberFormat="1" applyFill="1" applyProtection="1">
      <alignment horizontal="center"/>
      <protection hidden="1"/>
    </xf>
    <xf numFmtId="10" fontId="54" fillId="0" borderId="0" xfId="15" applyAlignment="1" applyBorder="1" applyFont="1" applyNumberFormat="1" applyFill="1" applyProtection="1">
      <alignment horizontal="center"/>
      <protection hidden="1"/>
    </xf>
    <xf numFmtId="0" fontId="34" fillId="0" borderId="0" xfId="15" applyAlignment="1" applyBorder="1" applyFont="1" applyFill="1" applyProtection="1">
      <alignment horizontal="right"/>
      <protection hidden="1"/>
    </xf>
    <xf numFmtId="10" fontId="54" fillId="0" borderId="34" xfId="6" applyAlignment="1" applyBorder="1" applyFont="1" applyNumberFormat="1" applyFill="1" applyProtection="1">
      <alignment horizontal="center"/>
      <protection hidden="1"/>
    </xf>
    <xf numFmtId="10" fontId="54" fillId="0" borderId="0" xfId="6" applyAlignment="1" applyBorder="1" applyFont="1" applyNumberFormat="1" applyFill="1" applyProtection="1">
      <alignment horizontal="center"/>
      <protection hidden="1"/>
    </xf>
    <xf numFmtId="10" fontId="43" fillId="0" borderId="9" xfId="6" applyBorder="1" applyFont="1" applyNumberFormat="1" applyFill="1" applyProtection="1">
      <protection hidden="1"/>
    </xf>
    <xf numFmtId="0" fontId="46" fillId="0" borderId="9" xfId="15" applyAlignment="1" applyBorder="1" applyFont="1" applyFill="1" applyProtection="1">
      <alignment wrapText="1"/>
      <protection hidden="1"/>
    </xf>
    <xf numFmtId="170" fontId="43" fillId="0" borderId="0" xfId="15" applyBorder="1" applyFont="1" applyNumberFormat="1" applyFill="1" applyProtection="1">
      <protection hidden="1"/>
    </xf>
    <xf numFmtId="0" fontId="43" fillId="0" borderId="34" xfId="15" applyBorder="1" applyFont="1" applyFill="1" applyProtection="1">
      <protection hidden="1"/>
    </xf>
    <xf numFmtId="10" fontId="43" fillId="0" borderId="0" xfId="6" applyBorder="1" applyFont="1" applyNumberFormat="1" applyFill="1" applyProtection="1">
      <protection hidden="1"/>
    </xf>
    <xf numFmtId="0" fontId="43" fillId="0" borderId="0" xfId="15" applyAlignment="1" applyBorder="1" applyFont="1" applyFill="1" applyProtection="1">
      <alignment horizontal="right"/>
      <protection hidden="1"/>
    </xf>
    <xf numFmtId="0" fontId="34" fillId="0" borderId="0" xfId="15" applyAlignment="1" applyBorder="1" applyFont="1" applyFill="1" applyProtection="1">
      <alignment vertical="center"/>
      <protection hidden="1"/>
    </xf>
    <xf numFmtId="0" fontId="43" fillId="0" borderId="0" xfId="15" applyBorder="1" applyFont="1" applyNumberFormat="1" applyFill="1" applyProtection="1">
      <protection hidden="1"/>
    </xf>
    <xf numFmtId="170" fontId="43" fillId="0" borderId="0" xfId="15" applyBorder="1" applyFont="1" applyNumberFormat="1" applyFill="1" applyProtection="1" quotePrefix="1">
      <protection hidden="1"/>
    </xf>
    <xf numFmtId="0" fontId="43" fillId="0" borderId="46" xfId="15" applyBorder="1" applyFont="1" applyFill="1" applyProtection="1">
      <protection hidden="1"/>
    </xf>
    <xf numFmtId="0" fontId="43" fillId="0" borderId="35" xfId="15" applyBorder="1" applyFont="1" applyFill="1" applyProtection="1">
      <protection hidden="1"/>
    </xf>
    <xf numFmtId="170" fontId="43" fillId="0" borderId="35" xfId="15" applyBorder="1" applyFont="1" applyNumberFormat="1" applyFill="1" applyProtection="1" quotePrefix="1">
      <protection hidden="1"/>
    </xf>
    <xf numFmtId="170" fontId="43" fillId="0" borderId="35" xfId="15" applyBorder="1" applyFont="1" applyNumberFormat="1" applyFill="1" applyProtection="1">
      <protection hidden="1"/>
    </xf>
    <xf numFmtId="0" fontId="43" fillId="0" borderId="24" xfId="15" applyBorder="1" applyFont="1" applyFill="1" applyProtection="1">
      <protection hidden="1"/>
    </xf>
    <xf numFmtId="168" fontId="43" fillId="0" borderId="0" xfId="15" applyBorder="1" applyFont="1" applyNumberFormat="1" applyFill="1" applyProtection="1">
      <protection hidden="1"/>
    </xf>
    <xf numFmtId="179" fontId="43" fillId="0" borderId="0" xfId="15" applyFont="1" applyNumberFormat="1" applyFill="1" applyProtection="1">
      <protection hidden="1"/>
    </xf>
    <xf numFmtId="0" fontId="56" fillId="0" borderId="0" xfId="0" applyFont="1" applyFill="1" applyProtection="1">
      <protection hidden="1"/>
    </xf>
    <xf numFmtId="171" fontId="43" fillId="0" borderId="0" xfId="1" applyBorder="1" applyFont="1" applyNumberFormat="1" applyFill="1" applyProtection="1">
      <protection hidden="1"/>
    </xf>
    <xf numFmtId="0" fontId="17" fillId="0" borderId="0" xfId="13" applyBorder="1" applyFont="1" applyFill="1" applyProtection="1">
      <protection hidden="1"/>
    </xf>
    <xf numFmtId="0" fontId="43" fillId="0" borderId="0" xfId="0" applyAlignment="1" applyBorder="1" applyFont="1" applyFill="1" applyProtection="1">
      <alignment wrapText="1"/>
      <protection hidden="1"/>
    </xf>
    <xf numFmtId="0" fontId="43" fillId="0" borderId="0" xfId="15" applyAlignment="1" applyBorder="1" applyFont="1" applyFill="1" applyProtection="1">
      <alignment horizontal="left"/>
      <protection hidden="1"/>
    </xf>
    <xf numFmtId="170" fontId="34" fillId="0" borderId="0" xfId="15" applyAlignment="1" applyBorder="1" applyFont="1" applyNumberFormat="1" applyFill="1" applyProtection="1">
      <alignment horizontal="center"/>
      <protection hidden="1"/>
    </xf>
    <xf numFmtId="0" fontId="34" fillId="0" borderId="0" xfId="15" applyAlignment="1" applyBorder="1" applyFont="1" applyFill="1" applyProtection="1">
      <alignment wrapText="1"/>
      <protection hidden="1"/>
    </xf>
    <xf numFmtId="0" fontId="43" fillId="0" borderId="75" xfId="15" applyBorder="1" applyFont="1" applyFill="1" applyProtection="1">
      <protection hidden="1"/>
    </xf>
    <xf numFmtId="0" fontId="34" fillId="0" borderId="75" xfId="15" applyAlignment="1" applyBorder="1" applyFont="1" applyFill="1" applyProtection="1">
      <alignment horizontal="left"/>
      <protection hidden="1"/>
    </xf>
    <xf numFmtId="0" fontId="43" fillId="0" borderId="75" xfId="15" applyAlignment="1" applyBorder="1" applyFont="1" applyFill="1" applyProtection="1">
      <alignment horizontal="left"/>
      <protection hidden="1"/>
    </xf>
    <xf numFmtId="170" fontId="43" fillId="0" borderId="0" xfId="15" applyAlignment="1" applyBorder="1" applyFont="1" applyNumberFormat="1" applyFill="1" applyProtection="1">
      <alignment horizontal="right"/>
      <protection hidden="1"/>
    </xf>
    <xf numFmtId="10" fontId="43" fillId="0" borderId="0" xfId="15" applyAlignment="1" applyBorder="1" applyFont="1" applyNumberFormat="1" applyFill="1" applyProtection="1">
      <alignment horizontal="right"/>
      <protection hidden="1"/>
    </xf>
    <xf numFmtId="10" fontId="43" fillId="0" borderId="0" xfId="6" applyAlignment="1" applyBorder="1" applyFont="1" applyNumberFormat="1" applyFill="1" applyProtection="1">
      <alignment horizontal="right"/>
      <protection hidden="1"/>
    </xf>
    <xf numFmtId="0" fontId="34" fillId="0" borderId="11" xfId="15" applyBorder="1" applyFont="1" applyFill="1" applyProtection="1">
      <protection hidden="1"/>
    </xf>
    <xf numFmtId="170" fontId="43" fillId="0" borderId="11" xfId="15" applyAlignment="1" applyBorder="1" applyFont="1" applyNumberFormat="1" applyFill="1" applyProtection="1">
      <alignment horizontal="right"/>
      <protection hidden="1"/>
    </xf>
    <xf numFmtId="0" fontId="43" fillId="0" borderId="11" xfId="15" applyAlignment="1" applyBorder="1" applyFont="1" applyFill="1" applyProtection="1">
      <alignment horizontal="right"/>
      <protection hidden="1"/>
    </xf>
    <xf numFmtId="10" fontId="34" fillId="0" borderId="0" xfId="6" applyAlignment="1" applyBorder="1" applyFont="1" applyNumberFormat="1" applyFill="1" applyProtection="1">
      <alignment horizontal="right"/>
      <protection hidden="1"/>
    </xf>
    <xf numFmtId="10" fontId="43" fillId="0" borderId="11" xfId="6" applyAlignment="1" applyBorder="1" applyFont="1" applyNumberFormat="1" applyFill="1" applyProtection="1">
      <alignment horizontal="right"/>
      <protection hidden="1"/>
    </xf>
    <xf numFmtId="170" fontId="34" fillId="0" borderId="0" xfId="15" applyAlignment="1" applyBorder="1" applyFont="1" applyNumberFormat="1" applyFill="1" applyProtection="1">
      <alignment horizontal="right"/>
      <protection hidden="1"/>
    </xf>
    <xf numFmtId="170" fontId="43" fillId="0" borderId="0" xfId="15" applyAlignment="1" applyBorder="1" applyFont="1" applyNumberFormat="1" applyFill="1" applyProtection="1" quotePrefix="1">
      <alignment horizontal="right"/>
      <protection hidden="1"/>
    </xf>
    <xf numFmtId="170" fontId="34" fillId="0" borderId="0" xfId="15" applyAlignment="1" applyBorder="1" applyFont="1" applyNumberFormat="1" applyFill="1" applyProtection="1">
      <alignment horizontal="right" wrapText="1"/>
      <protection hidden="1"/>
    </xf>
    <xf numFmtId="0" fontId="34" fillId="0" borderId="8" xfId="15" applyAlignment="1" applyBorder="1" applyFont="1" applyFill="1" applyProtection="1">
      <alignment horizontal="right" wrapText="1"/>
      <protection hidden="1"/>
    </xf>
    <xf numFmtId="0" fontId="43" fillId="0" borderId="0" xfId="0" applyAlignment="1" applyBorder="1" applyFont="1" applyFill="1" applyProtection="1">
      <alignment horizontal="right"/>
      <protection hidden="1"/>
    </xf>
    <xf numFmtId="0" fontId="34" fillId="0" borderId="8" xfId="0" applyBorder="1" applyFont="1" applyFill="1" applyProtection="1">
      <protection hidden="1"/>
    </xf>
    <xf numFmtId="0" fontId="34" fillId="0" borderId="21" xfId="15" applyBorder="1" applyFont="1" applyFill="1" applyProtection="1">
      <protection hidden="1"/>
    </xf>
    <xf numFmtId="3" fontId="34" fillId="0" borderId="0" xfId="15" applyAlignment="1" applyBorder="1" applyFont="1" applyNumberFormat="1" applyFill="1" applyProtection="1">
      <alignment horizontal="center"/>
      <protection hidden="1"/>
    </xf>
    <xf numFmtId="0" fontId="34" fillId="0" borderId="0" xfId="15" applyAlignment="1" applyBorder="1" applyFont="1" applyFill="1" applyProtection="1">
      <alignment horizontal="left" vertical="center" wrapText="1"/>
      <protection hidden="1"/>
    </xf>
    <xf numFmtId="0" fontId="34" fillId="0" borderId="78" xfId="15" applyAlignment="1" applyBorder="1" applyFont="1" applyFill="1" applyProtection="1">
      <alignment wrapText="1"/>
      <protection hidden="1"/>
    </xf>
    <xf numFmtId="170" fontId="34" fillId="0" borderId="78" xfId="15" applyAlignment="1" applyBorder="1" applyFont="1" applyNumberFormat="1" applyFill="1" applyProtection="1">
      <alignment horizontal="right" vertical="center"/>
      <protection hidden="1"/>
    </xf>
    <xf numFmtId="170" fontId="34" fillId="0" borderId="78" xfId="15" applyAlignment="1" applyBorder="1" applyFont="1" applyNumberFormat="1" applyFill="1" applyProtection="1">
      <alignment horizontal="center" vertical="center"/>
      <protection hidden="1"/>
    </xf>
    <xf numFmtId="0" fontId="43" fillId="0" borderId="78" xfId="15" applyAlignment="1" applyBorder="1" applyFont="1" applyFill="1" applyProtection="1">
      <alignment horizontal="center" vertical="center"/>
      <protection hidden="1"/>
    </xf>
    <xf numFmtId="0" fontId="34" fillId="0" borderId="35" xfId="15" applyAlignment="1" applyBorder="1" applyFont="1" applyFill="1" applyProtection="1">
      <alignment wrapText="1"/>
      <protection hidden="1"/>
    </xf>
    <xf numFmtId="170" fontId="34" fillId="0" borderId="35" xfId="15" applyAlignment="1" applyBorder="1" applyFont="1" applyNumberFormat="1" applyFill="1" applyProtection="1">
      <alignment horizontal="right"/>
      <protection hidden="1"/>
    </xf>
    <xf numFmtId="0" fontId="34" fillId="0" borderId="75" xfId="15" applyBorder="1" applyFont="1" applyFill="1" applyProtection="1">
      <protection hidden="1"/>
    </xf>
    <xf numFmtId="0" fontId="34" fillId="0" borderId="75" xfId="15" applyAlignment="1" applyBorder="1" applyFont="1" applyFill="1" applyProtection="1">
      <alignment horizontal="center" wrapText="1"/>
      <protection hidden="1"/>
    </xf>
    <xf numFmtId="0" fontId="43" fillId="0" borderId="35" xfId="15" applyAlignment="1" applyBorder="1" applyFont="1" applyFill="1" applyProtection="1">
      <alignment horizontal="left"/>
      <protection hidden="1"/>
    </xf>
    <xf numFmtId="0" fontId="34" fillId="0" borderId="75" xfId="15" applyAlignment="1" applyBorder="1" applyFont="1" applyFill="1" applyProtection="1">
      <alignment horizontal="right" wrapText="1"/>
      <protection hidden="1"/>
    </xf>
    <xf numFmtId="10" fontId="43" fillId="0" borderId="35" xfId="15" applyAlignment="1" applyBorder="1" applyFont="1" applyNumberFormat="1" applyFill="1" applyProtection="1">
      <alignment horizontal="right"/>
      <protection hidden="1"/>
    </xf>
    <xf numFmtId="176" fontId="43" fillId="0" borderId="0" xfId="15" applyBorder="1" applyFont="1" applyNumberFormat="1" applyFill="1" applyProtection="1">
      <protection hidden="1"/>
    </xf>
    <xf numFmtId="176" fontId="43" fillId="0" borderId="0" xfId="15" applyBorder="1" applyFont="1" applyNumberFormat="1" applyFill="1" applyProtection="1" quotePrefix="1">
      <protection hidden="1"/>
    </xf>
    <xf numFmtId="10" fontId="43" fillId="0" borderId="0" xfId="15" applyBorder="1" applyFont="1" applyNumberFormat="1" applyFill="1" applyProtection="1">
      <protection hidden="1"/>
    </xf>
    <xf numFmtId="0" fontId="43" fillId="0" borderId="0" xfId="15" applyAlignment="1" applyBorder="1" applyFont="1" applyFill="1" applyProtection="1">
      <alignment wrapText="1"/>
      <protection hidden="1"/>
    </xf>
    <xf numFmtId="0" fontId="34" fillId="0" borderId="0" xfId="15" applyAlignment="1" applyBorder="1" applyFont="1" applyFill="1" applyProtection="1">
      <alignment vertical="center" wrapText="1"/>
      <protection hidden="1"/>
    </xf>
    <xf numFmtId="0" fontId="43" fillId="0" borderId="0" xfId="15" applyAlignment="1" applyBorder="1" applyFont="1" applyNumberFormat="1" applyFill="1" applyProtection="1">
      <alignment horizontal="right"/>
      <protection hidden="1"/>
    </xf>
    <xf numFmtId="0" fontId="34" fillId="0" borderId="8" xfId="15" applyAlignment="1" applyBorder="1" applyFont="1" applyFill="1" applyProtection="1">
      <alignment wrapText="1"/>
      <protection hidden="1"/>
    </xf>
    <xf numFmtId="0" fontId="43" fillId="0" borderId="35" xfId="15" applyAlignment="1" applyBorder="1" applyFont="1" applyFill="1" applyProtection="1">
      <alignment horizontal="right"/>
      <protection hidden="1"/>
    </xf>
    <xf numFmtId="0" fontId="43" fillId="0" borderId="35" xfId="15" applyAlignment="1" applyBorder="1" applyFont="1" applyNumberFormat="1" applyFill="1" applyProtection="1">
      <alignment horizontal="right"/>
      <protection hidden="1"/>
    </xf>
    <xf numFmtId="0" fontId="34" fillId="0" borderId="8" xfId="15" applyAlignment="1" applyBorder="1" applyFont="1" applyFill="1" applyProtection="1">
      <alignment horizontal="right"/>
      <protection hidden="1"/>
    </xf>
    <xf numFmtId="0" fontId="43" fillId="0" borderId="8" xfId="0" applyAlignment="1" applyBorder="1" applyFont="1" applyFill="1" applyProtection="1">
      <protection hidden="1"/>
    </xf>
    <xf numFmtId="0" fontId="43" fillId="0" borderId="0" xfId="0" applyAlignment="1" applyBorder="1" applyFont="1" applyFill="1" applyProtection="1">
      <protection hidden="1"/>
    </xf>
    <xf numFmtId="3" fontId="34" fillId="0" borderId="1" xfId="0" applyBorder="1" applyFont="1" applyNumberFormat="1" applyFill="1" applyProtection="1">
      <protection hidden="1"/>
    </xf>
    <xf numFmtId="0" fontId="11" fillId="8" borderId="0" xfId="0" applyAlignment="1" applyBorder="1" applyFont="1" applyFill="1" applyProtection="1">
      <alignment horizontal="left" vertical="center" indent="3"/>
      <protection hidden="1"/>
    </xf>
    <xf numFmtId="0" fontId="0" fillId="0" borderId="0" xfId="0" applyAlignment="1" applyProtection="1">
      <alignment horizontal="left" indent="3"/>
    </xf>
    <xf numFmtId="170" fontId="11" fillId="8" borderId="0" xfId="0" applyAlignment="1" applyBorder="1" applyFont="1" applyNumberFormat="1" applyFill="1" applyProtection="1">
      <alignment vertical="center"/>
      <protection hidden="1"/>
    </xf>
    <xf numFmtId="0" fontId="0" fillId="0" borderId="1" xfId="0" applyBorder="1"/>
    <xf numFmtId="0" fontId="11" fillId="8" borderId="1" xfId="0" applyAlignment="1" applyBorder="1" applyFont="1" applyNumberFormat="1" applyFill="1" applyProtection="1">
      <alignment vertical="center"/>
      <protection hidden="1"/>
    </xf>
    <xf numFmtId="10" fontId="11" fillId="4" borderId="19" xfId="0" applyAlignment="1" applyBorder="1" applyFont="1" applyNumberFormat="1" applyFill="1" applyProtection="1">
      <alignment horizontal="right" vertical="center"/>
      <protection locked="0"/>
    </xf>
    <xf numFmtId="169" fontId="0" fillId="0" borderId="0" xfId="0" applyAlignment="1" applyNumberFormat="1" applyProtection="1">
      <alignment horizontal="left"/>
      <protection hidden="1"/>
    </xf>
    <xf numFmtId="0" fontId="11" fillId="8" borderId="8" xfId="0" applyBorder="1" applyFont="1" applyFill="1" applyProtection="1">
      <protection hidden="1"/>
    </xf>
    <xf numFmtId="0" fontId="11" fillId="8" borderId="0" xfId="0" applyBorder="1" applyFont="1" applyFill="1" applyProtection="1">
      <protection hidden="1"/>
    </xf>
    <xf numFmtId="0" fontId="11" fillId="8" borderId="35" xfId="0" applyBorder="1" applyFont="1" applyFill="1" applyProtection="1">
      <protection hidden="1"/>
    </xf>
    <xf numFmtId="0" fontId="11" fillId="8" borderId="35" xfId="0" applyBorder="1" applyFont="1" applyFill="1" applyProtection="1" quotePrefix="1">
      <protection hidden="1"/>
    </xf>
    <xf numFmtId="0" fontId="11" fillId="8" borderId="0" xfId="0" applyBorder="1" applyFont="1" applyFill="1" applyProtection="1" quotePrefix="1">
      <protection hidden="1"/>
    </xf>
    <xf numFmtId="0" fontId="12" fillId="8" borderId="0" xfId="0" applyAlignment="1" applyBorder="1" applyFont="1" applyFill="1" applyProtection="1" quotePrefix="1">
      <alignment horizontal="left" indent="2"/>
      <protection hidden="1"/>
    </xf>
    <xf numFmtId="0" fontId="12" fillId="8" borderId="35" xfId="0" applyAlignment="1" applyBorder="1" applyFont="1" applyFill="1" applyProtection="1" quotePrefix="1">
      <alignment horizontal="left" indent="2"/>
      <protection hidden="1"/>
    </xf>
    <xf numFmtId="0" fontId="11" fillId="8" borderId="8" xfId="0" applyAlignment="1" applyBorder="1" applyFont="1" applyFill="1" applyProtection="1">
      <protection hidden="1"/>
    </xf>
    <xf numFmtId="0" fontId="11" fillId="8" borderId="0" xfId="0" applyAlignment="1" applyBorder="1" applyFont="1" applyFill="1" applyProtection="1">
      <protection hidden="1"/>
    </xf>
    <xf numFmtId="0" fontId="11" fillId="8" borderId="35" xfId="0" applyAlignment="1" applyBorder="1" applyFont="1" applyFill="1" applyProtection="1">
      <protection hidden="1"/>
    </xf>
    <xf numFmtId="0" fontId="11" fillId="0" borderId="0" xfId="0" applyFont="1" applyProtection="1"/>
    <xf numFmtId="0" fontId="10" fillId="0" borderId="0" xfId="0" applyBorder="1" applyFont="1" applyFill="1" applyProtection="1"/>
    <xf numFmtId="165" fontId="11" fillId="0" borderId="0" xfId="0" applyFont="1" applyNumberFormat="1" applyProtection="1">
      <protection hidden="1"/>
    </xf>
    <xf numFmtId="170" fontId="34" fillId="0" borderId="21" xfId="15" applyAlignment="1" applyBorder="1" applyFont="1" applyNumberFormat="1" applyFill="1" applyProtection="1">
      <alignment horizontal="right"/>
      <protection hidden="1"/>
    </xf>
    <xf numFmtId="0" fontId="43" fillId="0" borderId="21" xfId="15" applyAlignment="1" applyBorder="1" applyFont="1" applyFill="1" applyProtection="1">
      <alignment horizontal="right"/>
      <protection hidden="1"/>
    </xf>
    <xf numFmtId="0" fontId="31" fillId="11" borderId="27" xfId="13" applyAlignment="1" applyBorder="1" applyFont="1" applyFill="1" applyProtection="1">
      <alignment vertical="center"/>
      <protection hidden="1"/>
    </xf>
    <xf numFmtId="0" fontId="9" fillId="11" borderId="21" xfId="13" applyBorder="1" applyFont="1" applyFill="1" applyProtection="1">
      <protection hidden="1"/>
    </xf>
    <xf numFmtId="0" fontId="9" fillId="11" borderId="28" xfId="13" applyBorder="1" applyFont="1" applyFill="1" applyProtection="1">
      <protection hidden="1"/>
    </xf>
    <xf numFmtId="0" fontId="9" fillId="11" borderId="1" xfId="13" applyAlignment="1" applyBorder="1" applyFont="1" applyFill="1" applyProtection="1">
      <alignment horizontal="center" vertical="center"/>
      <protection hidden="1"/>
    </xf>
    <xf numFmtId="0" fontId="27" fillId="11" borderId="0" xfId="13" applyBorder="1" applyFont="1" applyFill="1" applyProtection="1">
      <protection hidden="1"/>
    </xf>
    <xf numFmtId="0" fontId="0" fillId="11" borderId="1" xfId="13" applyBorder="1" applyFont="1" applyFill="1" applyProtection="1">
      <protection hidden="1"/>
    </xf>
    <xf numFmtId="0" fontId="34" fillId="11" borderId="0" xfId="15" applyBorder="1" applyFont="1" applyFill="1" applyProtection="1">
      <protection hidden="1"/>
    </xf>
    <xf numFmtId="0" fontId="43" fillId="11" borderId="1" xfId="15" applyBorder="1" applyFont="1" applyFill="1" applyProtection="1">
      <protection hidden="1"/>
    </xf>
    <xf numFmtId="8" fontId="43" fillId="11" borderId="1" xfId="15" applyBorder="1" applyFont="1" applyNumberFormat="1" applyFill="1" applyProtection="1">
      <protection hidden="1"/>
    </xf>
    <xf numFmtId="0" fontId="34" fillId="11" borderId="1" xfId="15" applyBorder="1" applyFont="1" applyFill="1" applyProtection="1">
      <protection hidden="1"/>
    </xf>
    <xf numFmtId="170" fontId="43" fillId="11" borderId="1" xfId="15" applyBorder="1" applyFont="1" applyNumberFormat="1" applyFill="1" applyProtection="1">
      <protection hidden="1"/>
    </xf>
    <xf numFmtId="179" fontId="34" fillId="11" borderId="1" xfId="15" applyBorder="1" applyFont="1" applyNumberFormat="1" applyFill="1" applyProtection="1">
      <protection hidden="1"/>
    </xf>
    <xf numFmtId="170" fontId="34" fillId="11" borderId="1" xfId="15" applyBorder="1" applyFont="1" applyNumberFormat="1" applyFill="1" applyProtection="1">
      <protection hidden="1"/>
    </xf>
    <xf numFmtId="0" fontId="0" fillId="11" borderId="0" xfId="13" applyBorder="1" applyFont="1" applyFill="1" applyProtection="1">
      <protection hidden="1"/>
    </xf>
    <xf numFmtId="170" fontId="0" fillId="11" borderId="1" xfId="13" applyBorder="1" applyFont="1" applyNumberFormat="1" applyFill="1" applyProtection="1">
      <protection hidden="1"/>
    </xf>
    <xf numFmtId="0" fontId="27" fillId="11" borderId="1" xfId="13" applyBorder="1" applyFont="1" applyFill="1" applyProtection="1">
      <protection hidden="1"/>
    </xf>
    <xf numFmtId="170" fontId="27" fillId="11" borderId="1" xfId="13" applyBorder="1" applyFont="1" applyNumberFormat="1" applyFill="1" applyProtection="1">
      <protection hidden="1"/>
    </xf>
    <xf numFmtId="0" fontId="19" fillId="0" borderId="1" xfId="0" applyAlignment="1" applyBorder="1" applyFont="1" applyFill="1" applyProtection="1">
      <alignment horizontal="left" vertical="center" wrapText="1" indent="1"/>
      <protection hidden="1"/>
    </xf>
    <xf numFmtId="0" fontId="0" fillId="0" borderId="0" xfId="0" applyAlignment="1" applyFont="1" applyProtection="1">
      <alignment wrapText="1"/>
      <protection hidden="1"/>
    </xf>
    <xf numFmtId="0" fontId="1" fillId="17" borderId="1" xfId="0" applyAlignment="1" applyBorder="1" applyFont="1" applyFill="1" applyProtection="1">
      <alignment vertical="center" wrapText="1"/>
      <protection hidden="1"/>
    </xf>
    <xf numFmtId="0" fontId="11" fillId="17" borderId="1" xfId="0" applyAlignment="1" applyBorder="1" applyFont="1" applyFill="1" applyProtection="1">
      <alignment horizontal="left" vertical="center" wrapText="1"/>
      <protection hidden="1"/>
    </xf>
    <xf numFmtId="0" fontId="10" fillId="9" borderId="15" xfId="0" applyAlignment="1" applyBorder="1" applyFont="1" applyFill="1" applyProtection="1">
      <alignment vertical="center"/>
      <protection hidden="1"/>
    </xf>
    <xf numFmtId="168" fontId="10" fillId="8" borderId="11" xfId="0" applyAlignment="1" applyBorder="1" applyFont="1" applyNumberFormat="1" applyFill="1" applyProtection="1">
      <alignment vertical="center"/>
      <protection hidden="1"/>
    </xf>
    <xf numFmtId="6" fontId="11" fillId="4" borderId="19" xfId="2" applyAlignment="1" applyBorder="1" applyFont="1" applyNumberFormat="1" applyFill="1" applyProtection="1">
      <alignment vertical="center"/>
      <protection locked="0"/>
    </xf>
    <xf numFmtId="6" fontId="11" fillId="4" borderId="19" xfId="5" applyAlignment="1" applyBorder="1" applyFont="1" applyNumberFormat="1" applyFill="1" applyProtection="1">
      <alignment vertical="center"/>
      <protection locked="0"/>
    </xf>
    <xf numFmtId="0" fontId="11" fillId="4" borderId="19" xfId="0" applyAlignment="1" applyBorder="1" applyFont="1" applyFill="1" applyProtection="1">
      <alignment vertical="center" wrapText="1"/>
      <protection locked="0"/>
    </xf>
    <xf numFmtId="0" fontId="12" fillId="4" borderId="19" xfId="0" applyAlignment="1" applyBorder="1" applyFont="1" applyFill="1" applyProtection="1">
      <alignment vertical="center" wrapText="1"/>
      <protection locked="0"/>
    </xf>
    <xf numFmtId="0" fontId="11" fillId="0" borderId="0" xfId="0" applyAlignment="1" applyBorder="1" applyFont="1" applyFill="1" applyProtection="1">
      <alignment horizontal="left" vertical="center"/>
      <protection hidden="1"/>
    </xf>
    <xf numFmtId="0" fontId="1" fillId="0" borderId="0" xfId="0" applyAlignment="1" applyBorder="1" applyFont="1" applyFill="1" applyProtection="1">
      <alignment horizontal="left" vertical="center"/>
      <protection hidden="1"/>
    </xf>
    <xf numFmtId="0" fontId="0" fillId="4" borderId="19" xfId="0" applyBorder="1" applyFill="1" applyProtection="1">
      <protection locked="0"/>
    </xf>
    <xf numFmtId="0" fontId="1" fillId="17" borderId="1" xfId="0" applyAlignment="1" applyBorder="1" applyFont="1" applyFill="1" applyProtection="1">
      <alignment vertical="center"/>
      <protection hidden="1"/>
    </xf>
    <xf numFmtId="0" fontId="11" fillId="0" borderId="29" xfId="0" applyAlignment="1" applyBorder="1" applyFont="1" applyProtection="1">
      <alignment horizontal="center" vertical="center" wrapText="1"/>
      <protection locked="0"/>
    </xf>
    <xf numFmtId="0" fontId="10" fillId="17" borderId="21" xfId="0" applyAlignment="1" applyBorder="1" applyFont="1" applyFill="1" applyProtection="1">
      <alignment vertical="center"/>
      <protection hidden="1"/>
    </xf>
    <xf numFmtId="168" fontId="10" fillId="17" borderId="21" xfId="0" applyAlignment="1" applyBorder="1" applyFont="1" applyNumberFormat="1" applyFill="1" applyProtection="1">
      <alignment vertical="center"/>
      <protection hidden="1"/>
    </xf>
    <xf numFmtId="0" fontId="10" fillId="0" borderId="21" xfId="0" applyAlignment="1" applyBorder="1" applyFont="1" applyFill="1" applyProtection="1">
      <alignment vertical="center"/>
      <protection hidden="1"/>
    </xf>
    <xf numFmtId="168" fontId="10" fillId="0" borderId="21" xfId="0" applyAlignment="1" applyBorder="1" applyFont="1" applyNumberFormat="1" applyFill="1" applyProtection="1">
      <alignment vertical="center"/>
      <protection hidden="1"/>
    </xf>
    <xf numFmtId="6" fontId="11" fillId="4" borderId="79" xfId="2" applyAlignment="1" applyBorder="1" applyFont="1" applyNumberFormat="1" applyFill="1" applyProtection="1">
      <alignment vertical="center"/>
      <protection locked="0"/>
    </xf>
    <xf numFmtId="168" fontId="11" fillId="4" borderId="19" xfId="2" applyAlignment="1" applyBorder="1" applyFont="1" applyNumberFormat="1" applyFill="1" applyProtection="1">
      <alignment horizontal="right" vertical="center"/>
      <protection locked="0"/>
    </xf>
    <xf numFmtId="0" fontId="0" fillId="0" borderId="0" xfId="0" applyAlignment="1" applyProtection="1">
      <protection hidden="1"/>
    </xf>
    <xf numFmtId="0" fontId="57" fillId="0" borderId="0" xfId="0" applyAlignment="1" applyFont="1" applyProtection="1">
      <alignment wrapText="1"/>
      <protection hidden="1"/>
    </xf>
    <xf numFmtId="0" fontId="43" fillId="0" borderId="0" xfId="15" applyAlignment="1" applyBorder="1" applyFont="1" applyFill="1" applyProtection="1">
      <protection hidden="1"/>
    </xf>
    <xf numFmtId="0" fontId="58" fillId="0" borderId="7" xfId="0" applyBorder="1" applyFont="1" applyFill="1" applyProtection="1">
      <protection hidden="1"/>
    </xf>
    <xf numFmtId="0" fontId="11" fillId="4" borderId="79" xfId="0" applyAlignment="1" applyBorder="1" applyFont="1" applyFill="1" applyProtection="1">
      <alignment horizontal="left" vertical="center"/>
      <protection locked="0"/>
    </xf>
    <xf numFmtId="0" fontId="9" fillId="10" borderId="1" xfId="0" applyAlignment="1" applyBorder="1" applyFont="1" applyFill="1">
      <alignment vertical="center" wrapText="1"/>
    </xf>
    <xf numFmtId="168" fontId="1" fillId="0" borderId="8" xfId="0" applyAlignment="1" applyBorder="1" applyFont="1" applyNumberFormat="1" applyFill="1" applyProtection="1" quotePrefix="1">
      <alignment vertical="center"/>
      <protection hidden="1"/>
    </xf>
    <xf numFmtId="0" fontId="11" fillId="4" borderId="19" xfId="0" applyAlignment="1" applyBorder="1" applyFont="1" applyFill="1" applyProtection="1">
      <alignment horizontal="left" vertical="center" wrapText="1"/>
      <protection locked="0"/>
    </xf>
    <xf numFmtId="0" fontId="0" fillId="0" borderId="0" xfId="0" applyAlignment="1"/>
    <xf numFmtId="0" fontId="0" fillId="0" borderId="0" xfId="0" applyNumberFormat="1"/>
    <xf numFmtId="6" fontId="0" fillId="0" borderId="0" xfId="0" applyNumberFormat="1"/>
    <xf numFmtId="0" fontId="45" fillId="0" borderId="0" xfId="0" applyFont="1"/>
    <xf numFmtId="0" fontId="1" fillId="0" borderId="0" xfId="0" applyFont="1" applyProtection="1">
      <protection hidden="1"/>
    </xf>
    <xf numFmtId="6" fontId="1" fillId="8" borderId="0" xfId="0" applyAlignment="1" applyBorder="1" applyFont="1" applyNumberFormat="1" applyFill="1" applyProtection="1">
      <alignment vertical="center"/>
      <protection hidden="1"/>
    </xf>
    <xf numFmtId="168" fontId="2" fillId="8" borderId="11" xfId="0" applyAlignment="1" applyBorder="1" applyFont="1" applyNumberFormat="1" applyFill="1" applyProtection="1">
      <alignment vertical="center"/>
      <protection hidden="1"/>
    </xf>
    <xf numFmtId="168" fontId="1" fillId="0" borderId="0" xfId="0" applyAlignment="1" applyBorder="1" applyFont="1" applyNumberFormat="1" applyFill="1" applyProtection="1">
      <alignment horizontal="right" vertical="center"/>
      <protection hidden="1"/>
    </xf>
    <xf numFmtId="0" fontId="1" fillId="10" borderId="38" xfId="8" applyAlignment="1" applyBorder="1" applyFont="1" applyFill="1" applyProtection="1">
      <alignment horizontal="center" vertical="center"/>
      <protection hidden="1"/>
    </xf>
    <xf numFmtId="0" fontId="27" fillId="14" borderId="1" xfId="0" applyAlignment="1" applyBorder="1" applyFont="1" applyFill="1" applyProtection="1">
      <alignment vertical="center"/>
      <protection hidden="1"/>
    </xf>
    <xf numFmtId="0" fontId="27" fillId="14" borderId="27" xfId="0" applyAlignment="1" applyBorder="1" applyFont="1" applyFill="1" applyProtection="1">
      <alignment vertical="center"/>
      <protection hidden="1"/>
    </xf>
    <xf numFmtId="0" fontId="27" fillId="14" borderId="28" xfId="0" applyAlignment="1" applyBorder="1" applyFont="1" applyFill="1" applyProtection="1">
      <alignment vertical="center"/>
      <protection hidden="1"/>
    </xf>
    <xf numFmtId="0" fontId="10" fillId="14" borderId="1" xfId="0" applyAlignment="1" applyBorder="1" applyFont="1" applyFill="1" applyProtection="1">
      <alignment vertical="center" wrapText="1"/>
      <protection hidden="1"/>
    </xf>
    <xf numFmtId="0" fontId="11" fillId="0" borderId="1" xfId="0" applyBorder="1" applyFont="1"/>
    <xf numFmtId="0" fontId="11" fillId="0" borderId="1" xfId="0" applyBorder="1" applyFont="1" applyNumberFormat="1" applyProtection="1">
      <protection hidden="1"/>
    </xf>
    <xf numFmtId="0" fontId="11" fillId="0" borderId="1" xfId="0" applyBorder="1" applyFont="1" applyProtection="1">
      <protection hidden="1"/>
    </xf>
    <xf numFmtId="0" fontId="3" fillId="2" borderId="0" xfId="3" applyAlignment="1" applyBorder="1" applyFont="1" applyFill="1" applyProtection="1">
      <alignment vertical="center" wrapText="1"/>
      <protection hidden="1"/>
    </xf>
    <xf numFmtId="0" fontId="61" fillId="8" borderId="0" xfId="0" applyAlignment="1" applyBorder="1" applyFont="1" applyFill="1" applyProtection="1">
      <alignment horizontal="left" vertical="center"/>
      <protection hidden="1"/>
    </xf>
    <xf numFmtId="0" fontId="20" fillId="8" borderId="0" xfId="0" applyAlignment="1" applyBorder="1" applyFont="1" applyFill="1" applyProtection="1">
      <alignment vertical="center"/>
      <protection hidden="1"/>
    </xf>
    <xf numFmtId="0" fontId="25" fillId="0" borderId="0" xfId="0" applyAlignment="1" applyFont="1" applyProtection="1">
      <alignment vertical="top"/>
      <protection hidden="1"/>
    </xf>
    <xf numFmtId="0" fontId="19" fillId="4" borderId="77" xfId="0" applyAlignment="1" applyBorder="1" applyFont="1" applyFill="1" applyProtection="1">
      <alignment horizontal="left" vertical="center" wrapText="1" indent="1"/>
      <protection hidden="1" locked="0"/>
    </xf>
    <xf numFmtId="0" fontId="20" fillId="0" borderId="0" xfId="0" applyAlignment="1" applyFont="1" applyProtection="1">
      <alignment horizontal="left" vertical="center" wrapText="1" indent="1"/>
      <protection hidden="1"/>
    </xf>
    <xf numFmtId="0" fontId="0" fillId="0" borderId="0" xfId="0" applyAlignment="1">
      <alignment horizontal="center"/>
    </xf>
    <xf numFmtId="0" fontId="8" fillId="0" borderId="0" xfId="8" applyAlignment="1" applyFont="1">
      <alignment vertical="top" wrapText="1"/>
    </xf>
    <xf numFmtId="0" fontId="11" fillId="0" borderId="50" xfId="8" applyAlignment="1" applyBorder="1" applyFont="1">
      <alignment horizontal="center" vertical="top" wrapText="1"/>
    </xf>
    <xf numFmtId="0" fontId="2" fillId="0" borderId="39" xfId="8" applyAlignment="1" applyBorder="1" applyFont="1">
      <alignment horizontal="left" vertical="center" indent="1"/>
    </xf>
    <xf numFmtId="0" fontId="2" fillId="0" borderId="1" xfId="8" applyAlignment="1" applyBorder="1" applyFont="1">
      <alignment horizontal="left" vertical="center" indent="1"/>
    </xf>
    <xf numFmtId="0" fontId="2" fillId="0" borderId="60" xfId="8" applyAlignment="1" applyBorder="1" applyFont="1">
      <alignment horizontal="left" vertical="center" indent="1"/>
    </xf>
    <xf numFmtId="0" fontId="2" fillId="0" borderId="80" xfId="8" applyAlignment="1" applyBorder="1" applyFont="1">
      <alignment horizontal="left" vertical="center" indent="1"/>
    </xf>
    <xf numFmtId="0" fontId="2" fillId="0" borderId="48" xfId="8" applyAlignment="1" applyBorder="1" applyFont="1">
      <alignment horizontal="left" vertical="center" indent="1"/>
    </xf>
    <xf numFmtId="0" fontId="2" fillId="0" borderId="81" xfId="8" applyAlignment="1" applyBorder="1" applyFont="1">
      <alignment horizontal="left" vertical="center" indent="1"/>
    </xf>
    <xf numFmtId="0" fontId="43" fillId="11" borderId="35" xfId="15" applyBorder="1" applyFont="1" applyNumberFormat="1" applyFill="1" applyProtection="1">
      <protection hidden="1"/>
    </xf>
    <xf numFmtId="0" fontId="0" fillId="4" borderId="82" xfId="0" applyBorder="1" applyFill="1" applyProtection="1">
      <protection locked="0"/>
    </xf>
    <xf numFmtId="164" fontId="11" fillId="8" borderId="0" xfId="0" applyAlignment="1" applyBorder="1" applyFont="1" applyNumberFormat="1" applyFill="1" applyProtection="1">
      <alignment horizontal="left" vertical="center"/>
      <protection hidden="1"/>
    </xf>
    <xf numFmtId="0" fontId="11" fillId="0" borderId="0" xfId="8" applyAlignment="1" applyBorder="1" applyFont="1">
      <alignment horizontal="left" vertical="center" indent="1"/>
    </xf>
    <xf numFmtId="0" fontId="3" fillId="0" borderId="0" xfId="8" applyAlignment="1" applyBorder="1" applyFont="1">
      <alignment horizontal="center" vertical="center" wrapText="1"/>
    </xf>
    <xf numFmtId="0" fontId="10" fillId="0" borderId="0" xfId="0" applyAlignment="1" applyFont="1">
      <alignment horizontal="center"/>
    </xf>
    <xf numFmtId="0" fontId="27" fillId="18" borderId="1" xfId="0" applyBorder="1" applyFont="1" applyFill="1" applyProtection="1">
      <protection hidden="1"/>
    </xf>
    <xf numFmtId="168" fontId="0" fillId="0" borderId="1" xfId="0" applyBorder="1" applyNumberFormat="1" applyProtection="1">
      <protection hidden="1"/>
    </xf>
    <xf numFmtId="165" fontId="0" fillId="0" borderId="1" xfId="0" applyBorder="1" applyNumberFormat="1" applyProtection="1">
      <protection hidden="1"/>
    </xf>
    <xf numFmtId="2" fontId="0" fillId="0" borderId="0" xfId="0" applyNumberFormat="1" applyProtection="1">
      <protection hidden="1"/>
    </xf>
    <xf numFmtId="180" fontId="0" fillId="0" borderId="1" xfId="0" applyBorder="1" applyNumberFormat="1" applyProtection="1">
      <protection hidden="1"/>
    </xf>
    <xf numFmtId="0" fontId="27" fillId="0" borderId="0" xfId="0" applyFont="1"/>
    <xf numFmtId="0" fontId="45" fillId="11" borderId="0" xfId="13" applyBorder="1" applyFont="1" applyFill="1" applyProtection="1">
      <protection hidden="1"/>
    </xf>
    <xf numFmtId="170" fontId="34" fillId="8" borderId="56" xfId="19" applyAlignment="1" applyBorder="1" applyFont="1" applyNumberFormat="1" applyFill="1" applyProtection="1">
      <alignment horizontal="center" vertical="center" wrapText="1"/>
    </xf>
    <xf numFmtId="170" fontId="34" fillId="8" borderId="57" xfId="19" applyAlignment="1" applyBorder="1" applyFont="1" applyNumberFormat="1" applyFill="1" applyProtection="1">
      <alignment horizontal="center" vertical="center" wrapText="1"/>
    </xf>
    <xf numFmtId="8" fontId="43" fillId="0" borderId="61" xfId="3" applyAlignment="1" applyBorder="1" applyFont="1" applyNumberFormat="1" applyFill="1" applyProtection="1">
      <alignment horizontal="left"/>
      <protection hidden="1"/>
    </xf>
    <xf numFmtId="8" fontId="43" fillId="0" borderId="70" xfId="3" applyAlignment="1" applyBorder="1" applyFont="1" applyNumberFormat="1" applyFill="1" applyProtection="1">
      <alignment horizontal="left"/>
      <protection hidden="1"/>
    </xf>
    <xf numFmtId="8" fontId="43" fillId="0" borderId="4" xfId="3" applyAlignment="1" applyBorder="1" applyFont="1" applyNumberFormat="1" applyFill="1" applyProtection="1">
      <alignment horizontal="left"/>
      <protection hidden="1"/>
    </xf>
    <xf numFmtId="10" fontId="43" fillId="12" borderId="26" xfId="6" applyAlignment="1" applyBorder="1" applyFont="1" applyNumberFormat="1" applyFill="1" applyProtection="1">
      <alignment horizontal="center" vertical="center" wrapText="1"/>
      <protection hidden="1"/>
    </xf>
    <xf numFmtId="10" fontId="43" fillId="13" borderId="49" xfId="6" applyAlignment="1" applyBorder="1" applyFont="1" applyNumberFormat="1" applyFill="1" applyProtection="1">
      <alignment horizontal="center" vertical="center"/>
      <protection hidden="1"/>
    </xf>
    <xf numFmtId="10" fontId="43" fillId="13" borderId="4" xfId="6" applyAlignment="1" applyBorder="1" applyFont="1" applyNumberFormat="1" applyFill="1" applyProtection="1">
      <alignment vertical="center"/>
      <protection hidden="1"/>
    </xf>
    <xf numFmtId="10" fontId="43" fillId="0" borderId="0" xfId="15" applyAlignment="1" applyBorder="1" applyFont="1" applyNumberFormat="1" applyFill="1" applyProtection="1">
      <alignment horizontal="right" wrapText="1"/>
      <protection hidden="1"/>
    </xf>
    <xf numFmtId="170" fontId="34" fillId="0" borderId="0" xfId="15" applyAlignment="1" applyBorder="1" applyFont="1" applyNumberFormat="1" applyFill="1" applyProtection="1">
      <alignment horizontal="right" vertical="top"/>
      <protection hidden="1"/>
    </xf>
    <xf numFmtId="1" fontId="43" fillId="0" borderId="0" xfId="15" applyAlignment="1" applyBorder="1" applyFont="1" applyNumberFormat="1" applyFill="1" applyProtection="1">
      <alignment horizontal="right"/>
      <protection hidden="1"/>
    </xf>
    <xf numFmtId="170" fontId="34" fillId="0" borderId="11" xfId="15" applyAlignment="1" applyBorder="1" applyFont="1" applyNumberFormat="1" applyFill="1" applyProtection="1">
      <alignment horizontal="right"/>
      <protection hidden="1"/>
    </xf>
    <xf numFmtId="170" fontId="34" fillId="0" borderId="0" xfId="15" applyAlignment="1" applyBorder="1" applyFont="1" applyNumberFormat="1" applyFill="1" applyProtection="1">
      <alignment vertical="center"/>
      <protection hidden="1"/>
    </xf>
    <xf numFmtId="3" fontId="34" fillId="0" borderId="0" xfId="15" applyAlignment="1" applyBorder="1" applyFont="1" applyNumberFormat="1" applyFill="1" applyProtection="1">
      <alignment vertical="center"/>
      <protection hidden="1"/>
    </xf>
    <xf numFmtId="0" fontId="34" fillId="0" borderId="25" xfId="15" applyBorder="1" applyFont="1" applyFill="1" applyProtection="1">
      <protection hidden="1"/>
    </xf>
    <xf numFmtId="170" fontId="34" fillId="0" borderId="25" xfId="15" applyAlignment="1" applyBorder="1" applyFont="1" applyNumberFormat="1" applyFill="1" applyProtection="1">
      <alignment horizontal="right"/>
      <protection hidden="1"/>
    </xf>
    <xf numFmtId="0" fontId="34" fillId="0" borderId="35" xfId="15" applyAlignment="1" applyBorder="1" applyFont="1" applyFill="1" applyProtection="1">
      <alignment horizontal="left" vertical="center" wrapText="1"/>
      <protection hidden="1"/>
    </xf>
    <xf numFmtId="170" fontId="43" fillId="0" borderId="0" xfId="15" applyAlignment="1" applyBorder="1" applyFont="1" applyNumberFormat="1" applyFill="1" applyProtection="1">
      <alignment vertical="center"/>
      <protection hidden="1"/>
    </xf>
    <xf numFmtId="3" fontId="43" fillId="0" borderId="0" xfId="15" applyAlignment="1" applyBorder="1" applyFont="1" applyNumberFormat="1" applyFill="1" applyProtection="1">
      <alignment vertical="center"/>
      <protection hidden="1"/>
    </xf>
    <xf numFmtId="170" fontId="43" fillId="0" borderId="35" xfId="15" applyAlignment="1" applyBorder="1" applyFont="1" applyNumberFormat="1" applyFill="1" applyProtection="1">
      <alignment vertical="center"/>
      <protection hidden="1"/>
    </xf>
    <xf numFmtId="0" fontId="34" fillId="0" borderId="25" xfId="15" applyAlignment="1" applyBorder="1" applyFont="1" applyFill="1" applyProtection="1">
      <alignment wrapText="1"/>
      <protection hidden="1"/>
    </xf>
    <xf numFmtId="0" fontId="34" fillId="0" borderId="10" xfId="15" applyAlignment="1" applyBorder="1" applyFont="1" applyFill="1" applyProtection="1">
      <alignment wrapText="1"/>
      <protection hidden="1"/>
    </xf>
    <xf numFmtId="170" fontId="34" fillId="0" borderId="10" xfId="15" applyAlignment="1" applyBorder="1" applyFont="1" applyNumberFormat="1" applyFill="1" applyProtection="1">
      <alignment horizontal="right"/>
      <protection hidden="1"/>
    </xf>
    <xf numFmtId="170" fontId="34" fillId="0" borderId="10" xfId="15" applyAlignment="1" applyBorder="1" applyFont="1" applyNumberFormat="1" applyFill="1" applyProtection="1">
      <alignment horizontal="left"/>
      <protection hidden="1"/>
    </xf>
    <xf numFmtId="170" fontId="34" fillId="0" borderId="35" xfId="15" applyAlignment="1" applyBorder="1" applyFont="1" applyNumberFormat="1" applyFill="1" applyProtection="1">
      <alignment horizontal="left"/>
      <protection hidden="1"/>
    </xf>
    <xf numFmtId="170" fontId="34" fillId="0" borderId="0" xfId="15" applyAlignment="1" applyBorder="1" applyFont="1" applyNumberFormat="1" applyFill="1" applyProtection="1">
      <alignment horizontal="left"/>
      <protection hidden="1"/>
    </xf>
    <xf numFmtId="0" fontId="34" fillId="0" borderId="11" xfId="15" applyAlignment="1" applyBorder="1" applyFont="1" applyFill="1" applyProtection="1">
      <alignment wrapText="1"/>
      <protection hidden="1"/>
    </xf>
    <xf numFmtId="170" fontId="43" fillId="0" borderId="35" xfId="15" applyAlignment="1" applyBorder="1" applyFont="1" applyNumberFormat="1" applyFill="1" applyProtection="1">
      <alignment horizontal="right"/>
      <protection hidden="1"/>
    </xf>
    <xf numFmtId="0" fontId="34" fillId="0" borderId="0" xfId="15" applyAlignment="1" applyBorder="1" applyFont="1" applyFill="1" applyProtection="1">
      <alignment horizontal="right" wrapText="1"/>
      <protection hidden="1"/>
    </xf>
    <xf numFmtId="0" fontId="34" fillId="0" borderId="0" xfId="15" applyAlignment="1" applyBorder="1" applyFont="1" applyFill="1" applyProtection="1">
      <alignment horizontal="center" wrapText="1"/>
      <protection hidden="1"/>
    </xf>
    <xf numFmtId="170" fontId="41" fillId="0" borderId="0" xfId="15" applyBorder="1" applyFont="1" applyNumberFormat="1" applyFill="1" applyProtection="1">
      <protection hidden="1"/>
    </xf>
    <xf numFmtId="170" fontId="34" fillId="0" borderId="21" xfId="15" applyBorder="1" applyFont="1" applyNumberFormat="1" applyFill="1" applyProtection="1">
      <protection hidden="1"/>
    </xf>
    <xf numFmtId="168" fontId="43" fillId="11" borderId="0" xfId="13" applyBorder="1" applyFont="1" applyNumberFormat="1" applyFill="1" applyProtection="1">
      <protection hidden="1"/>
    </xf>
    <xf numFmtId="10" fontId="43" fillId="12" borderId="17" xfId="6" applyAlignment="1" applyBorder="1" applyFont="1" applyNumberFormat="1" applyFill="1" applyProtection="1">
      <alignment horizontal="center" vertical="center" wrapText="1"/>
      <protection hidden="1"/>
    </xf>
    <xf numFmtId="10" fontId="43" fillId="12" borderId="27" xfId="6" applyAlignment="1" applyBorder="1" applyFont="1" applyNumberFormat="1" applyFill="1" applyProtection="1">
      <alignment horizontal="center" vertical="center" wrapText="1"/>
      <protection hidden="1"/>
    </xf>
    <xf numFmtId="10" fontId="43" fillId="12" borderId="52" xfId="6" applyAlignment="1" applyBorder="1" applyFont="1" applyNumberFormat="1" applyFill="1" applyProtection="1">
      <alignment horizontal="center" vertical="center" wrapText="1"/>
      <protection hidden="1"/>
    </xf>
    <xf numFmtId="168" fontId="43" fillId="12" borderId="64" xfId="17" applyAlignment="1" applyBorder="1" applyFont="1" applyNumberFormat="1" applyFill="1" applyProtection="1">
      <alignment horizontal="center" vertical="center"/>
      <protection hidden="1"/>
    </xf>
    <xf numFmtId="10" fontId="43" fillId="12" borderId="49" xfId="17" applyAlignment="1" applyBorder="1" applyFont="1" applyNumberFormat="1" applyFill="1" applyProtection="1">
      <alignment vertical="center"/>
      <protection hidden="1"/>
    </xf>
    <xf numFmtId="10" fontId="43" fillId="12" borderId="39" xfId="17" applyAlignment="1" applyBorder="1" applyFont="1" applyNumberFormat="1" applyFill="1" applyProtection="1">
      <alignment vertical="center"/>
      <protection hidden="1"/>
    </xf>
    <xf numFmtId="181" fontId="43" fillId="11" borderId="0" xfId="13" applyAlignment="1" applyBorder="1" applyFont="1" applyNumberFormat="1" applyFill="1" applyProtection="1">
      <alignment vertical="center"/>
      <protection hidden="1"/>
    </xf>
    <xf numFmtId="0" fontId="34" fillId="11" borderId="4" xfId="3" applyAlignment="1" applyBorder="1" applyFont="1" applyFill="1" applyProtection="1">
      <alignment horizontal="center" vertical="center" wrapText="1"/>
      <protection hidden="1"/>
    </xf>
    <xf numFmtId="0" fontId="43" fillId="11" borderId="25" xfId="3" applyAlignment="1" applyBorder="1" applyFont="1" applyFill="1" applyProtection="1">
      <alignment horizontal="center" vertical="center" wrapText="1"/>
      <protection hidden="1"/>
    </xf>
    <xf numFmtId="0" fontId="34" fillId="11" borderId="7" xfId="3" applyAlignment="1" applyBorder="1" applyFont="1" applyFill="1" applyProtection="1">
      <alignment horizontal="center" vertical="center" wrapText="1"/>
      <protection hidden="1"/>
    </xf>
    <xf numFmtId="0" fontId="34" fillId="11" borderId="33" xfId="3" applyAlignment="1" applyBorder="1" applyFont="1" applyFill="1" applyProtection="1">
      <alignment horizontal="center" vertical="center" wrapText="1"/>
      <protection hidden="1"/>
    </xf>
    <xf numFmtId="10" fontId="43" fillId="15" borderId="39" xfId="6" applyAlignment="1" applyBorder="1" applyFont="1" applyNumberFormat="1" applyFill="1" applyProtection="1">
      <alignment horizontal="center" vertical="center" wrapText="1"/>
      <protection locked="0"/>
    </xf>
    <xf numFmtId="168" fontId="34" fillId="12" borderId="5" xfId="16" applyAlignment="1" applyBorder="1" applyFont="1" applyNumberFormat="1" applyFill="1" applyProtection="1">
      <alignment horizontal="center" vertical="center" wrapText="1"/>
      <protection hidden="1"/>
    </xf>
    <xf numFmtId="10" fontId="43" fillId="15" borderId="60" xfId="6" applyAlignment="1" applyBorder="1" applyFont="1" applyNumberFormat="1" applyFill="1" applyProtection="1">
      <alignment horizontal="center" vertical="center" wrapText="1"/>
      <protection locked="0"/>
    </xf>
    <xf numFmtId="10" fontId="43" fillId="15" borderId="65" xfId="6" applyAlignment="1" applyBorder="1" applyFont="1" applyNumberFormat="1" applyFill="1" applyProtection="1">
      <alignment horizontal="center" vertical="center" wrapText="1"/>
      <protection locked="0"/>
    </xf>
    <xf numFmtId="10" fontId="43" fillId="15" borderId="46" xfId="6" applyAlignment="1" applyBorder="1" applyFont="1" applyNumberFormat="1" applyFill="1" applyProtection="1">
      <alignment horizontal="center" vertical="center" wrapText="1"/>
      <protection locked="0"/>
    </xf>
    <xf numFmtId="0" fontId="10" fillId="9" borderId="11" xfId="0" applyAlignment="1" applyBorder="1" applyFont="1" applyFill="1" applyProtection="1">
      <alignment horizontal="center" vertical="center"/>
      <protection hidden="1"/>
    </xf>
    <xf numFmtId="0" fontId="0" fillId="0" borderId="0" xfId="0" applyFont="1" applyProtection="1"/>
    <xf numFmtId="165" fontId="11" fillId="4" borderId="19" xfId="0" applyAlignment="1" applyBorder="1" applyFont="1" applyNumberFormat="1" applyFill="1" applyProtection="1">
      <alignment horizontal="center" vertical="center" wrapText="1"/>
      <protection locked="0"/>
    </xf>
    <xf numFmtId="165" fontId="11" fillId="8" borderId="0" xfId="0" applyAlignment="1" applyBorder="1" applyFont="1" applyNumberFormat="1" applyFill="1" applyProtection="1">
      <alignment horizontal="center" vertical="center" wrapText="1"/>
      <protection hidden="1"/>
    </xf>
    <xf numFmtId="0" fontId="43" fillId="11" borderId="6" xfId="15" applyAlignment="1" applyBorder="1" applyFont="1" applyFill="1" applyProtection="1">
      <alignment horizontal="center" vertical="center" wrapText="1"/>
      <protection hidden="1"/>
    </xf>
    <xf numFmtId="0" fontId="43" fillId="11" borderId="0" xfId="15" applyAlignment="1" applyBorder="1" applyFont="1" applyFill="1" applyProtection="1">
      <alignment wrapText="1"/>
      <protection hidden="1"/>
    </xf>
    <xf numFmtId="0" fontId="43" fillId="11" borderId="32" xfId="15" applyAlignment="1" applyBorder="1" applyFont="1" applyFill="1" applyProtection="1">
      <alignment wrapText="1"/>
      <protection hidden="1"/>
    </xf>
    <xf numFmtId="165" fontId="0" fillId="0" borderId="1" xfId="6" applyBorder="1" applyFont="1" applyNumberFormat="1" applyProtection="1">
      <protection hidden="1"/>
    </xf>
    <xf numFmtId="165" fontId="0" fillId="0" borderId="0" xfId="6" applyBorder="1" applyFont="1" applyNumberFormat="1" applyProtection="1">
      <protection hidden="1"/>
    </xf>
    <xf numFmtId="0" fontId="28" fillId="0" borderId="0" xfId="0" applyAlignment="1" applyFont="1" applyProtection="1">
      <alignment horizontal="right" vertical="center"/>
      <protection hidden="1"/>
    </xf>
    <xf numFmtId="0" fontId="11" fillId="0" borderId="33" xfId="0" applyAlignment="1" applyBorder="1" applyFont="1" applyProtection="1">
      <alignment horizontal="left" vertical="center" wrapText="1"/>
      <protection locked="0"/>
    </xf>
    <xf numFmtId="0" fontId="11" fillId="0" borderId="0" xfId="0" applyFont="1" applyProtection="1">
      <protection hidden="1"/>
    </xf>
    <xf numFmtId="0" fontId="0" fillId="0" borderId="11" xfId="0" applyBorder="1"/>
    <xf numFmtId="168" fontId="11" fillId="4" borderId="19" xfId="2" applyAlignment="1" applyBorder="1" applyFont="1" applyNumberFormat="1" applyFill="1" applyProtection="1">
      <alignment vertical="center"/>
      <protection locked="0"/>
    </xf>
    <xf numFmtId="14" fontId="0" fillId="0" borderId="0" xfId="0" applyNumberFormat="1"/>
    <xf numFmtId="0" fontId="0" fillId="19" borderId="0" xfId="0" applyFill="1"/>
    <xf numFmtId="10" fontId="43" fillId="20" borderId="51" xfId="6" applyAlignment="1" applyBorder="1" applyFont="1" applyNumberFormat="1" applyFill="1" applyProtection="1">
      <alignment horizontal="center" vertical="center"/>
      <protection hidden="1"/>
    </xf>
    <xf numFmtId="0" fontId="0" fillId="0" borderId="1" xfId="0" applyBorder="1" applyFont="1"/>
    <xf numFmtId="0" fontId="0" fillId="21" borderId="1" xfId="0" applyBorder="1" applyFont="1" applyFill="1"/>
    <xf numFmtId="0" fontId="27" fillId="21" borderId="12" xfId="0" applyBorder="1" applyFont="1" applyFill="1"/>
    <xf numFmtId="0" fontId="27" fillId="0" borderId="12" xfId="0" applyBorder="1" applyFont="1"/>
    <xf numFmtId="0" fontId="27" fillId="21" borderId="77" xfId="0" applyBorder="1" applyFont="1" applyFill="1"/>
    <xf numFmtId="0" fontId="0" fillId="21" borderId="12" xfId="0" applyBorder="1" applyFont="1" applyFill="1"/>
    <xf numFmtId="0" fontId="0" fillId="0" borderId="12" xfId="0" applyBorder="1" applyFont="1"/>
    <xf numFmtId="0" fontId="0" fillId="21" borderId="77" xfId="0" applyBorder="1" applyFont="1" applyFill="1"/>
    <xf numFmtId="0" fontId="0" fillId="21" borderId="27" xfId="0" applyBorder="1" applyFont="1" applyFill="1"/>
    <xf numFmtId="0" fontId="0" fillId="0" borderId="27" xfId="0" applyBorder="1" applyFont="1"/>
    <xf numFmtId="0" fontId="0" fillId="21" borderId="12" xfId="0" applyAlignment="1" applyBorder="1" applyFont="1" applyFill="1">
      <alignment wrapText="1"/>
    </xf>
    <xf numFmtId="0" fontId="0" fillId="0" borderId="12" xfId="0" applyAlignment="1" applyBorder="1" applyFont="1">
      <alignment wrapText="1"/>
    </xf>
    <xf numFmtId="0" fontId="0" fillId="21" borderId="77" xfId="0" applyAlignment="1" applyBorder="1" applyFont="1" applyFill="1">
      <alignment wrapText="1"/>
    </xf>
    <xf numFmtId="0" fontId="0" fillId="21" borderId="27" xfId="0" applyAlignment="1" applyBorder="1" applyFont="1" applyFill="1">
      <alignment wrapText="1"/>
    </xf>
    <xf numFmtId="0" fontId="0" fillId="0" borderId="27" xfId="0" applyAlignment="1" applyBorder="1" applyFont="1">
      <alignment wrapText="1"/>
    </xf>
    <xf numFmtId="0" fontId="0" fillId="21" borderId="1" xfId="0" applyAlignment="1" applyBorder="1" applyFont="1" applyFill="1">
      <alignment wrapText="1"/>
    </xf>
    <xf numFmtId="0" fontId="27" fillId="21" borderId="12" xfId="0" applyAlignment="1" applyBorder="1" applyFont="1" applyFill="1">
      <alignment wrapText="1"/>
    </xf>
    <xf numFmtId="0" fontId="27" fillId="0" borderId="77" xfId="0" applyAlignment="1" applyBorder="1" applyFont="1">
      <alignment wrapText="1"/>
    </xf>
    <xf numFmtId="0" fontId="0" fillId="0" borderId="77" xfId="0" applyBorder="1" applyFont="1"/>
    <xf numFmtId="0" fontId="0" fillId="0" borderId="1" xfId="0" applyAlignment="1" applyBorder="1" applyFont="1">
      <alignment wrapText="1"/>
    </xf>
    <xf numFmtId="0" fontId="27" fillId="0" borderId="12" xfId="0" applyAlignment="1" applyBorder="1" applyFont="1">
      <alignment wrapText="1"/>
    </xf>
    <xf numFmtId="0" fontId="27" fillId="0" borderId="77" xfId="0" applyBorder="1" applyFont="1"/>
    <xf numFmtId="0" fontId="27" fillId="21" borderId="83" xfId="0" applyBorder="1" applyFont="1" applyFill="1"/>
    <xf numFmtId="0" fontId="27" fillId="0" borderId="84" xfId="0" applyBorder="1" applyFont="1"/>
    <xf numFmtId="0" fontId="27" fillId="21" borderId="84" xfId="0" applyBorder="1" applyFont="1" applyFill="1"/>
    <xf numFmtId="0" fontId="27" fillId="21" borderId="85" xfId="0" applyBorder="1" applyFont="1" applyFill="1"/>
    <xf numFmtId="0" fontId="27" fillId="21" borderId="83" xfId="0" applyAlignment="1" applyBorder="1" applyFont="1" applyFill="1">
      <alignment wrapText="1"/>
    </xf>
    <xf numFmtId="0" fontId="27" fillId="0" borderId="84" xfId="0" applyAlignment="1" applyBorder="1" applyFont="1">
      <alignment wrapText="1"/>
    </xf>
    <xf numFmtId="0" fontId="27" fillId="21" borderId="84" xfId="0" applyAlignment="1" applyBorder="1" applyFont="1" applyFill="1">
      <alignment wrapText="1"/>
    </xf>
    <xf numFmtId="0" fontId="27" fillId="21" borderId="85" xfId="0" applyAlignment="1" applyBorder="1" applyFont="1" applyFill="1">
      <alignment wrapText="1"/>
    </xf>
    <xf numFmtId="0" fontId="0" fillId="21" borderId="83" xfId="0" applyBorder="1" applyFont="1" applyFill="1"/>
    <xf numFmtId="0" fontId="0" fillId="0" borderId="84" xfId="0" applyBorder="1" applyFont="1"/>
    <xf numFmtId="0" fontId="0" fillId="21" borderId="84" xfId="0" applyBorder="1" applyFont="1" applyFill="1"/>
    <xf numFmtId="0" fontId="0" fillId="21" borderId="85" xfId="0" applyBorder="1" applyFont="1" applyFill="1"/>
    <xf numFmtId="0" fontId="0" fillId="21" borderId="86" xfId="0" applyBorder="1" applyFont="1" applyFill="1"/>
    <xf numFmtId="0" fontId="0" fillId="0" borderId="87" xfId="0" applyBorder="1" applyFont="1"/>
    <xf numFmtId="0" fontId="0" fillId="21" borderId="87" xfId="0" applyBorder="1" applyFont="1" applyFill="1"/>
    <xf numFmtId="0" fontId="0" fillId="21" borderId="88" xfId="0" applyBorder="1" applyFont="1" applyFill="1"/>
    <xf numFmtId="0" fontId="27" fillId="0" borderId="85" xfId="0" applyBorder="1" applyFont="1"/>
    <xf numFmtId="0" fontId="27" fillId="0" borderId="85" xfId="0" applyAlignment="1" applyBorder="1" applyFont="1">
      <alignment wrapText="1"/>
    </xf>
    <xf numFmtId="0" fontId="0" fillId="0" borderId="85" xfId="0" applyBorder="1" applyFont="1"/>
    <xf numFmtId="0" fontId="0" fillId="0" borderId="88" xfId="0" applyBorder="1" applyFont="1"/>
    <xf numFmtId="165" fontId="0" fillId="0" borderId="28" xfId="0" applyBorder="1" applyNumberFormat="1" applyProtection="1">
      <protection hidden="1"/>
    </xf>
    <xf numFmtId="0" fontId="34" fillId="16" borderId="6" xfId="0" applyAlignment="1" applyBorder="1" applyFont="1" applyFill="1">
      <alignment horizontal="left"/>
    </xf>
    <xf numFmtId="0" fontId="34" fillId="16" borderId="6" xfId="0" applyBorder="1" applyFont="1" applyFill="1"/>
    <xf numFmtId="0" fontId="34" fillId="16" borderId="6" xfId="0" applyAlignment="1" applyBorder="1" applyFont="1" applyFill="1">
      <alignment wrapText="1"/>
    </xf>
    <xf numFmtId="0" fontId="35" fillId="16" borderId="6" xfId="0" applyAlignment="1" applyBorder="1" applyFont="1" applyFill="1">
      <alignment wrapText="1"/>
    </xf>
    <xf numFmtId="0" fontId="34" fillId="16" borderId="6" xfId="0" applyAlignment="1" applyBorder="1" applyFont="1" applyFill="1" applyProtection="1">
      <alignment horizontal="center" vertical="center" wrapText="1"/>
    </xf>
    <xf numFmtId="1" fontId="42" fillId="16" borderId="48" xfId="0" applyAlignment="1" applyBorder="1" applyFont="1" applyNumberFormat="1" applyFill="1"/>
    <xf numFmtId="0" fontId="34" fillId="16" borderId="81" xfId="0" applyBorder="1" applyFont="1" applyFill="1"/>
    <xf numFmtId="3" fontId="0" fillId="11" borderId="81" xfId="0" applyBorder="1" applyFont="1" applyNumberFormat="1" applyFill="1"/>
    <xf numFmtId="165" fontId="38" fillId="11" borderId="81" xfId="6" applyBorder="1" applyFont="1" applyNumberFormat="1" applyFill="1"/>
    <xf numFmtId="165" fontId="38" fillId="11" borderId="71" xfId="6" applyBorder="1" applyFont="1" applyNumberFormat="1" applyFill="1"/>
    <xf numFmtId="0" fontId="34" fillId="16" borderId="1" xfId="0" applyBorder="1" applyFont="1" applyFill="1"/>
    <xf numFmtId="3" fontId="0" fillId="11" borderId="1" xfId="0" applyBorder="1" applyFont="1" applyNumberFormat="1" applyFill="1"/>
    <xf numFmtId="165" fontId="38" fillId="11" borderId="1" xfId="6" applyBorder="1" applyFont="1" applyNumberFormat="1" applyFill="1"/>
    <xf numFmtId="165" fontId="38" fillId="11" borderId="51" xfId="6" applyBorder="1" applyFont="1" applyNumberFormat="1" applyFill="1"/>
    <xf numFmtId="0" fontId="34" fillId="16" borderId="89" xfId="0" applyBorder="1" applyFont="1" applyFill="1"/>
    <xf numFmtId="3" fontId="0" fillId="11" borderId="89" xfId="0" applyBorder="1" applyFont="1" applyNumberFormat="1" applyFill="1"/>
    <xf numFmtId="165" fontId="38" fillId="11" borderId="89" xfId="6" applyBorder="1" applyFont="1" applyNumberFormat="1" applyFill="1"/>
    <xf numFmtId="165" fontId="38" fillId="11" borderId="53" xfId="6" applyBorder="1" applyFont="1" applyNumberFormat="1" applyFill="1"/>
    <xf numFmtId="175" fontId="38" fillId="11" borderId="50" xfId="1" applyBorder="1" applyFont="1" applyNumberFormat="1" applyFill="1"/>
    <xf numFmtId="165" fontId="38" fillId="11" borderId="50" xfId="6" applyBorder="1" applyFont="1" applyNumberFormat="1" applyFill="1"/>
    <xf numFmtId="0" fontId="32" fillId="0" borderId="48" xfId="19" applyAlignment="1" applyBorder="1" applyFont="1">
      <alignment horizontal="center"/>
    </xf>
    <xf numFmtId="0" fontId="32" fillId="0" borderId="81" xfId="19" applyBorder="1" applyFont="1"/>
    <xf numFmtId="0" fontId="1" fillId="0" borderId="81" xfId="19" applyBorder="1" applyFont="1"/>
    <xf numFmtId="0" fontId="1" fillId="0" borderId="71" xfId="19" applyBorder="1" applyFont="1"/>
    <xf numFmtId="0" fontId="32" fillId="0" borderId="39" xfId="19" applyAlignment="1" applyBorder="1" applyFont="1">
      <alignment horizontal="center"/>
    </xf>
    <xf numFmtId="0" fontId="32" fillId="0" borderId="1" xfId="19" applyBorder="1" applyFont="1"/>
    <xf numFmtId="0" fontId="1" fillId="0" borderId="1" xfId="19" applyBorder="1" applyFont="1"/>
    <xf numFmtId="0" fontId="1" fillId="0" borderId="51" xfId="19" applyBorder="1" applyFont="1"/>
    <xf numFmtId="0" fontId="0" fillId="0" borderId="51" xfId="0" applyBorder="1"/>
    <xf numFmtId="0" fontId="32" fillId="0" borderId="40" xfId="19" applyAlignment="1" applyBorder="1" applyFont="1">
      <alignment horizontal="center"/>
    </xf>
    <xf numFmtId="0" fontId="32" fillId="0" borderId="89" xfId="19" applyBorder="1" applyFont="1"/>
    <xf numFmtId="0" fontId="1" fillId="0" borderId="89" xfId="19" applyBorder="1" applyFont="1"/>
    <xf numFmtId="0" fontId="1" fillId="0" borderId="53" xfId="19" applyBorder="1" applyFont="1"/>
    <xf numFmtId="49" fontId="64" fillId="22" borderId="6" xfId="19" applyAlignment="1" applyBorder="1" applyFont="1" applyNumberFormat="1" applyFill="1">
      <alignment horizontal="center" vertical="center" wrapText="1"/>
    </xf>
    <xf numFmtId="49" fontId="34" fillId="22" borderId="6" xfId="19" applyAlignment="1" applyBorder="1" applyFont="1" applyNumberFormat="1" applyFill="1">
      <alignment horizontal="center" vertical="center" wrapText="1"/>
    </xf>
    <xf numFmtId="168" fontId="43" fillId="12" borderId="60" xfId="6" applyAlignment="1" applyBorder="1" applyFont="1" applyNumberFormat="1" applyFill="1" applyProtection="1">
      <alignment horizontal="center" vertical="center"/>
      <protection hidden="1"/>
    </xf>
    <xf numFmtId="168" fontId="43" fillId="12" borderId="38" xfId="6" applyAlignment="1" applyBorder="1" applyFont="1" applyNumberFormat="1" applyFill="1" applyProtection="1">
      <alignment horizontal="center" vertical="center"/>
      <protection hidden="1"/>
    </xf>
    <xf numFmtId="168" fontId="34" fillId="0" borderId="25" xfId="16" applyAlignment="1" applyBorder="1" applyFont="1" applyNumberFormat="1" applyFill="1" applyProtection="1">
      <alignment horizontal="center" vertical="center" wrapText="1"/>
      <protection hidden="1"/>
    </xf>
    <xf numFmtId="170" fontId="43" fillId="22" borderId="0" xfId="15" applyAlignment="1" applyBorder="1" applyFont="1" applyNumberFormat="1" applyFill="1" applyProtection="1">
      <alignment horizontal="right"/>
      <protection hidden="1"/>
    </xf>
    <xf numFmtId="170" fontId="43" fillId="22" borderId="11" xfId="15" applyAlignment="1" applyBorder="1" applyFont="1" applyNumberFormat="1" applyFill="1" applyProtection="1">
      <alignment horizontal="right"/>
      <protection hidden="1"/>
    </xf>
    <xf numFmtId="3" fontId="63" fillId="22" borderId="0" xfId="0" applyBorder="1" applyFont="1" applyNumberFormat="1" applyFill="1" applyProtection="1">
      <protection hidden="1"/>
    </xf>
    <xf numFmtId="170" fontId="43" fillId="22" borderId="0" xfId="15" applyAlignment="1" applyBorder="1" applyFont="1" applyNumberFormat="1" applyFill="1" applyProtection="1">
      <alignment vertical="center"/>
      <protection hidden="1"/>
    </xf>
    <xf numFmtId="10" fontId="43" fillId="22" borderId="0" xfId="15" applyAlignment="1" applyBorder="1" applyFont="1" applyNumberFormat="1" applyFill="1" applyProtection="1">
      <alignment horizontal="right"/>
      <protection hidden="1"/>
    </xf>
    <xf numFmtId="10" fontId="43" fillId="22" borderId="0" xfId="6" applyAlignment="1" applyBorder="1" applyFont="1" applyNumberFormat="1" applyFill="1" applyProtection="1">
      <alignment horizontal="right"/>
      <protection hidden="1"/>
    </xf>
    <xf numFmtId="0" fontId="34" fillId="22" borderId="0" xfId="15" applyAlignment="1" applyBorder="1" applyFont="1" applyFill="1" applyProtection="1">
      <alignment horizontal="right" wrapText="1"/>
      <protection hidden="1"/>
    </xf>
    <xf numFmtId="0" fontId="43" fillId="22" borderId="35" xfId="15" applyAlignment="1" applyBorder="1" applyFont="1" applyFill="1" applyProtection="1">
      <alignment horizontal="right"/>
      <protection hidden="1"/>
    </xf>
    <xf numFmtId="0" fontId="34" fillId="22" borderId="0" xfId="15" applyAlignment="1" applyBorder="1" applyFont="1" applyFill="1" applyProtection="1">
      <alignment horizontal="right"/>
      <protection hidden="1"/>
    </xf>
    <xf numFmtId="0" fontId="43" fillId="22" borderId="0" xfId="15" applyAlignment="1" applyBorder="1" applyFont="1" applyFill="1" applyProtection="1">
      <alignment horizontal="right"/>
      <protection hidden="1"/>
    </xf>
    <xf numFmtId="0" fontId="43" fillId="22" borderId="35" xfId="15" applyAlignment="1" applyBorder="1" applyFont="1" applyNumberFormat="1" applyFill="1" applyProtection="1">
      <alignment horizontal="right"/>
      <protection hidden="1"/>
    </xf>
    <xf numFmtId="170" fontId="43" fillId="0" borderId="0" xfId="15" applyAlignment="1" applyBorder="1" applyFont="1" applyNumberFormat="1" applyFill="1" applyProtection="1">
      <alignment horizontal="right" wrapText="1"/>
      <protection hidden="1"/>
    </xf>
    <xf numFmtId="170" fontId="34" fillId="0" borderId="0" xfId="15" applyAlignment="1" applyBorder="1" applyFont="1" applyNumberFormat="1" applyFill="1" applyProtection="1">
      <alignment horizontal="right" vertical="top" wrapText="1"/>
      <protection hidden="1"/>
    </xf>
    <xf numFmtId="10" fontId="34" fillId="0" borderId="0" xfId="15" applyAlignment="1" applyBorder="1" applyFont="1" applyNumberFormat="1" applyFill="1" applyProtection="1">
      <alignment horizontal="right"/>
      <protection hidden="1"/>
    </xf>
    <xf numFmtId="10" fontId="34" fillId="0" borderId="11" xfId="6" applyAlignment="1" applyBorder="1" applyFont="1" applyNumberFormat="1" applyFill="1" applyProtection="1">
      <alignment horizontal="right" vertical="top" wrapText="1"/>
      <protection hidden="1"/>
    </xf>
    <xf numFmtId="10" fontId="34" fillId="22" borderId="0" xfId="6" applyAlignment="1" applyBorder="1" applyFont="1" applyNumberFormat="1" applyFill="1" applyProtection="1">
      <alignment horizontal="right"/>
      <protection hidden="1"/>
    </xf>
    <xf numFmtId="2" fontId="34" fillId="0" borderId="0" xfId="6" applyAlignment="1" applyBorder="1" applyFont="1" applyNumberFormat="1" applyFill="1" applyProtection="1">
      <alignment horizontal="right"/>
      <protection hidden="1"/>
    </xf>
    <xf numFmtId="10" fontId="43" fillId="0" borderId="0" xfId="6" applyAlignment="1" applyBorder="1" applyFont="1" applyNumberFormat="1" applyFill="1" applyProtection="1">
      <alignment horizontal="right" wrapText="1"/>
      <protection hidden="1"/>
    </xf>
    <xf numFmtId="0" fontId="34" fillId="22" borderId="0" xfId="15" applyBorder="1" applyFont="1" applyFill="1" applyProtection="1">
      <protection hidden="1"/>
    </xf>
    <xf numFmtId="170" fontId="34" fillId="22" borderId="0" xfId="15" applyAlignment="1" applyBorder="1" applyFont="1" applyNumberFormat="1" applyFill="1" applyProtection="1">
      <alignment horizontal="right"/>
      <protection hidden="1"/>
    </xf>
    <xf numFmtId="170" fontId="34" fillId="22" borderId="0" xfId="15" applyAlignment="1" applyBorder="1" applyFont="1" applyNumberFormat="1" applyFill="1" applyProtection="1">
      <alignment horizontal="right" wrapText="1"/>
      <protection hidden="1"/>
    </xf>
    <xf numFmtId="0" fontId="8" fillId="0" borderId="0" xfId="8" applyAlignment="1" applyFont="1">
      <alignment horizontal="left" vertical="top" wrapText="1"/>
    </xf>
    <xf numFmtId="180" fontId="0" fillId="0" borderId="1" xfId="0" applyBorder="1" applyNumberFormat="1" applyFill="1" applyProtection="1">
      <protection hidden="1"/>
    </xf>
    <xf numFmtId="0" fontId="34" fillId="11" borderId="6" xfId="3" applyAlignment="1" applyBorder="1" applyFont="1" applyFill="1" applyProtection="1">
      <alignment horizontal="center" vertical="center"/>
      <protection hidden="1"/>
    </xf>
    <xf numFmtId="176" fontId="43" fillId="12" borderId="45" xfId="1" applyAlignment="1" applyBorder="1" applyFont="1" applyNumberFormat="1" applyFill="1" applyProtection="1">
      <alignment horizontal="center" vertical="center"/>
      <protection hidden="1"/>
    </xf>
    <xf numFmtId="176" fontId="43" fillId="12" borderId="37" xfId="1" applyAlignment="1" applyBorder="1" applyFont="1" applyNumberFormat="1" applyFill="1" applyProtection="1">
      <alignment horizontal="center" vertical="center"/>
      <protection hidden="1"/>
    </xf>
    <xf numFmtId="170" fontId="43" fillId="11" borderId="0" xfId="13" applyBorder="1" applyFont="1" applyNumberFormat="1" applyFill="1" applyProtection="1">
      <protection hidden="1"/>
    </xf>
    <xf numFmtId="173" fontId="11" fillId="10" borderId="37" xfId="8" applyAlignment="1" applyBorder="1" applyFont="1" applyNumberFormat="1" applyFill="1">
      <alignment horizontal="center" vertical="center"/>
    </xf>
    <xf numFmtId="0" fontId="11" fillId="0" borderId="9" xfId="8" applyAlignment="1" applyBorder="1" applyFont="1" applyFill="1">
      <alignment horizontal="center" vertical="top" wrapText="1"/>
    </xf>
    <xf numFmtId="173" fontId="11" fillId="0" borderId="9" xfId="8" applyAlignment="1" applyBorder="1" applyFont="1" applyNumberFormat="1" applyFill="1">
      <alignment horizontal="center" vertical="center"/>
    </xf>
    <xf numFmtId="0" fontId="10" fillId="0" borderId="0" xfId="0" applyAlignment="1" applyBorder="1" applyFont="1">
      <alignment vertical="top" wrapText="1"/>
    </xf>
    <xf numFmtId="172" fontId="11" fillId="10" borderId="45" xfId="8" applyAlignment="1" applyBorder="1" applyFont="1" applyNumberFormat="1" applyFill="1">
      <alignment horizontal="center"/>
    </xf>
    <xf numFmtId="172" fontId="11" fillId="4" borderId="38" xfId="8" applyAlignment="1" applyBorder="1" applyFont="1" applyNumberFormat="1" applyFill="1" applyProtection="1">
      <alignment horizontal="center"/>
    </xf>
    <xf numFmtId="0" fontId="11" fillId="0" borderId="0" xfId="0" applyFont="1"/>
    <xf numFmtId="0" fontId="65" fillId="0" borderId="0" xfId="8" applyFont="1"/>
    <xf numFmtId="0" fontId="66" fillId="23" borderId="1" xfId="8" applyAlignment="1" applyBorder="1" applyFont="1" applyFill="1">
      <alignment vertical="center" wrapText="1"/>
    </xf>
    <xf numFmtId="0" fontId="66" fillId="23" borderId="27" xfId="8" applyAlignment="1" applyBorder="1" applyFont="1" applyFill="1">
      <alignment vertical="center" wrapText="1"/>
    </xf>
    <xf numFmtId="0" fontId="66" fillId="0" borderId="0" xfId="8" applyAlignment="1" applyBorder="1" applyFont="1" applyFill="1">
      <alignment horizontal="center" vertical="center" wrapText="1"/>
    </xf>
    <xf numFmtId="0" fontId="11" fillId="0" borderId="0" xfId="9" applyAlignment="1" applyFont="1">
      <alignment vertical="top"/>
    </xf>
    <xf numFmtId="0" fontId="11" fillId="0" borderId="0" xfId="9" applyFont="1"/>
    <xf numFmtId="0" fontId="11" fillId="0" borderId="1" xfId="8" applyBorder="1" applyFont="1"/>
    <xf numFmtId="0" fontId="11" fillId="22" borderId="1" xfId="8" applyBorder="1" applyFont="1" applyFill="1"/>
    <xf numFmtId="0" fontId="66" fillId="23" borderId="1" xfId="0" applyAlignment="1" applyBorder="1" applyFont="1" applyFill="1">
      <alignment vertical="center" wrapText="1"/>
    </xf>
    <xf numFmtId="0" fontId="11" fillId="0" borderId="0" xfId="8" applyFont="1"/>
    <xf numFmtId="0" fontId="1" fillId="0" borderId="1" xfId="0" applyAlignment="1" applyBorder="1" applyFont="1">
      <alignment horizontal="center" vertical="center"/>
    </xf>
    <xf numFmtId="0" fontId="3" fillId="0" borderId="0" xfId="8" applyBorder="1" applyFont="1" applyFill="1"/>
    <xf numFmtId="0" fontId="11" fillId="10" borderId="27" xfId="8" applyAlignment="1" applyBorder="1" applyFont="1" applyFill="1">
      <alignment horizontal="left" vertical="center"/>
    </xf>
    <xf numFmtId="0" fontId="11" fillId="0" borderId="0" xfId="8" applyAlignment="1" applyFont="1">
      <alignment wrapText="1"/>
    </xf>
    <xf numFmtId="0" fontId="11" fillId="0" borderId="0" xfId="8" applyAlignment="1" applyBorder="1" applyFont="1" applyFill="1">
      <alignment wrapText="1"/>
    </xf>
    <xf numFmtId="0" fontId="11" fillId="0" borderId="0" xfId="8" applyBorder="1" applyFont="1" applyFill="1"/>
    <xf numFmtId="0" fontId="12" fillId="0" borderId="0" xfId="8" applyAlignment="1" applyFont="1">
      <alignment horizontal="left" vertical="center"/>
    </xf>
    <xf numFmtId="0" fontId="11" fillId="0" borderId="0" xfId="8" applyAlignment="1" applyFont="1">
      <alignment horizontal="left"/>
    </xf>
    <xf numFmtId="0" fontId="11" fillId="0" borderId="0" xfId="8" applyAlignment="1" applyBorder="1" applyFont="1" applyFill="1">
      <alignment horizontal="left"/>
    </xf>
    <xf numFmtId="0" fontId="11" fillId="0" borderId="0" xfId="8" applyAlignment="1" applyFont="1">
      <alignment vertical="center"/>
    </xf>
    <xf numFmtId="0" fontId="11" fillId="0" borderId="0" xfId="8" applyAlignment="1" applyBorder="1" applyFont="1" applyFill="1">
      <alignment vertical="center"/>
    </xf>
    <xf numFmtId="0" fontId="10" fillId="0" borderId="29" xfId="0" applyAlignment="1" applyBorder="1" applyFont="1">
      <alignment horizontal="center" vertical="top" wrapText="1"/>
    </xf>
    <xf numFmtId="168" fontId="11" fillId="0" borderId="0" xfId="8" applyAlignment="1" applyBorder="1" applyFont="1" applyNumberFormat="1" applyFill="1">
      <alignment horizontal="center" vertical="center"/>
    </xf>
    <xf numFmtId="0" fontId="11" fillId="0" borderId="29" xfId="0" applyAlignment="1" applyBorder="1" applyFont="1">
      <alignment horizontal="center" vertical="top" wrapText="1"/>
    </xf>
    <xf numFmtId="4" fontId="11" fillId="10" borderId="45" xfId="8" applyAlignment="1" applyBorder="1" applyFont="1" applyNumberFormat="1" applyFill="1">
      <alignment horizontal="center" vertical="center"/>
    </xf>
    <xf numFmtId="2" fontId="11" fillId="10" borderId="49" xfId="8" applyAlignment="1" applyBorder="1" applyFont="1" applyNumberFormat="1" applyFill="1">
      <alignment horizontal="center" vertical="center"/>
    </xf>
    <xf numFmtId="172" fontId="11" fillId="4" borderId="72" xfId="8" applyAlignment="1" applyBorder="1" applyFont="1" applyNumberFormat="1" applyFill="1" applyProtection="1">
      <alignment horizontal="center" vertical="center"/>
      <protection locked="0"/>
    </xf>
    <xf numFmtId="0" fontId="8" fillId="0" borderId="6" xfId="8" applyAlignment="1" applyBorder="1" applyFont="1">
      <alignment horizontal="center" vertical="top" wrapText="1"/>
    </xf>
    <xf numFmtId="0" fontId="11" fillId="0" borderId="6" xfId="8" applyAlignment="1" applyBorder="1" applyFont="1">
      <alignment horizontal="center" vertical="top" wrapText="1"/>
    </xf>
    <xf numFmtId="0" fontId="11" fillId="10" borderId="49" xfId="8" applyAlignment="1" applyBorder="1" applyFont="1" applyFill="1">
      <alignment horizontal="center" vertical="center"/>
    </xf>
    <xf numFmtId="0" fontId="11" fillId="4" borderId="72" xfId="8" applyAlignment="1" applyBorder="1" applyFont="1" applyFill="1" applyProtection="1">
      <alignment horizontal="center" vertical="center"/>
      <protection locked="0"/>
    </xf>
    <xf numFmtId="172" fontId="11" fillId="10" borderId="50" xfId="8" applyAlignment="1" applyBorder="1" applyFont="1" applyNumberFormat="1" applyFill="1">
      <alignment horizontal="center" vertical="center"/>
    </xf>
    <xf numFmtId="173" fontId="1" fillId="10" borderId="50" xfId="10" applyAlignment="1" applyBorder="1" applyFont="1" applyNumberFormat="1" applyFill="1">
      <alignment horizontal="center" vertical="center"/>
    </xf>
    <xf numFmtId="0" fontId="10" fillId="0" borderId="6" xfId="8" applyAlignment="1" applyBorder="1" applyFont="1">
      <alignment horizontal="center" vertical="top" wrapText="1"/>
    </xf>
    <xf numFmtId="173" fontId="11" fillId="0" borderId="0" xfId="8" applyAlignment="1" applyBorder="1" applyFont="1" applyNumberFormat="1" applyFill="1">
      <alignment horizontal="center" vertical="center"/>
    </xf>
    <xf numFmtId="0" fontId="11" fillId="0" borderId="0" xfId="0" applyAlignment="1" applyBorder="1" applyFont="1" applyFill="1">
      <alignment horizontal="center" vertical="center"/>
    </xf>
    <xf numFmtId="0" fontId="11" fillId="0" borderId="0" xfId="0" applyFont="1" applyFill="1"/>
    <xf numFmtId="0" fontId="11" fillId="0" borderId="0" xfId="0" applyBorder="1" applyFont="1" applyFill="1"/>
    <xf numFmtId="0" fontId="11" fillId="0" borderId="47" xfId="8" applyAlignment="1" applyBorder="1" applyFont="1">
      <alignment horizontal="center"/>
    </xf>
    <xf numFmtId="168" fontId="11" fillId="24" borderId="37" xfId="0" applyAlignment="1" applyBorder="1" applyFont="1" applyNumberFormat="1" applyFill="1">
      <alignment horizontal="center" vertical="center"/>
    </xf>
    <xf numFmtId="168" fontId="11" fillId="24" borderId="38" xfId="0" applyAlignment="1" applyBorder="1" applyFont="1" applyNumberFormat="1" applyFill="1">
      <alignment horizontal="center" vertical="center"/>
    </xf>
    <xf numFmtId="0" fontId="11" fillId="25" borderId="50" xfId="8" applyAlignment="1" applyBorder="1" applyFont="1" applyFill="1">
      <alignment horizontal="center" vertical="center"/>
    </xf>
    <xf numFmtId="0" fontId="11" fillId="19" borderId="50" xfId="8" applyAlignment="1" applyBorder="1" applyFont="1" applyFill="1">
      <alignment horizontal="center" vertical="center"/>
    </xf>
    <xf numFmtId="0" fontId="11" fillId="26" borderId="45" xfId="0" applyAlignment="1" applyBorder="1" applyFont="1" applyFill="1">
      <alignment horizontal="center" vertical="center"/>
    </xf>
    <xf numFmtId="0" fontId="11" fillId="0" borderId="0" xfId="8" applyAlignment="1" applyFont="1" applyFill="1">
      <alignment horizontal="left"/>
    </xf>
    <xf numFmtId="0" fontId="43" fillId="11" borderId="9" xfId="3" applyAlignment="1" applyBorder="1" applyFont="1" applyFill="1" applyProtection="1">
      <alignment vertical="center" wrapText="1"/>
      <protection hidden="1"/>
    </xf>
    <xf numFmtId="0" fontId="34" fillId="16" borderId="6" xfId="0" applyAlignment="1" applyBorder="1" applyFont="1" applyFill="1">
      <alignment horizontal="center" vertical="center" wrapText="1"/>
    </xf>
    <xf numFmtId="0" fontId="35" fillId="16" borderId="6" xfId="0" applyAlignment="1" applyBorder="1" applyFont="1" applyFill="1">
      <alignment horizontal="center" vertical="center" wrapText="1"/>
    </xf>
    <xf numFmtId="175" fontId="38" fillId="11" borderId="0" xfId="1" applyAlignment="1" applyBorder="1" applyFont="1" applyNumberFormat="1" applyFill="1">
      <alignment horizontal="center" vertical="center" wrapText="1"/>
    </xf>
    <xf numFmtId="3" fontId="0" fillId="11" borderId="0" xfId="0" applyAlignment="1" applyBorder="1" applyFont="1" applyNumberFormat="1" applyFill="1">
      <alignment horizontal="center" vertical="center" wrapText="1"/>
    </xf>
    <xf numFmtId="8" fontId="43" fillId="0" borderId="45" xfId="3" applyAlignment="1" applyBorder="1" applyFont="1" applyNumberFormat="1" applyFill="1" applyProtection="1">
      <alignment horizontal="left"/>
      <protection hidden="1"/>
    </xf>
    <xf numFmtId="8" fontId="43" fillId="0" borderId="37" xfId="3" applyAlignment="1" applyBorder="1" applyFont="1" applyNumberFormat="1" applyFill="1" applyProtection="1">
      <alignment horizontal="left"/>
      <protection hidden="1"/>
    </xf>
    <xf numFmtId="8" fontId="43" fillId="0" borderId="38" xfId="3" applyAlignment="1" applyBorder="1" applyFont="1" applyNumberFormat="1" applyFill="1" applyProtection="1">
      <alignment horizontal="left"/>
      <protection hidden="1"/>
    </xf>
    <xf numFmtId="8" fontId="43" fillId="13" borderId="33" xfId="3" applyAlignment="1" applyBorder="1" applyFont="1" applyNumberFormat="1" applyFill="1" applyProtection="1">
      <alignment horizontal="center" vertical="center"/>
      <protection hidden="1"/>
    </xf>
    <xf numFmtId="168" fontId="43" fillId="12" borderId="90" xfId="17" applyAlignment="1" applyBorder="1" applyFont="1" applyNumberFormat="1" applyFill="1" applyProtection="1">
      <alignment horizontal="center" vertical="center"/>
      <protection hidden="1"/>
    </xf>
    <xf numFmtId="10" fontId="34" fillId="11" borderId="56" xfId="6" applyAlignment="1" applyBorder="1" applyFont="1" applyNumberFormat="1" applyFill="1" applyProtection="1">
      <alignment horizontal="center" vertical="center" wrapText="1"/>
      <protection hidden="1"/>
    </xf>
    <xf numFmtId="10" fontId="34" fillId="11" borderId="57" xfId="6" applyAlignment="1" applyBorder="1" applyFont="1" applyNumberFormat="1" applyFill="1" applyProtection="1">
      <alignment horizontal="center" vertical="center" wrapText="1"/>
      <protection hidden="1"/>
    </xf>
    <xf numFmtId="10" fontId="43" fillId="12" borderId="48" xfId="6" applyAlignment="1" applyBorder="1" applyFont="1" applyNumberFormat="1" applyFill="1" applyProtection="1">
      <alignment horizontal="center" vertical="center" wrapText="1"/>
      <protection hidden="1"/>
    </xf>
    <xf numFmtId="10" fontId="43" fillId="13" borderId="71" xfId="6" applyAlignment="1" applyBorder="1" applyFont="1" applyNumberFormat="1" applyFill="1" applyProtection="1">
      <alignment vertical="center"/>
      <protection hidden="1"/>
    </xf>
    <xf numFmtId="170" fontId="34" fillId="22" borderId="35" xfId="15" applyAlignment="1" applyBorder="1" applyFont="1" applyNumberFormat="1" applyFill="1" applyProtection="1">
      <alignment horizontal="right"/>
      <protection hidden="1"/>
    </xf>
    <xf numFmtId="0" fontId="34" fillId="22" borderId="0" xfId="15" applyAlignment="1" applyBorder="1" applyFont="1" applyFill="1" applyProtection="1">
      <alignment wrapText="1"/>
      <protection hidden="1"/>
    </xf>
    <xf numFmtId="1" fontId="43" fillId="22" borderId="0" xfId="15" applyAlignment="1" applyBorder="1" applyFont="1" applyNumberFormat="1" applyFill="1" applyProtection="1">
      <alignment horizontal="right"/>
      <protection hidden="1"/>
    </xf>
    <xf numFmtId="1" fontId="34" fillId="22" borderId="0" xfId="15" applyAlignment="1" applyBorder="1" applyFont="1" applyNumberFormat="1" applyFill="1" applyProtection="1">
      <alignment horizontal="right"/>
      <protection hidden="1"/>
    </xf>
    <xf numFmtId="0" fontId="43" fillId="0" borderId="1" xfId="15" applyBorder="1" applyFont="1" applyFill="1" applyProtection="1">
      <protection hidden="1"/>
    </xf>
    <xf numFmtId="8" fontId="43" fillId="0" borderId="1" xfId="15" applyBorder="1" applyFont="1" applyNumberFormat="1" applyFill="1" applyProtection="1">
      <protection hidden="1"/>
    </xf>
    <xf numFmtId="0" fontId="34" fillId="0" borderId="1" xfId="15" applyBorder="1" applyFont="1" applyFill="1" applyProtection="1">
      <protection hidden="1"/>
    </xf>
    <xf numFmtId="170" fontId="43" fillId="0" borderId="1" xfId="15" applyBorder="1" applyFont="1" applyNumberFormat="1" applyFill="1" applyProtection="1">
      <protection hidden="1"/>
    </xf>
    <xf numFmtId="0" fontId="34" fillId="27" borderId="1" xfId="15" applyBorder="1" applyFont="1" applyFill="1" applyProtection="1">
      <protection hidden="1"/>
    </xf>
    <xf numFmtId="170" fontId="43" fillId="27" borderId="1" xfId="15" applyBorder="1" applyFont="1" applyNumberFormat="1" applyFill="1" applyProtection="1">
      <protection hidden="1"/>
    </xf>
    <xf numFmtId="170" fontId="43" fillId="0" borderId="1" xfId="15" applyAlignment="1" applyBorder="1" applyFont="1" applyNumberFormat="1" applyFill="1" applyProtection="1">
      <alignment wrapText="1"/>
      <protection hidden="1"/>
    </xf>
    <xf numFmtId="0" fontId="34" fillId="28" borderId="1" xfId="15" applyBorder="1" applyFont="1" applyFill="1" applyProtection="1">
      <protection hidden="1"/>
    </xf>
    <xf numFmtId="170" fontId="43" fillId="28" borderId="1" xfId="15" applyBorder="1" applyFont="1" applyNumberFormat="1" applyFill="1" applyProtection="1">
      <protection hidden="1"/>
    </xf>
    <xf numFmtId="0" fontId="0" fillId="0" borderId="0" xfId="13" applyBorder="1" applyFont="1" applyFill="1" applyProtection="1">
      <protection hidden="1"/>
    </xf>
    <xf numFmtId="0" fontId="9" fillId="0" borderId="0" xfId="13" applyBorder="1" applyFont="1" applyFill="1" applyProtection="1">
      <protection hidden="1"/>
    </xf>
    <xf numFmtId="0" fontId="27" fillId="0" borderId="0" xfId="13" applyBorder="1" applyFont="1" applyFill="1" applyProtection="1">
      <protection hidden="1"/>
    </xf>
    <xf numFmtId="0" fontId="0" fillId="0" borderId="1" xfId="13" applyBorder="1" applyFont="1" applyFill="1" applyProtection="1">
      <protection hidden="1"/>
    </xf>
    <xf numFmtId="170" fontId="0" fillId="0" borderId="1" xfId="13" applyBorder="1" applyFont="1" applyNumberFormat="1" applyFill="1" applyProtection="1">
      <protection hidden="1"/>
    </xf>
    <xf numFmtId="0" fontId="43" fillId="11" borderId="27" xfId="15" applyBorder="1" applyFont="1" applyFill="1" applyProtection="1">
      <protection hidden="1"/>
    </xf>
    <xf numFmtId="0" fontId="0" fillId="0" borderId="1" xfId="0" applyBorder="1" applyNumberFormat="1"/>
    <xf numFmtId="0" fontId="43" fillId="0" borderId="1" xfId="1" applyAlignment="1" applyBorder="1" applyFont="1" applyNumberFormat="1" applyFill="1" applyProtection="1">
      <alignment horizontal="right" vertical="center"/>
      <protection hidden="1"/>
    </xf>
    <xf numFmtId="179" fontId="34" fillId="0" borderId="1" xfId="15" applyBorder="1" applyFont="1" applyNumberFormat="1" applyFill="1" applyProtection="1">
      <protection hidden="1"/>
    </xf>
    <xf numFmtId="170" fontId="34" fillId="0" borderId="1" xfId="15" applyBorder="1" applyFont="1" applyNumberFormat="1" applyFill="1" applyProtection="1">
      <protection hidden="1"/>
    </xf>
    <xf numFmtId="0" fontId="27" fillId="0" borderId="1" xfId="13" applyBorder="1" applyFont="1" applyFill="1" applyProtection="1">
      <protection hidden="1"/>
    </xf>
    <xf numFmtId="170" fontId="27" fillId="0" borderId="1" xfId="13" applyBorder="1" applyFont="1" applyNumberFormat="1" applyFill="1" applyProtection="1">
      <protection hidden="1"/>
    </xf>
    <xf numFmtId="0" fontId="0" fillId="0" borderId="1" xfId="0" applyBorder="1" applyFill="1"/>
    <xf numFmtId="6" fontId="43" fillId="29" borderId="40" xfId="3" applyAlignment="1" applyBorder="1" applyFont="1" applyNumberFormat="1" applyFill="1" applyProtection="1">
      <alignment horizontal="center" vertical="center"/>
      <protection hidden="1"/>
    </xf>
    <xf numFmtId="0" fontId="32" fillId="0" borderId="49" xfId="19" applyAlignment="1" applyBorder="1" applyFont="1">
      <alignment horizontal="center"/>
    </xf>
    <xf numFmtId="0" fontId="32" fillId="0" borderId="74" xfId="19" applyBorder="1" applyFont="1"/>
    <xf numFmtId="0" fontId="1" fillId="0" borderId="74" xfId="19" applyBorder="1" applyFont="1"/>
    <xf numFmtId="0" fontId="1" fillId="0" borderId="72" xfId="19" applyBorder="1" applyFont="1"/>
    <xf numFmtId="49" fontId="32" fillId="30" borderId="6" xfId="19" applyAlignment="1" applyBorder="1" applyFont="1" applyNumberFormat="1" applyFill="1">
      <alignment horizontal="center" vertical="center" wrapText="1"/>
    </xf>
    <xf numFmtId="49" fontId="43" fillId="31" borderId="6" xfId="19" applyAlignment="1" applyBorder="1" applyFont="1" applyNumberFormat="1" applyFill="1">
      <alignment horizontal="center" vertical="center" wrapText="1"/>
    </xf>
    <xf numFmtId="0" fontId="32" fillId="6" borderId="39" xfId="19" applyAlignment="1" applyBorder="1" applyFont="1" applyFill="1">
      <alignment horizontal="center"/>
    </xf>
    <xf numFmtId="0" fontId="32" fillId="6" borderId="1" xfId="19" applyBorder="1" applyFont="1" applyFill="1"/>
    <xf numFmtId="0" fontId="1" fillId="6" borderId="1" xfId="19" applyBorder="1" applyFont="1" applyFill="1"/>
    <xf numFmtId="0" fontId="1" fillId="6" borderId="51" xfId="19" applyBorder="1" applyFont="1" applyFill="1"/>
    <xf numFmtId="0" fontId="0" fillId="0" borderId="0" xfId="0" applyAlignment="1" applyFill="1">
      <alignment horizontal="center" vertical="center" wrapText="1"/>
    </xf>
    <xf numFmtId="0" fontId="43" fillId="32" borderId="0" xfId="0" applyAlignment="1" applyFont="1" applyFill="1">
      <alignment horizontal="center" vertical="center" wrapText="1"/>
    </xf>
    <xf numFmtId="0" fontId="43" fillId="33" borderId="0" xfId="0" applyAlignment="1" applyFont="1" applyFill="1">
      <alignment horizontal="center" vertical="center" wrapText="1"/>
    </xf>
    <xf numFmtId="0" fontId="59" fillId="34" borderId="0" xfId="0" applyAlignment="1" applyFont="1" applyFill="1">
      <alignment horizontal="center" vertical="center" wrapText="1"/>
    </xf>
    <xf numFmtId="0" fontId="0" fillId="35" borderId="0" xfId="0" applyAlignment="1" applyFill="1">
      <alignment horizontal="center" vertical="center" wrapText="1"/>
    </xf>
    <xf numFmtId="0" fontId="0" fillId="0" borderId="0" xfId="0" applyAlignment="1">
      <alignment horizontal="center" vertical="center" wrapText="1"/>
    </xf>
    <xf numFmtId="0" fontId="59" fillId="36" borderId="0" xfId="0" applyAlignment="1" applyFont="1" applyFill="1">
      <alignment horizontal="center" vertical="center" wrapText="1"/>
    </xf>
    <xf numFmtId="0" fontId="0" fillId="37" borderId="0" xfId="0" applyAlignment="1" applyFill="1">
      <alignment horizontal="center" vertical="center" wrapText="1"/>
    </xf>
    <xf numFmtId="0" fontId="0" fillId="37" borderId="0" xfId="0" applyFill="1"/>
    <xf numFmtId="0" fontId="0" fillId="28" borderId="0" xfId="0" applyAlignment="1" applyFill="1">
      <alignment horizontal="center" vertical="center" wrapText="1"/>
    </xf>
    <xf numFmtId="0" fontId="0" fillId="28" borderId="0" xfId="0" applyFill="1"/>
    <xf numFmtId="0" fontId="0" fillId="6" borderId="0" xfId="0" applyFill="1"/>
    <xf numFmtId="0" fontId="0" fillId="28" borderId="0" xfId="0" applyAlignment="1" applyFont="1" applyFill="1">
      <alignment horizontal="center" vertical="center" wrapText="1"/>
    </xf>
    <xf numFmtId="182" fontId="11" fillId="0" borderId="0" xfId="0" applyFont="1" applyNumberFormat="1"/>
    <xf numFmtId="0" fontId="23" fillId="0" borderId="7" xfId="0" applyAlignment="1" applyBorder="1" applyFont="1" applyProtection="1">
      <alignment horizontal="center" vertical="center"/>
      <protection hidden="1" locked="0"/>
    </xf>
    <xf numFmtId="0" fontId="23" fillId="0" borderId="8" xfId="0" applyAlignment="1" applyBorder="1" applyFont="1" applyProtection="1">
      <alignment horizontal="center" vertical="center"/>
      <protection hidden="1" locked="0"/>
    </xf>
    <xf numFmtId="0" fontId="23" fillId="0" borderId="33" xfId="0" applyAlignment="1" applyBorder="1" applyFont="1" applyProtection="1">
      <alignment horizontal="center" vertical="center"/>
      <protection hidden="1" locked="0"/>
    </xf>
    <xf numFmtId="0" fontId="23" fillId="0" borderId="46" xfId="0" applyAlignment="1" applyBorder="1" applyFont="1" applyProtection="1">
      <alignment horizontal="center" vertical="center"/>
      <protection hidden="1" locked="0"/>
    </xf>
    <xf numFmtId="0" fontId="23" fillId="0" borderId="35" xfId="0" applyAlignment="1" applyBorder="1" applyFont="1" applyProtection="1">
      <alignment horizontal="center" vertical="center"/>
      <protection hidden="1" locked="0"/>
    </xf>
    <xf numFmtId="0" fontId="23" fillId="0" borderId="24" xfId="0" applyAlignment="1" applyBorder="1" applyFont="1" applyProtection="1">
      <alignment horizontal="center" vertical="center"/>
      <protection hidden="1" locked="0"/>
    </xf>
    <xf numFmtId="0" fontId="26" fillId="0" borderId="0" xfId="0" applyAlignment="1" applyFont="1" applyProtection="1">
      <alignment horizontal="left" indent="1"/>
      <protection hidden="1"/>
    </xf>
    <xf numFmtId="0" fontId="24" fillId="0" borderId="0" xfId="0" applyAlignment="1" applyFont="1" applyProtection="1">
      <alignment horizontal="right" vertical="top" wrapText="1"/>
      <protection hidden="1"/>
    </xf>
    <xf numFmtId="0" fontId="23" fillId="0" borderId="0" xfId="0" applyAlignment="1" applyFont="1" applyProtection="1">
      <alignment vertical="center"/>
      <protection hidden="1"/>
    </xf>
    <xf numFmtId="0" fontId="0" fillId="0" borderId="0" xfId="0" applyAlignment="1" applyProtection="1">
      <alignment vertical="center"/>
      <protection hidden="1"/>
    </xf>
    <xf numFmtId="0" fontId="22" fillId="38" borderId="0" xfId="0" applyAlignment="1" applyFont="1" applyFill="1" applyProtection="1">
      <alignment horizontal="left" vertical="center" wrapText="1" indent="1"/>
      <protection hidden="1"/>
    </xf>
    <xf numFmtId="0" fontId="25" fillId="0" borderId="0" xfId="0" applyAlignment="1" applyFont="1" applyProtection="1">
      <alignment horizontal="left" vertical="center" wrapText="1" indent="1"/>
      <protection hidden="1"/>
    </xf>
    <xf numFmtId="0" fontId="2" fillId="2" borderId="0" xfId="3" applyAlignment="1" applyBorder="1" applyFont="1" applyFill="1" applyProtection="1">
      <alignment horizontal="center" vertical="top" wrapText="1"/>
      <protection hidden="1"/>
    </xf>
    <xf numFmtId="0" fontId="1" fillId="2" borderId="0" xfId="3" applyAlignment="1" applyBorder="1" applyFont="1" applyFill="1">
      <alignment horizontal="left" vertical="center" wrapText="1"/>
    </xf>
    <xf numFmtId="0" fontId="3" fillId="2" borderId="0" xfId="3" applyAlignment="1" applyBorder="1" applyFont="1" applyFill="1" applyProtection="1">
      <alignment horizontal="left" vertical="center" wrapText="1"/>
      <protection hidden="1"/>
    </xf>
    <xf numFmtId="0" fontId="2" fillId="2" borderId="0" xfId="3" applyAlignment="1" applyBorder="1" applyFont="1" applyFill="1" applyProtection="1">
      <alignment horizontal="left" vertical="center" wrapText="1"/>
      <protection hidden="1"/>
    </xf>
    <xf numFmtId="0" fontId="2" fillId="2" borderId="2" xfId="3" applyAlignment="1" applyBorder="1" applyFont="1" applyFill="1" applyProtection="1">
      <alignment horizontal="left" vertical="center" wrapText="1"/>
      <protection hidden="1"/>
    </xf>
    <xf numFmtId="0" fontId="0" fillId="0" borderId="0" xfId="0" applyAlignment="1" applyProtection="1">
      <alignment horizontal="center"/>
      <protection hidden="1"/>
    </xf>
    <xf numFmtId="0" fontId="0" fillId="0" borderId="0" xfId="0" applyAlignment="1" applyProtection="1">
      <alignment horizontal="center" wrapText="1"/>
      <protection hidden="1"/>
    </xf>
    <xf numFmtId="0" fontId="19" fillId="4" borderId="74" xfId="0" applyAlignment="1" applyBorder="1" applyFont="1" applyFill="1" applyProtection="1">
      <alignment horizontal="left" vertical="center" wrapText="1" indent="1"/>
      <protection hidden="1" locked="0"/>
    </xf>
    <xf numFmtId="0" fontId="28" fillId="0" borderId="0" xfId="0" applyAlignment="1" applyFont="1" applyProtection="1">
      <alignment horizontal="left" indent="1"/>
    </xf>
    <xf numFmtId="0" fontId="0" fillId="0" borderId="0" xfId="0" applyAlignment="1" applyBorder="1" applyProtection="1">
      <alignment horizontal="center" wrapText="1"/>
      <protection hidden="1"/>
    </xf>
    <xf numFmtId="0" fontId="53" fillId="17" borderId="77" xfId="4" applyAlignment="1" applyBorder="1" applyFont="1" applyFill="1" applyProtection="1">
      <alignment horizontal="center" vertical="center" wrapText="1"/>
      <protection hidden="1"/>
    </xf>
    <xf numFmtId="0" fontId="53" fillId="17" borderId="74" xfId="4" applyAlignment="1" applyBorder="1" applyFont="1" applyFill="1" applyProtection="1">
      <alignment horizontal="center" vertical="center" wrapText="1"/>
      <protection hidden="1"/>
    </xf>
    <xf numFmtId="0" fontId="11" fillId="9" borderId="29" xfId="0" applyAlignment="1" applyBorder="1" applyFont="1" applyFill="1" applyProtection="1">
      <alignment horizontal="center" vertical="center" wrapText="1"/>
      <protection hidden="1"/>
    </xf>
    <xf numFmtId="0" fontId="11" fillId="9" borderId="91" xfId="0" applyAlignment="1" applyBorder="1" applyFont="1" applyFill="1" applyProtection="1">
      <alignment horizontal="center" vertical="center" wrapText="1"/>
      <protection hidden="1"/>
    </xf>
    <xf numFmtId="0" fontId="1" fillId="17" borderId="77" xfId="0" applyAlignment="1" applyBorder="1" applyFont="1" applyFill="1" applyProtection="1">
      <alignment horizontal="left" vertical="center" wrapText="1"/>
      <protection hidden="1"/>
    </xf>
    <xf numFmtId="0" fontId="1" fillId="17" borderId="73" xfId="0" applyAlignment="1" applyBorder="1" applyFont="1" applyFill="1" applyProtection="1">
      <alignment horizontal="left" vertical="center" wrapText="1"/>
      <protection hidden="1"/>
    </xf>
    <xf numFmtId="0" fontId="1" fillId="17" borderId="74" xfId="0" applyAlignment="1" applyBorder="1" applyFont="1" applyFill="1" applyProtection="1">
      <alignment horizontal="left" vertical="center" wrapText="1"/>
      <protection hidden="1"/>
    </xf>
    <xf numFmtId="0" fontId="11" fillId="4" borderId="92" xfId="0" applyAlignment="1" applyBorder="1" applyFont="1" applyFill="1" applyProtection="1">
      <alignment horizontal="left" vertical="top" wrapText="1"/>
      <protection locked="0"/>
    </xf>
    <xf numFmtId="0" fontId="11" fillId="4" borderId="93" xfId="0" applyAlignment="1" applyBorder="1" applyFont="1" applyFill="1" applyProtection="1">
      <alignment horizontal="left" vertical="top" wrapText="1"/>
      <protection locked="0"/>
    </xf>
    <xf numFmtId="0" fontId="11" fillId="4" borderId="94" xfId="0" applyAlignment="1" applyBorder="1" applyFont="1" applyFill="1" applyProtection="1">
      <alignment horizontal="left" vertical="top" wrapText="1"/>
      <protection locked="0"/>
    </xf>
    <xf numFmtId="3" fontId="34" fillId="12" borderId="4" xfId="3" applyAlignment="1" applyBorder="1" applyFont="1" applyNumberFormat="1" applyFill="1" applyProtection="1">
      <alignment horizontal="left" vertical="center" wrapText="1" indent="1"/>
      <protection hidden="1"/>
    </xf>
    <xf numFmtId="3" fontId="34" fillId="12" borderId="26" xfId="3" applyAlignment="1" applyBorder="1" applyFont="1" applyNumberFormat="1" applyFill="1" applyProtection="1">
      <alignment horizontal="left" vertical="center" wrapText="1" indent="1"/>
      <protection hidden="1"/>
    </xf>
    <xf numFmtId="0" fontId="34" fillId="11" borderId="26" xfId="3" applyAlignment="1" applyBorder="1" applyFont="1" applyFill="1" applyProtection="1">
      <alignment horizontal="center" vertical="center" wrapText="1"/>
      <protection hidden="1"/>
    </xf>
    <xf numFmtId="6" fontId="43" fillId="12" borderId="65" xfId="3" applyAlignment="1" applyBorder="1" applyFont="1" applyNumberFormat="1" applyFill="1" applyProtection="1">
      <alignment horizontal="center" vertical="center"/>
      <protection hidden="1"/>
    </xf>
    <xf numFmtId="6" fontId="43" fillId="12" borderId="76" xfId="3" applyAlignment="1" applyBorder="1" applyFont="1" applyNumberFormat="1" applyFill="1" applyProtection="1">
      <alignment horizontal="center" vertical="center"/>
      <protection hidden="1"/>
    </xf>
    <xf numFmtId="168" fontId="43" fillId="12" borderId="65" xfId="3" applyAlignment="1" applyBorder="1" applyFont="1" applyNumberFormat="1" applyFill="1" applyProtection="1">
      <alignment horizontal="center" vertical="center" wrapText="1"/>
      <protection hidden="1"/>
    </xf>
    <xf numFmtId="168" fontId="43" fillId="12" borderId="76" xfId="3" applyAlignment="1" applyBorder="1" applyFont="1" applyNumberFormat="1" applyFill="1" applyProtection="1">
      <alignment horizontal="center" vertical="center" wrapText="1"/>
      <protection hidden="1"/>
    </xf>
    <xf numFmtId="176" fontId="43" fillId="12" borderId="65" xfId="1" applyAlignment="1" applyBorder="1" applyFont="1" applyNumberFormat="1" applyFill="1" applyProtection="1">
      <alignment horizontal="center" vertical="center"/>
      <protection hidden="1"/>
    </xf>
    <xf numFmtId="0" fontId="0" fillId="0" borderId="75" xfId="0" applyAlignment="1" applyBorder="1">
      <alignment horizontal="center" vertical="center"/>
    </xf>
    <xf numFmtId="0" fontId="34" fillId="11" borderId="0" xfId="14" applyAlignment="1" applyBorder="1" applyFont="1" applyFill="1" applyProtection="1">
      <alignment vertical="center" wrapText="1"/>
      <protection hidden="1"/>
    </xf>
    <xf numFmtId="0" fontId="37" fillId="15" borderId="4" xfId="3" applyAlignment="1" applyBorder="1" applyFont="1" applyFill="1" applyProtection="1">
      <alignment horizontal="center" vertical="center"/>
      <protection hidden="1"/>
    </xf>
    <xf numFmtId="0" fontId="37" fillId="15" borderId="25" xfId="3" applyAlignment="1" applyBorder="1" applyFont="1" applyFill="1" applyProtection="1">
      <alignment horizontal="center" vertical="center"/>
      <protection hidden="1"/>
    </xf>
    <xf numFmtId="0" fontId="37" fillId="15" borderId="26" xfId="3" applyAlignment="1" applyBorder="1" applyFont="1" applyFill="1" applyProtection="1">
      <alignment horizontal="center" vertical="center"/>
      <protection hidden="1"/>
    </xf>
    <xf numFmtId="0" fontId="40" fillId="11" borderId="95" xfId="13" applyAlignment="1" applyBorder="1" applyFont="1" applyFill="1" applyProtection="1">
      <alignment horizontal="center" vertical="center" wrapText="1"/>
      <protection hidden="1"/>
    </xf>
    <xf numFmtId="0" fontId="34" fillId="11" borderId="0" xfId="14" applyAlignment="1" applyBorder="1" applyFont="1" applyFill="1" applyProtection="1">
      <alignment horizontal="left" wrapText="1"/>
      <protection hidden="1"/>
    </xf>
    <xf numFmtId="0" fontId="0" fillId="0" borderId="37" xfId="0" applyAlignment="1" applyBorder="1">
      <alignment horizontal="center" vertical="center"/>
    </xf>
    <xf numFmtId="168" fontId="42" fillId="12" borderId="29" xfId="0" applyAlignment="1" applyBorder="1" applyFont="1" applyNumberFormat="1" applyFill="1" applyProtection="1">
      <alignment horizontal="center" vertical="center"/>
      <protection hidden="1"/>
    </xf>
    <xf numFmtId="168" fontId="42" fillId="12" borderId="91" xfId="0" applyAlignment="1" applyBorder="1" applyFont="1" applyNumberFormat="1" applyFill="1" applyProtection="1">
      <alignment horizontal="center" vertical="center"/>
      <protection hidden="1"/>
    </xf>
    <xf numFmtId="0" fontId="0" fillId="0" borderId="5" xfId="0" applyAlignment="1" applyBorder="1">
      <alignment horizontal="center" vertical="center"/>
    </xf>
    <xf numFmtId="0" fontId="43" fillId="11" borderId="29" xfId="3" applyAlignment="1" applyBorder="1" applyFont="1" applyFill="1" applyProtection="1">
      <alignment vertical="center" wrapText="1"/>
      <protection hidden="1"/>
    </xf>
    <xf numFmtId="6" fontId="43" fillId="12" borderId="37" xfId="3" applyAlignment="1" applyBorder="1" applyFont="1" applyNumberFormat="1" applyFill="1" applyProtection="1">
      <alignment horizontal="center" vertical="center"/>
      <protection hidden="1"/>
    </xf>
    <xf numFmtId="168" fontId="43" fillId="12" borderId="37" xfId="3" applyAlignment="1" applyBorder="1" applyFont="1" applyNumberFormat="1" applyFill="1" applyProtection="1">
      <alignment horizontal="center" vertical="center" wrapText="1"/>
      <protection hidden="1"/>
    </xf>
    <xf numFmtId="0" fontId="34" fillId="11" borderId="4" xfId="3" applyAlignment="1" applyBorder="1" applyFont="1" applyFill="1" applyProtection="1">
      <alignment horizontal="center" vertical="center"/>
      <protection hidden="1"/>
    </xf>
    <xf numFmtId="0" fontId="0" fillId="0" borderId="25" xfId="0" applyAlignment="1" applyBorder="1">
      <alignment horizontal="center" vertical="center"/>
    </xf>
    <xf numFmtId="176" fontId="43" fillId="12" borderId="38" xfId="1" applyAlignment="1" applyBorder="1" applyFont="1" applyNumberFormat="1" applyFill="1" applyProtection="1">
      <alignment horizontal="center" vertical="center"/>
      <protection hidden="1"/>
    </xf>
    <xf numFmtId="0" fontId="0" fillId="0" borderId="38" xfId="0" applyAlignment="1" applyBorder="1">
      <alignment horizontal="center" vertical="center"/>
    </xf>
    <xf numFmtId="6" fontId="43" fillId="12" borderId="60" xfId="3" applyAlignment="1" applyBorder="1" applyFont="1" applyNumberFormat="1" applyFill="1" applyProtection="1">
      <alignment horizontal="center" vertical="center"/>
      <protection hidden="1"/>
    </xf>
    <xf numFmtId="0" fontId="0" fillId="0" borderId="96" xfId="0" applyAlignment="1" applyBorder="1">
      <alignment horizontal="center" vertical="center"/>
    </xf>
    <xf numFmtId="168" fontId="43" fillId="12" borderId="38" xfId="3" applyAlignment="1" applyBorder="1" applyFont="1" applyNumberFormat="1" applyFill="1" applyProtection="1">
      <alignment horizontal="center" vertical="center" wrapText="1"/>
      <protection hidden="1"/>
    </xf>
    <xf numFmtId="6" fontId="43" fillId="12" borderId="61" xfId="3" applyAlignment="1" applyBorder="1" applyFont="1" applyNumberFormat="1" applyFill="1" applyProtection="1">
      <alignment horizontal="center" vertical="center"/>
      <protection hidden="1"/>
    </xf>
    <xf numFmtId="6" fontId="43" fillId="12" borderId="97" xfId="3" applyAlignment="1" applyBorder="1" applyFont="1" applyNumberFormat="1" applyFill="1" applyProtection="1">
      <alignment horizontal="center" vertical="center"/>
      <protection hidden="1"/>
    </xf>
    <xf numFmtId="168" fontId="43" fillId="12" borderId="61" xfId="3" applyAlignment="1" applyBorder="1" applyFont="1" applyNumberFormat="1" applyFill="1" applyProtection="1">
      <alignment horizontal="center" vertical="center" wrapText="1"/>
      <protection hidden="1"/>
    </xf>
    <xf numFmtId="168" fontId="43" fillId="12" borderId="97" xfId="3" applyAlignment="1" applyBorder="1" applyFont="1" applyNumberFormat="1" applyFill="1" applyProtection="1">
      <alignment horizontal="center" vertical="center" wrapText="1"/>
      <protection hidden="1"/>
    </xf>
    <xf numFmtId="176" fontId="43" fillId="12" borderId="61" xfId="1" applyAlignment="1" applyBorder="1" applyFont="1" applyNumberFormat="1" applyFill="1" applyProtection="1">
      <alignment horizontal="center" vertical="center"/>
      <protection hidden="1"/>
    </xf>
    <xf numFmtId="0" fontId="0" fillId="0" borderId="21" xfId="0" applyAlignment="1" applyBorder="1">
      <alignment horizontal="center" vertical="center"/>
    </xf>
    <xf numFmtId="0" fontId="43" fillId="11" borderId="91" xfId="3" applyAlignment="1" applyBorder="1" applyFont="1" applyFill="1" applyProtection="1">
      <alignment vertical="center" wrapText="1"/>
      <protection hidden="1"/>
    </xf>
    <xf numFmtId="0" fontId="0" fillId="0" borderId="5" xfId="0" applyAlignment="1" applyBorder="1">
      <alignment vertical="center" wrapText="1"/>
    </xf>
    <xf numFmtId="168" fontId="34" fillId="12" borderId="29" xfId="16" applyAlignment="1" applyBorder="1" applyFont="1" applyNumberFormat="1" applyFill="1" applyProtection="1">
      <alignment horizontal="center" vertical="center"/>
      <protection hidden="1"/>
    </xf>
    <xf numFmtId="168" fontId="34" fillId="12" borderId="91" xfId="16" applyAlignment="1" applyBorder="1" applyFont="1" applyNumberFormat="1" applyFill="1" applyProtection="1">
      <alignment horizontal="center" vertical="center"/>
      <protection hidden="1"/>
    </xf>
    <xf numFmtId="168" fontId="34" fillId="12" borderId="5" xfId="16" applyAlignment="1" applyBorder="1" applyFont="1" applyNumberFormat="1" applyFill="1" applyProtection="1">
      <alignment horizontal="center" vertical="center"/>
      <protection hidden="1"/>
    </xf>
    <xf numFmtId="6" fontId="43" fillId="12" borderId="4" xfId="16" applyAlignment="1" applyBorder="1" applyFont="1" applyNumberFormat="1" applyFill="1" applyProtection="1">
      <alignment horizontal="center" vertical="center"/>
      <protection hidden="1"/>
    </xf>
    <xf numFmtId="6" fontId="43" fillId="12" borderId="26" xfId="16" applyAlignment="1" applyBorder="1" applyFont="1" applyNumberFormat="1" applyFill="1" applyProtection="1">
      <alignment horizontal="center" vertical="center"/>
      <protection hidden="1"/>
    </xf>
    <xf numFmtId="168" fontId="43" fillId="12" borderId="4" xfId="16" applyAlignment="1" applyBorder="1" applyFont="1" applyNumberFormat="1" applyFill="1" applyProtection="1">
      <alignment horizontal="center" vertical="center" wrapText="1"/>
      <protection hidden="1"/>
    </xf>
    <xf numFmtId="168" fontId="43" fillId="12" borderId="26" xfId="16" applyAlignment="1" applyBorder="1" applyFont="1" applyNumberFormat="1" applyFill="1" applyProtection="1">
      <alignment horizontal="center" vertical="center" wrapText="1"/>
      <protection hidden="1"/>
    </xf>
    <xf numFmtId="0" fontId="43" fillId="11" borderId="46" xfId="3" applyAlignment="1" applyBorder="1" applyFont="1" applyFill="1" applyProtection="1">
      <alignment horizontal="left" vertical="center" wrapText="1"/>
      <protection hidden="1"/>
    </xf>
    <xf numFmtId="0" fontId="43" fillId="11" borderId="35" xfId="3" applyAlignment="1" applyBorder="1" applyFont="1" applyFill="1" applyProtection="1">
      <alignment horizontal="left" vertical="center" wrapText="1"/>
      <protection hidden="1"/>
    </xf>
    <xf numFmtId="0" fontId="43" fillId="11" borderId="24" xfId="3" applyAlignment="1" applyBorder="1" applyFont="1" applyFill="1" applyProtection="1">
      <alignment horizontal="left" vertical="center" wrapText="1"/>
      <protection hidden="1"/>
    </xf>
    <xf numFmtId="0" fontId="43" fillId="11" borderId="4" xfId="3" applyAlignment="1" applyBorder="1" applyFont="1" applyFill="1" applyProtection="1">
      <alignment horizontal="center" vertical="center" wrapText="1"/>
      <protection hidden="1"/>
    </xf>
    <xf numFmtId="0" fontId="43" fillId="11" borderId="26" xfId="3" applyAlignment="1" applyBorder="1" applyFont="1" applyFill="1" applyProtection="1">
      <alignment horizontal="center" vertical="center" wrapText="1"/>
      <protection hidden="1"/>
    </xf>
    <xf numFmtId="0" fontId="43" fillId="11" borderId="29" xfId="3" applyAlignment="1" applyBorder="1" applyFont="1" applyFill="1" applyProtection="1">
      <alignment horizontal="left" vertical="center" wrapText="1"/>
      <protection hidden="1"/>
    </xf>
    <xf numFmtId="0" fontId="43" fillId="11" borderId="5" xfId="3" applyAlignment="1" applyBorder="1" applyFont="1" applyFill="1" applyProtection="1">
      <alignment horizontal="left" vertical="center" wrapText="1"/>
      <protection hidden="1"/>
    </xf>
    <xf numFmtId="168" fontId="43" fillId="12" borderId="65" xfId="16" applyAlignment="1" applyBorder="1" applyFont="1" applyNumberFormat="1" applyFill="1" applyProtection="1">
      <alignment horizontal="center" vertical="center" wrapText="1"/>
      <protection hidden="1"/>
    </xf>
    <xf numFmtId="168" fontId="43" fillId="12" borderId="76" xfId="16" applyAlignment="1" applyBorder="1" applyFont="1" applyNumberFormat="1" applyFill="1" applyProtection="1">
      <alignment horizontal="center" vertical="center" wrapText="1"/>
      <protection hidden="1"/>
    </xf>
    <xf numFmtId="168" fontId="34" fillId="12" borderId="29" xfId="3" applyAlignment="1" applyBorder="1" applyFont="1" applyNumberFormat="1" applyFill="1" applyProtection="1">
      <alignment horizontal="center" vertical="center"/>
      <protection hidden="1"/>
    </xf>
    <xf numFmtId="168" fontId="34" fillId="12" borderId="5" xfId="3" applyAlignment="1" applyBorder="1" applyFont="1" applyNumberFormat="1" applyFill="1" applyProtection="1">
      <alignment horizontal="center" vertical="center"/>
      <protection hidden="1"/>
    </xf>
    <xf numFmtId="168" fontId="43" fillId="12" borderId="60" xfId="16" applyAlignment="1" applyBorder="1" applyFont="1" applyNumberFormat="1" applyFill="1" applyProtection="1">
      <alignment horizontal="center" vertical="center" wrapText="1"/>
      <protection hidden="1"/>
    </xf>
    <xf numFmtId="168" fontId="43" fillId="12" borderId="96" xfId="16" applyAlignment="1" applyBorder="1" applyFont="1" applyNumberFormat="1" applyFill="1" applyProtection="1">
      <alignment horizontal="center" vertical="center" wrapText="1"/>
      <protection hidden="1"/>
    </xf>
    <xf numFmtId="0" fontId="43" fillId="11" borderId="5" xfId="3" applyAlignment="1" applyBorder="1" applyFont="1" applyFill="1" applyProtection="1">
      <alignment vertical="center" wrapText="1"/>
      <protection hidden="1"/>
    </xf>
    <xf numFmtId="170" fontId="43" fillId="12" borderId="7" xfId="6" applyAlignment="1" applyBorder="1" applyFont="1" applyNumberFormat="1" applyFill="1" applyProtection="1">
      <alignment horizontal="center" vertical="center" wrapText="1"/>
      <protection hidden="1"/>
    </xf>
    <xf numFmtId="168" fontId="43" fillId="12" borderId="33" xfId="6" applyAlignment="1" applyBorder="1" applyFont="1" applyNumberFormat="1" applyFill="1" applyProtection="1">
      <alignment horizontal="center" vertical="center" wrapText="1"/>
      <protection hidden="1"/>
    </xf>
    <xf numFmtId="168" fontId="43" fillId="12" borderId="9" xfId="6" applyAlignment="1" applyBorder="1" applyFont="1" applyNumberFormat="1" applyFill="1" applyProtection="1">
      <alignment horizontal="center" vertical="center" wrapText="1"/>
      <protection hidden="1"/>
    </xf>
    <xf numFmtId="168" fontId="43" fillId="12" borderId="34" xfId="6" applyAlignment="1" applyBorder="1" applyFont="1" applyNumberFormat="1" applyFill="1" applyProtection="1">
      <alignment horizontal="center" vertical="center" wrapText="1"/>
      <protection hidden="1"/>
    </xf>
    <xf numFmtId="0" fontId="0" fillId="10" borderId="46" xfId="0" applyAlignment="1" applyBorder="1" applyFill="1">
      <alignment vertical="center"/>
    </xf>
    <xf numFmtId="0" fontId="0" fillId="10" borderId="24" xfId="0" applyAlignment="1" applyBorder="1" applyFill="1">
      <alignment vertical="center"/>
    </xf>
    <xf numFmtId="168" fontId="34" fillId="12" borderId="29" xfId="6" applyAlignment="1" applyBorder="1" applyFont="1" applyNumberFormat="1" applyFill="1" applyProtection="1">
      <alignment horizontal="center" vertical="center" wrapText="1"/>
      <protection hidden="1"/>
    </xf>
    <xf numFmtId="168" fontId="34" fillId="12" borderId="91" xfId="6" applyAlignment="1" applyBorder="1" applyFont="1" applyNumberFormat="1" applyFill="1" applyProtection="1">
      <alignment horizontal="center" vertical="center" wrapText="1"/>
      <protection hidden="1"/>
    </xf>
    <xf numFmtId="0" fontId="0" fillId="0" borderId="5" xfId="0" applyAlignment="1" applyBorder="1"/>
    <xf numFmtId="10" fontId="34" fillId="11" borderId="8" xfId="6" applyAlignment="1" applyBorder="1" applyFont="1" applyNumberFormat="1" applyFill="1" applyProtection="1">
      <alignment horizontal="center" vertical="center" wrapText="1"/>
      <protection hidden="1"/>
    </xf>
    <xf numFmtId="10" fontId="34" fillId="11" borderId="33" xfId="6" applyAlignment="1" applyBorder="1" applyFont="1" applyNumberFormat="1" applyFill="1" applyProtection="1">
      <alignment horizontal="center" vertical="center" wrapText="1"/>
      <protection hidden="1"/>
    </xf>
    <xf numFmtId="168" fontId="43" fillId="12" borderId="30" xfId="6" applyAlignment="1" applyBorder="1" applyFont="1" applyNumberFormat="1" applyFill="1" applyProtection="1">
      <alignment horizontal="center" vertical="center" wrapText="1"/>
      <protection hidden="1"/>
    </xf>
    <xf numFmtId="168" fontId="43" fillId="12" borderId="32" xfId="6" applyAlignment="1" applyBorder="1" applyFont="1" applyNumberFormat="1" applyFill="1" applyProtection="1">
      <alignment horizontal="center" vertical="center" wrapText="1"/>
      <protection hidden="1"/>
    </xf>
    <xf numFmtId="168" fontId="43" fillId="12" borderId="27" xfId="17" applyAlignment="1" applyBorder="1" applyFont="1" applyNumberFormat="1" applyFill="1" applyProtection="1">
      <alignment horizontal="center" vertical="center"/>
      <protection hidden="1"/>
    </xf>
    <xf numFmtId="0" fontId="0" fillId="0" borderId="52" xfId="0" applyAlignment="1" applyBorder="1">
      <alignment vertical="center"/>
    </xf>
    <xf numFmtId="10" fontId="43" fillId="15" borderId="40" xfId="6" applyAlignment="1" applyBorder="1" applyFont="1" applyNumberFormat="1" applyFill="1" applyProtection="1">
      <alignment horizontal="center" vertical="center" wrapText="1"/>
      <protection locked="0"/>
    </xf>
    <xf numFmtId="0" fontId="34" fillId="11" borderId="25" xfId="3" applyAlignment="1" applyBorder="1" applyFont="1" applyFill="1" applyProtection="1">
      <alignment horizontal="center" vertical="center" wrapText="1"/>
      <protection hidden="1"/>
    </xf>
    <xf numFmtId="170" fontId="34" fillId="11" borderId="0" xfId="3" applyAlignment="1" applyBorder="1" applyFont="1" applyNumberFormat="1" applyFill="1" applyProtection="1">
      <alignment vertical="center"/>
      <protection hidden="1"/>
    </xf>
    <xf numFmtId="0" fontId="0" fillId="0" borderId="0" xfId="0" applyAlignment="1">
      <alignment vertical="center"/>
    </xf>
    <xf numFmtId="0" fontId="43" fillId="11" borderId="4" xfId="3" applyAlignment="1" applyBorder="1" applyFont="1" applyFill="1" applyProtection="1">
      <alignment horizontal="left" vertical="center" wrapText="1"/>
      <protection hidden="1"/>
    </xf>
    <xf numFmtId="0" fontId="43" fillId="11" borderId="26" xfId="3" applyAlignment="1" applyBorder="1" applyFont="1" applyFill="1" applyProtection="1">
      <alignment horizontal="left" vertical="center" wrapText="1"/>
      <protection hidden="1"/>
    </xf>
    <xf numFmtId="168" fontId="43" fillId="12" borderId="4" xfId="16" applyAlignment="1" applyBorder="1" applyFont="1" applyNumberFormat="1" applyFill="1" applyProtection="1">
      <alignment horizontal="center" vertical="center"/>
      <protection hidden="1"/>
    </xf>
    <xf numFmtId="168" fontId="43" fillId="12" borderId="26" xfId="16" applyAlignment="1" applyBorder="1" applyFont="1" applyNumberFormat="1" applyFill="1" applyProtection="1">
      <alignment horizontal="center" vertical="center"/>
      <protection hidden="1"/>
    </xf>
    <xf numFmtId="0" fontId="43" fillId="11" borderId="4" xfId="15" applyAlignment="1" applyBorder="1" applyFont="1" applyFill="1" applyProtection="1">
      <alignment horizontal="center"/>
      <protection hidden="1"/>
    </xf>
    <xf numFmtId="0" fontId="43" fillId="11" borderId="25" xfId="15" applyAlignment="1" applyBorder="1" applyFont="1" applyFill="1" applyProtection="1">
      <alignment horizontal="center"/>
      <protection hidden="1"/>
    </xf>
    <xf numFmtId="0" fontId="43" fillId="11" borderId="26" xfId="15" applyAlignment="1" applyBorder="1" applyFont="1" applyFill="1" applyProtection="1">
      <alignment horizontal="center"/>
      <protection hidden="1"/>
    </xf>
    <xf numFmtId="0" fontId="43" fillId="11" borderId="25" xfId="3" applyAlignment="1" applyBorder="1" applyFont="1" applyFill="1" applyProtection="1">
      <alignment horizontal="left" vertical="center" wrapText="1"/>
      <protection hidden="1"/>
    </xf>
    <xf numFmtId="0" fontId="43" fillId="11" borderId="4" xfId="15" applyAlignment="1" applyBorder="1" applyFont="1" applyFill="1" applyProtection="1">
      <alignment horizontal="center" vertical="center"/>
      <protection hidden="1"/>
    </xf>
    <xf numFmtId="0" fontId="43" fillId="11" borderId="25" xfId="15" applyAlignment="1" applyBorder="1" applyFont="1" applyFill="1" applyProtection="1">
      <alignment horizontal="center" vertical="center"/>
      <protection hidden="1"/>
    </xf>
    <xf numFmtId="0" fontId="43" fillId="11" borderId="26" xfId="15" applyAlignment="1" applyBorder="1" applyFont="1" applyFill="1" applyProtection="1">
      <alignment horizontal="center" vertical="center"/>
      <protection hidden="1"/>
    </xf>
    <xf numFmtId="0" fontId="43" fillId="39" borderId="4" xfId="3" applyAlignment="1" applyBorder="1" applyFont="1" applyFill="1" applyProtection="1">
      <alignment horizontal="left" vertical="center" wrapText="1"/>
      <protection hidden="1"/>
    </xf>
    <xf numFmtId="0" fontId="43" fillId="39" borderId="25" xfId="3" applyAlignment="1" applyBorder="1" applyFont="1" applyFill="1" applyProtection="1">
      <alignment horizontal="left" vertical="center" wrapText="1"/>
      <protection hidden="1"/>
    </xf>
    <xf numFmtId="0" fontId="43" fillId="39" borderId="26" xfId="3" applyAlignment="1" applyBorder="1" applyFont="1" applyFill="1" applyProtection="1">
      <alignment horizontal="left" vertical="center" wrapText="1"/>
      <protection hidden="1"/>
    </xf>
    <xf numFmtId="0" fontId="43" fillId="28" borderId="4" xfId="6" applyAlignment="1" applyBorder="1" applyFont="1" applyNumberFormat="1" applyFill="1" applyProtection="1">
      <alignment horizontal="center" vertical="center" wrapText="1"/>
      <protection hidden="1"/>
    </xf>
    <xf numFmtId="0" fontId="43" fillId="28" borderId="25" xfId="6" applyAlignment="1" applyBorder="1" applyFont="1" applyNumberFormat="1" applyFill="1" applyProtection="1">
      <alignment horizontal="center" vertical="center" wrapText="1"/>
      <protection hidden="1"/>
    </xf>
    <xf numFmtId="0" fontId="43" fillId="28" borderId="26" xfId="6" applyAlignment="1" applyBorder="1" applyFont="1" applyNumberFormat="1" applyFill="1" applyProtection="1">
      <alignment horizontal="center" vertical="center" wrapText="1"/>
      <protection hidden="1"/>
    </xf>
    <xf numFmtId="0" fontId="43" fillId="0" borderId="29" xfId="3" applyAlignment="1" applyBorder="1" applyFont="1" applyFill="1" applyProtection="1">
      <alignment horizontal="center" vertical="center" wrapText="1"/>
      <protection hidden="1"/>
    </xf>
    <xf numFmtId="0" fontId="43" fillId="0" borderId="91" xfId="3" applyAlignment="1" applyBorder="1" applyFont="1" applyFill="1" applyProtection="1">
      <alignment horizontal="center" vertical="center" wrapText="1"/>
      <protection hidden="1"/>
    </xf>
    <xf numFmtId="0" fontId="43" fillId="0" borderId="5" xfId="3" applyAlignment="1" applyBorder="1" applyFont="1" applyFill="1" applyProtection="1">
      <alignment horizontal="center" vertical="center" wrapText="1"/>
      <protection hidden="1"/>
    </xf>
    <xf numFmtId="168" fontId="34" fillId="11" borderId="4" xfId="16" applyAlignment="1" applyBorder="1" applyFont="1" applyNumberFormat="1" applyFill="1" applyProtection="1">
      <alignment horizontal="center" vertical="center" wrapText="1"/>
      <protection hidden="1"/>
    </xf>
    <xf numFmtId="168" fontId="34" fillId="11" borderId="26" xfId="16" applyAlignment="1" applyBorder="1" applyFont="1" applyNumberFormat="1" applyFill="1" applyProtection="1">
      <alignment horizontal="center" vertical="center" wrapText="1"/>
      <protection hidden="1"/>
    </xf>
    <xf numFmtId="6" fontId="34" fillId="12" borderId="29" xfId="16" applyAlignment="1" applyBorder="1" applyFont="1" applyNumberFormat="1" applyFill="1" applyProtection="1">
      <alignment horizontal="center" vertical="center" wrapText="1"/>
      <protection hidden="1"/>
    </xf>
    <xf numFmtId="6" fontId="34" fillId="12" borderId="91" xfId="16" applyAlignment="1" applyBorder="1" applyFont="1" applyNumberFormat="1" applyFill="1" applyProtection="1">
      <alignment horizontal="center" vertical="center" wrapText="1"/>
      <protection hidden="1"/>
    </xf>
    <xf numFmtId="6" fontId="34" fillId="12" borderId="5" xfId="16" applyAlignment="1" applyBorder="1" applyFont="1" applyNumberFormat="1" applyFill="1" applyProtection="1">
      <alignment horizontal="center" vertical="center" wrapText="1"/>
      <protection hidden="1"/>
    </xf>
    <xf numFmtId="168" fontId="43" fillId="12" borderId="61" xfId="16" applyAlignment="1" applyBorder="1" applyFont="1" applyNumberFormat="1" applyFill="1" applyProtection="1">
      <alignment horizontal="center" vertical="center" wrapText="1"/>
      <protection hidden="1"/>
    </xf>
    <xf numFmtId="168" fontId="43" fillId="12" borderId="97" xfId="16" applyAlignment="1" applyBorder="1" applyFont="1" applyNumberFormat="1" applyFill="1" applyProtection="1">
      <alignment horizontal="center" vertical="center" wrapText="1"/>
      <protection hidden="1"/>
    </xf>
    <xf numFmtId="6" fontId="50" fillId="40" borderId="4" xfId="16" applyAlignment="1" applyBorder="1" applyFont="1" applyNumberFormat="1" applyFill="1" applyProtection="1">
      <alignment horizontal="left" vertical="center" indent="2"/>
      <protection hidden="1"/>
    </xf>
    <xf numFmtId="6" fontId="50" fillId="40" borderId="25" xfId="16" applyAlignment="1" applyBorder="1" applyFont="1" applyNumberFormat="1" applyFill="1" applyProtection="1">
      <alignment horizontal="left" vertical="center" indent="2"/>
      <protection hidden="1"/>
    </xf>
    <xf numFmtId="6" fontId="50" fillId="40" borderId="26" xfId="16" applyAlignment="1" applyBorder="1" applyFont="1" applyNumberFormat="1" applyFill="1" applyProtection="1">
      <alignment horizontal="left" vertical="center" indent="2"/>
      <protection hidden="1"/>
    </xf>
    <xf numFmtId="170" fontId="34" fillId="11" borderId="4" xfId="3" applyAlignment="1" applyBorder="1" applyFont="1" applyNumberFormat="1" applyFill="1" applyProtection="1">
      <alignment horizontal="left" vertical="center" indent="2"/>
      <protection hidden="1"/>
    </xf>
    <xf numFmtId="170" fontId="34" fillId="11" borderId="25" xfId="3" applyAlignment="1" applyBorder="1" applyFont="1" applyNumberFormat="1" applyFill="1" applyProtection="1">
      <alignment horizontal="left" vertical="center" indent="2"/>
      <protection hidden="1"/>
    </xf>
    <xf numFmtId="170" fontId="34" fillId="11" borderId="26" xfId="3" applyAlignment="1" applyBorder="1" applyFont="1" applyNumberFormat="1" applyFill="1" applyProtection="1">
      <alignment horizontal="left" vertical="center" indent="2"/>
      <protection hidden="1"/>
    </xf>
    <xf numFmtId="0" fontId="43" fillId="0" borderId="4" xfId="6" applyAlignment="1" applyBorder="1" applyFont="1" applyNumberFormat="1" applyFill="1" applyProtection="1">
      <alignment horizontal="center" vertical="center" wrapText="1"/>
      <protection hidden="1"/>
    </xf>
    <xf numFmtId="0" fontId="43" fillId="0" borderId="25" xfId="6" applyAlignment="1" applyBorder="1" applyFont="1" applyNumberFormat="1" applyFill="1" applyProtection="1">
      <alignment horizontal="center" vertical="center" wrapText="1"/>
      <protection hidden="1"/>
    </xf>
    <xf numFmtId="0" fontId="43" fillId="0" borderId="26" xfId="6" applyAlignment="1" applyBorder="1" applyFont="1" applyNumberFormat="1" applyFill="1" applyProtection="1">
      <alignment horizontal="center" vertical="center" wrapText="1"/>
      <protection hidden="1"/>
    </xf>
    <xf numFmtId="0" fontId="43" fillId="11" borderId="46" xfId="3" applyAlignment="1" applyBorder="1" applyFont="1" applyFill="1" applyProtection="1">
      <alignment vertical="center" wrapText="1"/>
      <protection hidden="1"/>
    </xf>
    <xf numFmtId="10" fontId="43" fillId="15" borderId="47" xfId="6" applyAlignment="1" applyBorder="1" applyFont="1" applyNumberFormat="1" applyFill="1" applyProtection="1">
      <alignment horizontal="center" vertical="center" wrapText="1"/>
      <protection locked="0"/>
    </xf>
    <xf numFmtId="10" fontId="43" fillId="15" borderId="32" xfId="6" applyAlignment="1" applyBorder="1" applyFont="1" applyNumberFormat="1" applyFill="1" applyProtection="1">
      <alignment horizontal="center" vertical="center" wrapText="1"/>
      <protection locked="0"/>
    </xf>
    <xf numFmtId="168" fontId="43" fillId="12" borderId="47" xfId="6" applyAlignment="1" applyBorder="1" applyFont="1" applyNumberFormat="1" applyFill="1" applyProtection="1">
      <alignment horizontal="center" vertical="center" wrapText="1"/>
      <protection hidden="1"/>
    </xf>
    <xf numFmtId="168" fontId="34" fillId="12" borderId="33" xfId="6" applyAlignment="1" applyBorder="1" applyFont="1" applyNumberFormat="1" applyFill="1" applyProtection="1">
      <alignment horizontal="center" vertical="center" wrapText="1"/>
      <protection hidden="1"/>
    </xf>
    <xf numFmtId="168" fontId="34" fillId="12" borderId="34" xfId="6" applyAlignment="1" applyBorder="1" applyFont="1" applyNumberFormat="1" applyFill="1" applyProtection="1">
      <alignment horizontal="center" vertical="center" wrapText="1"/>
      <protection hidden="1"/>
    </xf>
    <xf numFmtId="168" fontId="34" fillId="12" borderId="24" xfId="6" applyAlignment="1" applyBorder="1" applyFont="1" applyNumberFormat="1" applyFill="1" applyProtection="1">
      <alignment horizontal="center" vertical="center" wrapText="1"/>
      <protection hidden="1"/>
    </xf>
    <xf numFmtId="168" fontId="43" fillId="12" borderId="17" xfId="17" applyAlignment="1" applyBorder="1" applyFont="1" applyNumberFormat="1" applyFill="1" applyProtection="1">
      <alignment horizontal="center" vertical="center"/>
      <protection hidden="1"/>
    </xf>
    <xf numFmtId="168" fontId="43" fillId="12" borderId="52" xfId="17" applyAlignment="1" applyBorder="1" applyFont="1" applyNumberFormat="1" applyFill="1" applyProtection="1">
      <alignment horizontal="center" vertical="center"/>
      <protection hidden="1"/>
    </xf>
    <xf numFmtId="10" fontId="43" fillId="15" borderId="49" xfId="6" applyAlignment="1" applyBorder="1" applyFont="1" applyNumberFormat="1" applyFill="1" applyProtection="1">
      <alignment horizontal="center" vertical="center" wrapText="1"/>
      <protection locked="0"/>
    </xf>
    <xf numFmtId="10" fontId="43" fillId="15" borderId="17" xfId="6" applyAlignment="1" applyBorder="1" applyFont="1" applyNumberFormat="1" applyFill="1" applyProtection="1">
      <alignment horizontal="center" vertical="center" wrapText="1"/>
      <protection locked="0"/>
    </xf>
    <xf numFmtId="170" fontId="43" fillId="12" borderId="49" xfId="6" applyAlignment="1" applyBorder="1" applyFont="1" applyNumberFormat="1" applyFill="1" applyProtection="1">
      <alignment horizontal="center" vertical="center" wrapText="1"/>
      <protection hidden="1"/>
    </xf>
    <xf numFmtId="168" fontId="43" fillId="12" borderId="72" xfId="6" applyAlignment="1" applyBorder="1" applyFont="1" applyNumberFormat="1" applyFill="1" applyProtection="1">
      <alignment horizontal="center" vertical="center" wrapText="1"/>
      <protection hidden="1"/>
    </xf>
    <xf numFmtId="168" fontId="43" fillId="12" borderId="39" xfId="6" applyAlignment="1" applyBorder="1" applyFont="1" applyNumberFormat="1" applyFill="1" applyProtection="1">
      <alignment horizontal="center" vertical="center" wrapText="1"/>
      <protection hidden="1"/>
    </xf>
    <xf numFmtId="168" fontId="43" fillId="12" borderId="51" xfId="6" applyAlignment="1" applyBorder="1" applyFont="1" applyNumberFormat="1" applyFill="1" applyProtection="1">
      <alignment horizontal="center" vertical="center" wrapText="1"/>
      <protection hidden="1"/>
    </xf>
    <xf numFmtId="168" fontId="43" fillId="12" borderId="40" xfId="6" applyAlignment="1" applyBorder="1" applyFont="1" applyNumberFormat="1" applyFill="1" applyProtection="1">
      <alignment horizontal="center" vertical="center" wrapText="1"/>
      <protection hidden="1"/>
    </xf>
    <xf numFmtId="168" fontId="43" fillId="12" borderId="53" xfId="6" applyAlignment="1" applyBorder="1" applyFont="1" applyNumberFormat="1" applyFill="1" applyProtection="1">
      <alignment horizontal="center" vertical="center" wrapText="1"/>
      <protection hidden="1"/>
    </xf>
    <xf numFmtId="10" fontId="43" fillId="15" borderId="27" xfId="6" applyAlignment="1" applyBorder="1" applyFont="1" applyNumberFormat="1" applyFill="1" applyProtection="1">
      <alignment horizontal="center" vertical="center" wrapText="1"/>
      <protection locked="0"/>
    </xf>
    <xf numFmtId="10" fontId="43" fillId="15" borderId="52" xfId="6" applyAlignment="1" applyBorder="1" applyFont="1" applyNumberFormat="1" applyFill="1" applyProtection="1">
      <alignment horizontal="center" vertical="center" wrapText="1"/>
      <protection locked="0"/>
    </xf>
    <xf numFmtId="168" fontId="42" fillId="12" borderId="5" xfId="0" applyAlignment="1" applyBorder="1" applyFont="1" applyNumberFormat="1" applyFill="1" applyProtection="1">
      <alignment horizontal="center" vertical="center"/>
      <protection hidden="1"/>
    </xf>
    <xf numFmtId="176" fontId="43" fillId="12" borderId="21" xfId="1" applyAlignment="1" applyBorder="1" applyFont="1" applyNumberFormat="1" applyFill="1" applyProtection="1">
      <alignment horizontal="center" vertical="center"/>
      <protection hidden="1"/>
    </xf>
    <xf numFmtId="176" fontId="43" fillId="12" borderId="97" xfId="1" applyAlignment="1" applyBorder="1" applyFont="1" applyNumberFormat="1" applyFill="1" applyProtection="1">
      <alignment horizontal="center" vertical="center"/>
      <protection hidden="1"/>
    </xf>
    <xf numFmtId="6" fontId="43" fillId="12" borderId="96" xfId="3" applyAlignment="1" applyBorder="1" applyFont="1" applyNumberFormat="1" applyFill="1" applyProtection="1">
      <alignment horizontal="center" vertical="center"/>
      <protection hidden="1"/>
    </xf>
    <xf numFmtId="176" fontId="43" fillId="12" borderId="60" xfId="1" applyAlignment="1" applyBorder="1" applyFont="1" applyNumberFormat="1" applyFill="1" applyProtection="1">
      <alignment horizontal="center" vertical="center"/>
      <protection hidden="1"/>
    </xf>
    <xf numFmtId="176" fontId="43" fillId="12" borderId="78" xfId="1" applyAlignment="1" applyBorder="1" applyFont="1" applyNumberFormat="1" applyFill="1" applyProtection="1">
      <alignment horizontal="center" vertical="center"/>
      <protection hidden="1"/>
    </xf>
    <xf numFmtId="176" fontId="43" fillId="12" borderId="96" xfId="1" applyAlignment="1" applyBorder="1" applyFont="1" applyNumberFormat="1" applyFill="1" applyProtection="1">
      <alignment horizontal="center" vertical="center"/>
      <protection hidden="1"/>
    </xf>
    <xf numFmtId="168" fontId="43" fillId="12" borderId="60" xfId="3" applyAlignment="1" applyBorder="1" applyFont="1" applyNumberFormat="1" applyFill="1" applyProtection="1">
      <alignment horizontal="center" vertical="center" wrapText="1"/>
      <protection hidden="1"/>
    </xf>
    <xf numFmtId="168" fontId="43" fillId="12" borderId="96" xfId="3" applyAlignment="1" applyBorder="1" applyFont="1" applyNumberFormat="1" applyFill="1" applyProtection="1">
      <alignment horizontal="center" vertical="center" wrapText="1"/>
      <protection hidden="1"/>
    </xf>
    <xf numFmtId="0" fontId="34" fillId="11" borderId="25" xfId="3" applyAlignment="1" applyBorder="1" applyFont="1" applyFill="1" applyProtection="1">
      <alignment horizontal="center" vertical="center"/>
      <protection hidden="1"/>
    </xf>
    <xf numFmtId="0" fontId="34" fillId="11" borderId="26" xfId="3" applyAlignment="1" applyBorder="1" applyFont="1" applyFill="1" applyProtection="1">
      <alignment horizontal="center" vertical="center"/>
      <protection hidden="1"/>
    </xf>
    <xf numFmtId="176" fontId="43" fillId="12" borderId="75" xfId="1" applyAlignment="1" applyBorder="1" applyFont="1" applyNumberFormat="1" applyFill="1" applyProtection="1">
      <alignment horizontal="center" vertical="center"/>
      <protection hidden="1"/>
    </xf>
    <xf numFmtId="176" fontId="43" fillId="12" borderId="76" xfId="1" applyAlignment="1" applyBorder="1" applyFont="1" applyNumberFormat="1" applyFill="1" applyProtection="1">
      <alignment horizontal="center" vertical="center"/>
      <protection hidden="1"/>
    </xf>
    <xf numFmtId="10" fontId="34" fillId="22" borderId="27" xfId="15" applyAlignment="1" applyBorder="1" applyFont="1" applyNumberFormat="1" applyFill="1" applyProtection="1">
      <alignment horizontal="center" vertical="center"/>
      <protection hidden="1"/>
    </xf>
    <xf numFmtId="10" fontId="34" fillId="22" borderId="21" xfId="15" applyAlignment="1" applyBorder="1" applyFont="1" applyNumberFormat="1" applyFill="1" applyProtection="1">
      <alignment horizontal="center" vertical="center"/>
      <protection hidden="1"/>
    </xf>
    <xf numFmtId="10" fontId="34" fillId="22" borderId="28" xfId="15" applyAlignment="1" applyBorder="1" applyFont="1" applyNumberFormat="1" applyFill="1" applyProtection="1">
      <alignment horizontal="center" vertical="center"/>
      <protection hidden="1"/>
    </xf>
    <xf numFmtId="0" fontId="10" fillId="25" borderId="4" xfId="8" applyAlignment="1" applyBorder="1" applyFont="1" applyFill="1">
      <alignment horizontal="left" vertical="center"/>
    </xf>
    <xf numFmtId="0" fontId="9" fillId="25" borderId="25" xfId="0" applyAlignment="1" applyBorder="1" applyFont="1" applyFill="1">
      <alignment horizontal="left" vertical="center"/>
    </xf>
    <xf numFmtId="0" fontId="9" fillId="25" borderId="26" xfId="0" applyAlignment="1" applyBorder="1" applyFont="1" applyFill="1">
      <alignment horizontal="left" vertical="center"/>
    </xf>
    <xf numFmtId="0" fontId="10" fillId="0" borderId="7" xfId="8" applyAlignment="1" applyBorder="1" applyFont="1">
      <alignment horizontal="left" vertical="center"/>
    </xf>
    <xf numFmtId="0" fontId="9" fillId="0" borderId="8" xfId="0" applyAlignment="1" applyBorder="1" applyFont="1">
      <alignment horizontal="left" vertical="center"/>
    </xf>
    <xf numFmtId="0" fontId="9" fillId="0" borderId="33" xfId="0" applyAlignment="1" applyBorder="1" applyFont="1">
      <alignment horizontal="left" vertical="center"/>
    </xf>
    <xf numFmtId="0" fontId="10" fillId="0" borderId="4" xfId="8" applyAlignment="1" applyBorder="1" applyFont="1">
      <alignment horizontal="left" vertical="center"/>
    </xf>
    <xf numFmtId="0" fontId="9" fillId="0" borderId="25" xfId="0" applyAlignment="1" applyBorder="1" applyFont="1">
      <alignment horizontal="left" vertical="center"/>
    </xf>
    <xf numFmtId="0" fontId="9" fillId="0" borderId="26" xfId="0" applyAlignment="1" applyBorder="1" applyFont="1">
      <alignment horizontal="left" vertical="center"/>
    </xf>
    <xf numFmtId="0" fontId="11" fillId="0" borderId="56" xfId="8" applyAlignment="1" applyBorder="1" applyFont="1">
      <alignment horizontal="center" vertical="center"/>
    </xf>
    <xf numFmtId="0" fontId="9" fillId="0" borderId="98" xfId="0" applyAlignment="1" applyBorder="1" applyFont="1">
      <alignment horizontal="center" vertical="center"/>
    </xf>
    <xf numFmtId="0" fontId="11" fillId="0" borderId="58" xfId="8" applyAlignment="1" applyBorder="1" applyFont="1">
      <alignment horizontal="center" vertical="top" wrapText="1"/>
    </xf>
    <xf numFmtId="0" fontId="11" fillId="0" borderId="66" xfId="8" applyAlignment="1" applyBorder="1" applyFont="1">
      <alignment horizontal="center" vertical="top" wrapText="1"/>
    </xf>
    <xf numFmtId="0" fontId="11" fillId="0" borderId="81" xfId="8" applyAlignment="1" applyBorder="1" applyFont="1">
      <alignment horizontal="center" vertical="top" wrapText="1"/>
    </xf>
    <xf numFmtId="0" fontId="9" fillId="0" borderId="81" xfId="0" applyAlignment="1" applyBorder="1" applyFont="1">
      <alignment horizontal="center" vertical="top" wrapText="1"/>
    </xf>
    <xf numFmtId="0" fontId="11" fillId="0" borderId="74" xfId="8" applyAlignment="1" applyBorder="1" applyFont="1">
      <alignment horizontal="center" vertical="top" wrapText="1"/>
    </xf>
    <xf numFmtId="0" fontId="9" fillId="0" borderId="74" xfId="0" applyAlignment="1" applyBorder="1" applyFont="1">
      <alignment horizontal="center" vertical="top" wrapText="1"/>
    </xf>
    <xf numFmtId="0" fontId="9" fillId="0" borderId="71" xfId="0" applyAlignment="1" applyBorder="1" applyFont="1">
      <alignment horizontal="center" vertical="top" wrapText="1"/>
    </xf>
    <xf numFmtId="0" fontId="11" fillId="0" borderId="54" xfId="8" applyAlignment="1" applyBorder="1" applyFont="1">
      <alignment horizontal="center" vertical="center"/>
    </xf>
    <xf numFmtId="0" fontId="9" fillId="0" borderId="54" xfId="0" applyAlignment="1" applyBorder="1" applyFont="1">
      <alignment horizontal="center" vertical="center"/>
    </xf>
    <xf numFmtId="0" fontId="11" fillId="24" borderId="89" xfId="8" applyAlignment="1" applyBorder="1" applyFont="1" applyFill="1">
      <alignment horizontal="center" vertical="center" wrapText="1"/>
    </xf>
    <xf numFmtId="0" fontId="9" fillId="24" borderId="89" xfId="0" applyAlignment="1" applyBorder="1" applyFont="1" applyFill="1">
      <alignment horizontal="center" vertical="center" wrapText="1"/>
    </xf>
    <xf numFmtId="172" fontId="11" fillId="4" borderId="89" xfId="8" applyAlignment="1" applyBorder="1" applyFont="1" applyNumberFormat="1" applyFill="1" applyProtection="1">
      <alignment horizontal="center" vertical="center" wrapText="1"/>
      <protection locked="0"/>
    </xf>
    <xf numFmtId="172" fontId="9" fillId="4" borderId="89" xfId="0" applyAlignment="1" applyBorder="1" applyFont="1" applyNumberFormat="1" applyFill="1" applyProtection="1">
      <alignment horizontal="center" vertical="center" wrapText="1"/>
      <protection locked="0"/>
    </xf>
    <xf numFmtId="172" fontId="11" fillId="24" borderId="89" xfId="11" applyAlignment="1" applyBorder="1" applyFont="1" applyNumberFormat="1" applyFill="1">
      <alignment horizontal="center" vertical="center" wrapText="1"/>
    </xf>
    <xf numFmtId="172" fontId="9" fillId="24" borderId="89" xfId="0" applyAlignment="1" applyBorder="1" applyFont="1" applyNumberFormat="1" applyFill="1">
      <alignment horizontal="center" vertical="center" wrapText="1"/>
    </xf>
    <xf numFmtId="168" fontId="11" fillId="24" borderId="89" xfId="11" applyAlignment="1" applyBorder="1" applyFont="1" applyNumberFormat="1" applyFill="1" applyProtection="1">
      <alignment horizontal="center" vertical="center" wrapText="1"/>
      <protection locked="0"/>
    </xf>
    <xf numFmtId="168" fontId="9" fillId="24" borderId="89" xfId="0" applyAlignment="1" applyBorder="1" applyFont="1" applyNumberFormat="1" applyFill="1">
      <alignment horizontal="center" vertical="center" wrapText="1"/>
    </xf>
    <xf numFmtId="168" fontId="11" fillId="24" borderId="89" xfId="8" applyAlignment="1" applyBorder="1" applyFont="1" applyNumberFormat="1" applyFill="1">
      <alignment horizontal="center" vertical="center" wrapText="1"/>
    </xf>
    <xf numFmtId="168" fontId="9" fillId="24" borderId="53" xfId="0" applyAlignment="1" applyBorder="1" applyFont="1" applyNumberFormat="1" applyFill="1">
      <alignment horizontal="center" vertical="center" wrapText="1"/>
    </xf>
    <xf numFmtId="0" fontId="10" fillId="19" borderId="4" xfId="8" applyAlignment="1" applyBorder="1" applyFont="1" applyFill="1">
      <alignment horizontal="left" vertical="center"/>
    </xf>
    <xf numFmtId="0" fontId="9" fillId="19" borderId="25" xfId="0" applyAlignment="1" applyBorder="1" applyFont="1" applyFill="1">
      <alignment horizontal="left" vertical="center"/>
    </xf>
    <xf numFmtId="0" fontId="9" fillId="19" borderId="26" xfId="0" applyAlignment="1" applyBorder="1" applyFont="1" applyFill="1">
      <alignment horizontal="left" vertical="center"/>
    </xf>
    <xf numFmtId="0" fontId="10" fillId="0" borderId="64" xfId="8" applyAlignment="1" applyBorder="1" applyFont="1">
      <alignment horizontal="left" indent="1"/>
    </xf>
    <xf numFmtId="0" fontId="9" fillId="0" borderId="25" xfId="0" applyAlignment="1" applyBorder="1" applyFont="1">
      <alignment horizontal="left" indent="1"/>
    </xf>
    <xf numFmtId="0" fontId="9" fillId="0" borderId="30" xfId="0" applyAlignment="1" applyBorder="1" applyFont="1">
      <alignment horizontal="left" indent="1"/>
    </xf>
    <xf numFmtId="168" fontId="10" fillId="10" borderId="64" xfId="8" applyAlignment="1" applyBorder="1" applyFont="1" applyNumberFormat="1" applyFill="1">
      <alignment horizontal="center" vertical="center"/>
    </xf>
    <xf numFmtId="168" fontId="9" fillId="10" borderId="25" xfId="0" applyAlignment="1" applyBorder="1" applyFont="1" applyNumberFormat="1" applyFill="1">
      <alignment horizontal="center" vertical="center"/>
    </xf>
    <xf numFmtId="168" fontId="9" fillId="10" borderId="26" xfId="0" applyAlignment="1" applyBorder="1" applyFont="1" applyNumberFormat="1" applyFill="1">
      <alignment horizontal="center" vertical="center"/>
    </xf>
    <xf numFmtId="0" fontId="11" fillId="24" borderId="12" xfId="8" applyAlignment="1" applyBorder="1" applyFont="1" applyFill="1">
      <alignment horizontal="center" vertical="center" wrapText="1"/>
    </xf>
    <xf numFmtId="0" fontId="9" fillId="24" borderId="13" xfId="0" applyAlignment="1" applyBorder="1" applyFont="1" applyFill="1">
      <alignment horizontal="center" vertical="center" wrapText="1"/>
    </xf>
    <xf numFmtId="172" fontId="11" fillId="4" borderId="52" xfId="8" applyAlignment="1" applyBorder="1" applyFont="1" applyNumberFormat="1" applyFill="1" applyProtection="1">
      <alignment horizontal="center" vertical="center" wrapText="1"/>
      <protection locked="0"/>
    </xf>
    <xf numFmtId="172" fontId="9" fillId="4" borderId="80" xfId="0" applyAlignment="1" applyBorder="1" applyFont="1" applyNumberFormat="1" applyFill="1" applyProtection="1">
      <alignment horizontal="center" vertical="center" wrapText="1"/>
      <protection locked="0"/>
    </xf>
    <xf numFmtId="172" fontId="11" fillId="24" borderId="10" xfId="8" applyAlignment="1" applyBorder="1" applyFont="1" applyNumberFormat="1" applyFill="1">
      <alignment horizontal="center" vertical="center" wrapText="1"/>
    </xf>
    <xf numFmtId="172" fontId="9" fillId="24" borderId="13" xfId="0" applyAlignment="1" applyBorder="1" applyFont="1" applyNumberFormat="1" applyFill="1">
      <alignment horizontal="center" vertical="center" wrapText="1"/>
    </xf>
    <xf numFmtId="168" fontId="11" fillId="24" borderId="12" xfId="8" applyAlignment="1" applyBorder="1" applyFont="1" applyNumberFormat="1" applyFill="1" applyProtection="1">
      <alignment horizontal="center" vertical="center" wrapText="1"/>
      <protection locked="0"/>
    </xf>
    <xf numFmtId="168" fontId="9" fillId="24" borderId="13" xfId="0" applyAlignment="1" applyBorder="1" applyFont="1" applyNumberFormat="1" applyFill="1">
      <alignment horizontal="center" vertical="center" wrapText="1"/>
    </xf>
    <xf numFmtId="168" fontId="11" fillId="24" borderId="12" xfId="8" applyAlignment="1" applyBorder="1" applyFont="1" applyNumberFormat="1" applyFill="1">
      <alignment horizontal="center" vertical="center" wrapText="1"/>
    </xf>
    <xf numFmtId="168" fontId="9" fillId="24" borderId="10" xfId="0" applyAlignment="1" applyBorder="1" applyFont="1" applyNumberFormat="1" applyFill="1">
      <alignment horizontal="center" vertical="center" wrapText="1"/>
    </xf>
    <xf numFmtId="168" fontId="9" fillId="24" borderId="99" xfId="0" applyAlignment="1" applyBorder="1" applyFont="1" applyNumberFormat="1" applyFill="1">
      <alignment horizontal="center" vertical="center" wrapText="1"/>
    </xf>
    <xf numFmtId="168" fontId="11" fillId="10" borderId="89" xfId="8" applyAlignment="1" applyBorder="1" applyFont="1" applyNumberFormat="1" applyFill="1">
      <alignment horizontal="center" vertical="center" wrapText="1"/>
    </xf>
    <xf numFmtId="0" fontId="9" fillId="0" borderId="53" xfId="0" applyAlignment="1" applyBorder="1" applyFont="1">
      <alignment horizontal="center" vertical="center"/>
    </xf>
    <xf numFmtId="168" fontId="11" fillId="10" borderId="1" xfId="8" applyAlignment="1" applyBorder="1" applyFont="1" applyNumberFormat="1" applyFill="1">
      <alignment horizontal="center" vertical="center"/>
    </xf>
    <xf numFmtId="0" fontId="9" fillId="0" borderId="51" xfId="0" applyAlignment="1" applyBorder="1" applyFont="1">
      <alignment horizontal="center" vertical="center"/>
    </xf>
    <xf numFmtId="168" fontId="10" fillId="10" borderId="89" xfId="8" applyAlignment="1" applyBorder="1" applyFont="1" applyNumberFormat="1" applyFill="1">
      <alignment horizontal="center" vertical="center"/>
    </xf>
    <xf numFmtId="0" fontId="11" fillId="10" borderId="1" xfId="8" applyAlignment="1" applyBorder="1" applyFont="1" applyFill="1">
      <alignment horizontal="center" vertical="center" wrapText="1"/>
    </xf>
    <xf numFmtId="0" fontId="9" fillId="0" borderId="1" xfId="0" applyAlignment="1" applyBorder="1" applyFont="1">
      <alignment horizontal="center" vertical="center" wrapText="1"/>
    </xf>
    <xf numFmtId="0" fontId="11" fillId="0" borderId="58" xfId="0" applyAlignment="1" applyBorder="1" applyFont="1">
      <alignment horizontal="center" vertical="top" wrapText="1"/>
    </xf>
    <xf numFmtId="0" fontId="57" fillId="0" borderId="75" xfId="0" applyAlignment="1" applyBorder="1" applyFont="1">
      <alignment horizontal="center" vertical="top" wrapText="1"/>
    </xf>
    <xf numFmtId="0" fontId="57" fillId="0" borderId="76" xfId="0" applyAlignment="1" applyBorder="1" applyFont="1">
      <alignment horizontal="center" vertical="top" wrapText="1"/>
    </xf>
    <xf numFmtId="168" fontId="11" fillId="10" borderId="27" xfId="0" applyAlignment="1" applyBorder="1" applyFont="1" applyNumberFormat="1" applyFill="1">
      <alignment horizontal="center" vertical="center" wrapText="1"/>
    </xf>
    <xf numFmtId="168" fontId="57" fillId="0" borderId="21" xfId="0" applyAlignment="1" applyBorder="1" applyFont="1" applyNumberFormat="1">
      <alignment horizontal="center" vertical="center"/>
    </xf>
    <xf numFmtId="168" fontId="57" fillId="0" borderId="97" xfId="0" applyAlignment="1" applyBorder="1" applyFont="1" applyNumberFormat="1">
      <alignment horizontal="center" vertical="center"/>
    </xf>
    <xf numFmtId="172" fontId="11" fillId="4" borderId="1" xfId="8" applyAlignment="1" applyBorder="1" applyFont="1" applyNumberFormat="1" applyFill="1" applyProtection="1">
      <alignment horizontal="center" vertical="center" wrapText="1"/>
      <protection locked="0"/>
    </xf>
    <xf numFmtId="172" fontId="9" fillId="4" borderId="1" xfId="0" applyAlignment="1" applyBorder="1" applyFont="1" applyNumberFormat="1" applyFill="1" applyProtection="1">
      <alignment horizontal="center" vertical="center" wrapText="1"/>
      <protection locked="0"/>
    </xf>
    <xf numFmtId="172" fontId="11" fillId="10" borderId="1" xfId="8" applyAlignment="1" applyBorder="1" applyFont="1" applyNumberFormat="1" applyFill="1">
      <alignment horizontal="center" vertical="center" wrapText="1"/>
    </xf>
    <xf numFmtId="0" fontId="9" fillId="10" borderId="1" xfId="0" applyAlignment="1" applyBorder="1" applyFont="1" applyFill="1">
      <alignment horizontal="center" vertical="center" wrapText="1"/>
    </xf>
    <xf numFmtId="0" fontId="57" fillId="0" borderId="66" xfId="0" applyAlignment="1" applyBorder="1" applyFont="1">
      <alignment horizontal="center" wrapText="1"/>
    </xf>
    <xf numFmtId="168" fontId="9" fillId="10" borderId="27" xfId="0" applyAlignment="1" applyBorder="1" applyFont="1" applyNumberFormat="1" applyFill="1">
      <alignment horizontal="center" vertical="center" wrapText="1"/>
    </xf>
    <xf numFmtId="168" fontId="0" fillId="10" borderId="28" xfId="0" applyAlignment="1" applyBorder="1" applyNumberFormat="1" applyFill="1">
      <alignment horizontal="center" wrapText="1"/>
    </xf>
    <xf numFmtId="168" fontId="10" fillId="10" borderId="52" xfId="8" applyAlignment="1" applyBorder="1" applyFont="1" applyNumberFormat="1" applyFill="1" applyProtection="1">
      <alignment horizontal="left" vertical="center"/>
    </xf>
    <xf numFmtId="168" fontId="10" fillId="10" borderId="78" xfId="8" applyAlignment="1" applyBorder="1" applyFont="1" applyNumberFormat="1" applyFill="1" applyProtection="1">
      <alignment horizontal="left" vertical="center"/>
    </xf>
    <xf numFmtId="168" fontId="10" fillId="10" borderId="96" xfId="8" applyAlignment="1" applyBorder="1" applyFont="1" applyNumberFormat="1" applyFill="1" applyProtection="1">
      <alignment horizontal="left" vertical="center"/>
    </xf>
    <xf numFmtId="172" fontId="11" fillId="10" borderId="89" xfId="11" applyAlignment="1" applyBorder="1" applyFont="1" applyNumberFormat="1" applyFill="1">
      <alignment horizontal="center" vertical="center" wrapText="1"/>
    </xf>
    <xf numFmtId="172" fontId="9" fillId="0" borderId="89" xfId="0" applyAlignment="1" applyBorder="1" applyFont="1" applyNumberFormat="1">
      <alignment horizontal="center" vertical="center" wrapText="1"/>
    </xf>
    <xf numFmtId="172" fontId="11" fillId="4" borderId="89" xfId="11" applyAlignment="1" applyBorder="1" applyFont="1" applyNumberFormat="1" applyFill="1" applyProtection="1">
      <alignment horizontal="center" vertical="center" wrapText="1"/>
      <protection locked="0"/>
    </xf>
    <xf numFmtId="0" fontId="9" fillId="0" borderId="89" xfId="0" applyAlignment="1" applyBorder="1" applyFont="1">
      <alignment horizontal="center" vertical="center" wrapText="1"/>
    </xf>
    <xf numFmtId="0" fontId="10" fillId="0" borderId="56" xfId="8" applyAlignment="1" applyBorder="1" applyFont="1">
      <alignment horizontal="left" vertical="center"/>
    </xf>
    <xf numFmtId="0" fontId="9" fillId="0" borderId="100" xfId="0" applyAlignment="1" applyBorder="1" applyFont="1">
      <alignment horizontal="left" vertical="center"/>
    </xf>
    <xf numFmtId="0" fontId="9" fillId="0" borderId="57" xfId="0" applyAlignment="1" applyBorder="1" applyFont="1">
      <alignment horizontal="left" vertical="center"/>
    </xf>
    <xf numFmtId="0" fontId="10" fillId="0" borderId="89" xfId="8" applyAlignment="1" applyBorder="1" applyFont="1">
      <alignment horizontal="left" indent="1"/>
    </xf>
    <xf numFmtId="0" fontId="9" fillId="0" borderId="89" xfId="0" applyAlignment="1" applyBorder="1" applyFont="1">
      <alignment horizontal="left" indent="1"/>
    </xf>
    <xf numFmtId="0" fontId="11" fillId="0" borderId="1" xfId="8" applyAlignment="1" applyBorder="1" applyFont="1">
      <alignment horizontal="left" indent="1"/>
    </xf>
    <xf numFmtId="0" fontId="9" fillId="0" borderId="1" xfId="0" applyAlignment="1" applyBorder="1" applyFont="1">
      <alignment horizontal="left" indent="1"/>
    </xf>
    <xf numFmtId="0" fontId="11" fillId="0" borderId="48" xfId="8" applyAlignment="1" applyBorder="1" applyFont="1">
      <alignment horizontal="center" vertical="center"/>
    </xf>
    <xf numFmtId="0" fontId="9" fillId="0" borderId="40" xfId="0" applyAlignment="1" applyBorder="1" applyFont="1">
      <alignment vertical="center"/>
    </xf>
    <xf numFmtId="0" fontId="11" fillId="0" borderId="81" xfId="8" applyAlignment="1" applyBorder="1" applyFont="1">
      <alignment horizontal="center" vertical="center" wrapText="1"/>
    </xf>
    <xf numFmtId="0" fontId="9" fillId="0" borderId="81" xfId="0" applyAlignment="1" applyBorder="1" applyFont="1">
      <alignment horizontal="center" vertical="center" wrapText="1"/>
    </xf>
    <xf numFmtId="0" fontId="9" fillId="0" borderId="89" xfId="0" applyAlignment="1" applyBorder="1" applyFont="1">
      <alignment horizontal="center" vertical="center"/>
    </xf>
    <xf numFmtId="0" fontId="9" fillId="0" borderId="39" xfId="0" applyAlignment="1" applyBorder="1" applyFont="1">
      <alignment vertical="center"/>
    </xf>
    <xf numFmtId="0" fontId="11" fillId="0" borderId="38" xfId="8" applyAlignment="1" applyBorder="1" applyFont="1">
      <alignment horizontal="left" vertical="center"/>
    </xf>
    <xf numFmtId="0" fontId="11" fillId="0" borderId="38" xfId="0" applyAlignment="1" applyBorder="1" applyFont="1"/>
    <xf numFmtId="0" fontId="11" fillId="0" borderId="45" xfId="8" applyAlignment="1" applyBorder="1" applyFont="1">
      <alignment horizontal="left" vertical="center"/>
    </xf>
    <xf numFmtId="0" fontId="11" fillId="0" borderId="45" xfId="0" applyAlignment="1" applyBorder="1" applyFont="1"/>
    <xf numFmtId="0" fontId="3" fillId="0" borderId="6" xfId="8" applyAlignment="1" applyBorder="1" applyFont="1">
      <alignment horizontal="center" vertical="center" wrapText="1"/>
    </xf>
    <xf numFmtId="0" fontId="11" fillId="0" borderId="6" xfId="0" applyAlignment="1" applyBorder="1" applyFont="1"/>
    <xf numFmtId="0" fontId="29" fillId="0" borderId="0" xfId="8" applyAlignment="1" applyFont="1">
      <alignment horizontal="center" vertical="center"/>
    </xf>
    <xf numFmtId="0" fontId="19" fillId="0" borderId="0" xfId="0" applyAlignment="1" applyFont="1">
      <alignment horizontal="center" vertical="center"/>
    </xf>
    <xf numFmtId="0" fontId="11" fillId="10" borderId="58" xfId="8" applyAlignment="1" applyBorder="1" applyFont="1" applyFill="1" applyProtection="1">
      <alignment horizontal="left" vertical="center"/>
    </xf>
    <xf numFmtId="0" fontId="11" fillId="10" borderId="75" xfId="8" applyAlignment="1" applyBorder="1" applyFont="1" applyFill="1" applyProtection="1">
      <alignment horizontal="left" vertical="center"/>
    </xf>
    <xf numFmtId="0" fontId="11" fillId="10" borderId="76" xfId="8" applyAlignment="1" applyBorder="1" applyFont="1" applyFill="1" applyProtection="1">
      <alignment horizontal="left" vertical="center"/>
    </xf>
    <xf numFmtId="0" fontId="11" fillId="4" borderId="27" xfId="8" applyAlignment="1" applyBorder="1" applyFont="1" applyFill="1" applyProtection="1">
      <alignment horizontal="left" vertical="center"/>
      <protection locked="0"/>
    </xf>
    <xf numFmtId="0" fontId="11" fillId="4" borderId="21" xfId="8" applyAlignment="1" applyBorder="1" applyFont="1" applyFill="1" applyProtection="1">
      <alignment horizontal="left" vertical="center"/>
      <protection locked="0"/>
    </xf>
    <xf numFmtId="0" fontId="11" fillId="4" borderId="97" xfId="8" applyAlignment="1" applyBorder="1" applyFont="1" applyFill="1" applyProtection="1">
      <alignment horizontal="left" vertical="center"/>
      <protection locked="0"/>
    </xf>
    <xf numFmtId="0" fontId="11" fillId="10" borderId="21" xfId="8" applyAlignment="1" applyBorder="1" applyFont="1" applyFill="1">
      <alignment horizontal="left" vertical="center"/>
    </xf>
    <xf numFmtId="0" fontId="11" fillId="10" borderId="97" xfId="8" applyAlignment="1" applyBorder="1" applyFont="1" applyFill="1">
      <alignment horizontal="left" vertical="center"/>
    </xf>
    <xf numFmtId="168" fontId="11" fillId="10" borderId="61" xfId="8" applyAlignment="1" applyBorder="1" applyFont="1" applyNumberFormat="1" applyFill="1">
      <alignment horizontal="center" vertical="center"/>
    </xf>
    <xf numFmtId="0" fontId="11" fillId="0" borderId="97" xfId="0" applyAlignment="1" applyBorder="1" applyFont="1">
      <alignment horizontal="center" vertical="center"/>
    </xf>
    <xf numFmtId="168" fontId="11" fillId="10" borderId="60" xfId="8" applyAlignment="1" applyBorder="1" applyFont="1" applyNumberFormat="1" applyFill="1">
      <alignment horizontal="center" vertical="center"/>
    </xf>
    <xf numFmtId="0" fontId="11" fillId="0" borderId="96" xfId="0" applyAlignment="1" applyBorder="1" applyFont="1">
      <alignment horizontal="center" vertical="center"/>
    </xf>
    <xf numFmtId="0" fontId="10" fillId="26" borderId="7" xfId="8" applyAlignment="1" applyBorder="1" applyFont="1" applyFill="1">
      <alignment horizontal="left" vertical="center"/>
    </xf>
    <xf numFmtId="0" fontId="9" fillId="26" borderId="8" xfId="0" applyAlignment="1" applyBorder="1" applyFont="1" applyFill="1">
      <alignment horizontal="left" vertical="center"/>
    </xf>
    <xf numFmtId="0" fontId="9" fillId="26" borderId="33" xfId="0" applyAlignment="1" applyBorder="1" applyFont="1" applyFill="1">
      <alignment horizontal="left" vertical="center"/>
    </xf>
    <xf numFmtId="0" fontId="11" fillId="0" borderId="81" xfId="0" applyAlignment="1" applyBorder="1" applyFont="1">
      <alignment horizontal="center" vertical="top" wrapText="1"/>
    </xf>
    <xf numFmtId="0" fontId="11" fillId="0" borderId="81" xfId="0" applyAlignment="1" applyBorder="1" applyFont="1">
      <alignment horizontal="center" wrapText="1"/>
    </xf>
    <xf numFmtId="0" fontId="57" fillId="0" borderId="81" xfId="0" applyAlignment="1" applyBorder="1" applyFont="1">
      <alignment horizontal="center" wrapText="1"/>
    </xf>
    <xf numFmtId="0" fontId="57" fillId="0" borderId="71" xfId="0" applyAlignment="1" applyBorder="1" applyFont="1">
      <alignment horizontal="center" wrapText="1"/>
    </xf>
    <xf numFmtId="9" fontId="11" fillId="10" borderId="89" xfId="0" applyAlignment="1" applyBorder="1" applyFont="1" applyNumberFormat="1" applyFill="1">
      <alignment horizontal="center" vertical="center" wrapText="1"/>
    </xf>
    <xf numFmtId="9" fontId="11" fillId="10" borderId="89" xfId="0" applyAlignment="1" applyBorder="1" applyFont="1" applyNumberFormat="1" applyFill="1">
      <alignment horizontal="center" wrapText="1"/>
    </xf>
    <xf numFmtId="9" fontId="11" fillId="4" borderId="89" xfId="0" applyAlignment="1" applyBorder="1" applyFont="1" applyNumberFormat="1" applyFill="1" applyProtection="1">
      <alignment horizontal="center" vertical="center" wrapText="1"/>
      <protection locked="0"/>
    </xf>
    <xf numFmtId="172" fontId="11" fillId="10" borderId="89" xfId="0" applyAlignment="1" applyBorder="1" applyFont="1" applyNumberFormat="1" applyFill="1">
      <alignment horizontal="center" vertical="center" wrapText="1"/>
    </xf>
    <xf numFmtId="172" fontId="57" fillId="10" borderId="89" xfId="0" applyAlignment="1" applyBorder="1" applyFont="1" applyNumberFormat="1" applyFill="1">
      <alignment horizontal="center" vertical="center" wrapText="1"/>
    </xf>
    <xf numFmtId="168" fontId="11" fillId="10" borderId="89" xfId="0" applyAlignment="1" applyBorder="1" applyFont="1" applyNumberFormat="1" applyFill="1">
      <alignment horizontal="center" vertical="center" wrapText="1"/>
    </xf>
    <xf numFmtId="168" fontId="57" fillId="10" borderId="89" xfId="0" applyAlignment="1" applyBorder="1" applyFont="1" applyNumberFormat="1" applyFill="1">
      <alignment horizontal="center" vertical="center" wrapText="1"/>
    </xf>
    <xf numFmtId="168" fontId="57" fillId="10" borderId="53" xfId="0" applyAlignment="1" applyBorder="1" applyFont="1" applyNumberFormat="1" applyFill="1">
      <alignment horizontal="center" vertical="center" wrapText="1"/>
    </xf>
    <xf numFmtId="0" fontId="10" fillId="9" borderId="12" xfId="0" applyAlignment="1" applyBorder="1" applyFont="1" applyFill="1" applyProtection="1">
      <alignment horizontal="center" vertical="center"/>
      <protection hidden="1"/>
    </xf>
    <xf numFmtId="0" fontId="10" fillId="9" borderId="10" xfId="0" applyAlignment="1" applyBorder="1" applyFont="1" applyFill="1" applyProtection="1">
      <alignment horizontal="center" vertical="center"/>
      <protection hidden="1"/>
    </xf>
    <xf numFmtId="0" fontId="10" fillId="9" borderId="13" xfId="0" applyAlignment="1" applyBorder="1" applyFont="1" applyFill="1" applyProtection="1">
      <alignment horizontal="center" vertical="center"/>
      <protection hidden="1"/>
    </xf>
    <xf numFmtId="0" fontId="16" fillId="8" borderId="0" xfId="0" applyAlignment="1" applyBorder="1" applyFont="1" applyFill="1" applyProtection="1">
      <alignment horizontal="center" vertical="center" wrapText="1"/>
      <protection hidden="1"/>
    </xf>
    <xf numFmtId="0" fontId="17" fillId="8" borderId="0" xfId="0" applyAlignment="1" applyBorder="1" applyFont="1" applyFill="1" applyProtection="1">
      <alignment horizontal="center" vertical="center" wrapText="1"/>
      <protection hidden="1"/>
    </xf>
    <xf numFmtId="0" fontId="0" fillId="0" borderId="0" xfId="0" applyAlignment="1" applyProtection="1">
      <alignment vertical="center" wrapText="1"/>
      <protection hidden="1"/>
    </xf>
    <xf numFmtId="0" fontId="10" fillId="9" borderId="10" xfId="0" applyAlignment="1" applyBorder="1" applyFont="1" applyFill="1" applyProtection="1">
      <alignment horizontal="left" vertical="center"/>
      <protection hidden="1"/>
    </xf>
    <xf numFmtId="0" fontId="10" fillId="9" borderId="11" xfId="0" applyAlignment="1" applyBorder="1" applyFont="1" applyFill="1" applyProtection="1">
      <alignment horizontal="left" vertical="center"/>
      <protection hidden="1"/>
    </xf>
    <xf numFmtId="0" fontId="10" fillId="9" borderId="10" xfId="0" applyAlignment="1" applyBorder="1" applyFont="1" applyFill="1" applyProtection="1">
      <alignment horizontal="center" vertical="center" wrapText="1"/>
      <protection hidden="1"/>
    </xf>
    <xf numFmtId="0" fontId="10" fillId="9" borderId="11" xfId="0" applyAlignment="1" applyBorder="1" applyFont="1" applyFill="1" applyProtection="1">
      <alignment horizontal="center" vertical="center" wrapText="1"/>
      <protection hidden="1"/>
    </xf>
    <xf numFmtId="0" fontId="0" fillId="0" borderId="0" xfId="0" applyAlignment="1" applyBorder="1" applyProtection="1">
      <alignment horizontal="center"/>
      <protection hidden="1"/>
    </xf>
    <xf numFmtId="0" fontId="10" fillId="8" borderId="7" xfId="0" applyAlignment="1" applyBorder="1" applyFont="1" applyFill="1" applyProtection="1">
      <alignment horizontal="left" vertical="center"/>
      <protection hidden="1"/>
    </xf>
    <xf numFmtId="0" fontId="10" fillId="8" borderId="9" xfId="0" applyAlignment="1" applyBorder="1" applyFont="1" applyFill="1" applyProtection="1">
      <alignment horizontal="left" vertical="center"/>
      <protection hidden="1"/>
    </xf>
    <xf numFmtId="0" fontId="10" fillId="8" borderId="46" xfId="0" applyAlignment="1" applyBorder="1" applyFont="1" applyFill="1" applyProtection="1">
      <alignment horizontal="left" vertical="center"/>
      <protection hidden="1"/>
    </xf>
    <xf numFmtId="0" fontId="0" fillId="0" borderId="0" xfId="0" applyAlignment="1" applyBorder="1" applyProtection="1">
      <alignment horizontal="center" vertical="center" wrapText="1"/>
      <protection hidden="1"/>
    </xf>
    <xf numFmtId="0" fontId="10" fillId="8" borderId="7" xfId="0" applyAlignment="1" applyBorder="1" applyFont="1" applyFill="1" applyProtection="1">
      <alignment horizontal="left" vertical="center" wrapText="1"/>
      <protection hidden="1"/>
    </xf>
    <xf numFmtId="0" fontId="10" fillId="8" borderId="9" xfId="0" applyAlignment="1" applyBorder="1" applyFont="1" applyFill="1" applyProtection="1">
      <alignment horizontal="left" vertical="center" wrapText="1"/>
      <protection hidden="1"/>
    </xf>
    <xf numFmtId="0" fontId="10" fillId="8" borderId="46" xfId="0" applyAlignment="1" applyBorder="1" applyFont="1" applyFill="1" applyProtection="1">
      <alignment horizontal="left" vertical="center" wrapText="1"/>
      <protection hidden="1"/>
    </xf>
    <xf numFmtId="0" fontId="27" fillId="14" borderId="27" xfId="0" applyAlignment="1" applyBorder="1" applyFont="1" applyFill="1" applyProtection="1">
      <alignment horizontal="left" vertical="center"/>
      <protection hidden="1"/>
    </xf>
    <xf numFmtId="0" fontId="27" fillId="14" borderId="21" xfId="0" applyAlignment="1" applyBorder="1" applyFont="1" applyFill="1" applyProtection="1">
      <alignment horizontal="left" vertical="center"/>
      <protection hidden="1"/>
    </xf>
    <xf numFmtId="0" fontId="27" fillId="14" borderId="28" xfId="0" applyAlignment="1" applyBorder="1" applyFont="1" applyFill="1" applyProtection="1">
      <alignment horizontal="left" vertical="center"/>
      <protection hidden="1"/>
    </xf>
    <xf numFmtId="0" fontId="0" fillId="19" borderId="0" xfId="0" applyAlignment="1" applyFill="1">
      <alignment horizontal="center" vertical="center" wrapText="1"/>
    </xf>
    <xf numFmtId="0" fontId="0" fillId="25" borderId="0" xfId="0" applyAlignment="1" applyFill="1">
      <alignment horizontal="center"/>
    </xf>
  </cellXfs>
  <cellStyles count="20">
    <cellStyle name="%" xfId="14"/>
    <cellStyle name="Comma" xfId="1" builtinId="3"/>
    <cellStyle name="Comma 2 2" xfId="18"/>
    <cellStyle name="Currency" xfId="2" builtinId="4"/>
    <cellStyle name="Currency 2 2" xfId="16"/>
    <cellStyle name="Currency 4" xfId="5"/>
    <cellStyle name="Currency 5" xfId="10"/>
    <cellStyle name="Hyperlink" xfId="4" builtinId="8"/>
    <cellStyle name="Normal" xfId="0" builtinId="0"/>
    <cellStyle name="Normal 10" xfId="15"/>
    <cellStyle name="Normal 11" xfId="13"/>
    <cellStyle name="Normal 11 2" xfId="8"/>
    <cellStyle name="Normal 11 2 3" xfId="9"/>
    <cellStyle name="Normal 2 2" xfId="19"/>
    <cellStyle name="Normal 2 5" xfId="3"/>
    <cellStyle name="Normal 21" xfId="12"/>
    <cellStyle name="Normal 3" xfId="7"/>
    <cellStyle name="Percent" xfId="6" builtinId="5"/>
    <cellStyle name="Percent 2" xfId="17"/>
    <cellStyle name="Percent 9" xfId="11"/>
  </cellStyles>
  <dxfs>
    <dxf>
      <font>
        <color rgb="FFFF0000"/>
      </font>
    </dxf>
    <dxf>
      <font>
        <color rgb="FFFF0000"/>
      </font>
    </dxf>
    <dxf>
      <fill>
        <patternFill patternType="darkGray">
          <fgColor theme="1"/>
        </patternFill>
      </fill>
    </dxf>
    <dxf>
      <fill>
        <patternFill patternType="darkGray">
          <f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s>
  <tableStyles count="0" defaultTableStyle="TableStyleMedium2" defaultPivotStyle="PivotStyleLight16"/>
</styleSheet>
</file>

<file path=xl/_rels/workbook.xml.rels><?xml version="1.0" encoding="utf-8" standalone="yes"?><Relationships xmlns="http://schemas.openxmlformats.org/package/2006/relationships"><Relationship Id="rId15" Type="http://schemas.openxmlformats.org/officeDocument/2006/relationships/worksheet" Target="worksheets/sheet15.xml" /><Relationship Id="rId10" Type="http://schemas.openxmlformats.org/officeDocument/2006/relationships/worksheet" Target="worksheets/sheet10.xml" /><Relationship Id="rId5" Type="http://schemas.openxmlformats.org/officeDocument/2006/relationships/worksheet" Target="worksheets/sheet5.xml" /><Relationship Id="rId23" Type="http://schemas.openxmlformats.org/officeDocument/2006/relationships/customXml" Target="../customXml/item2.xml" /><Relationship Id="rId21" Type="http://schemas.openxmlformats.org/officeDocument/2006/relationships/sharedStrings" Target="sharedStrings.xml" /><Relationship Id="rId16" Type="http://schemas.openxmlformats.org/officeDocument/2006/relationships/worksheet" Target="worksheets/sheet16.xml" /><Relationship Id="rId11" Type="http://schemas.openxmlformats.org/officeDocument/2006/relationships/worksheet" Target="worksheets/sheet11.xml" /><Relationship Id="rId6" Type="http://schemas.openxmlformats.org/officeDocument/2006/relationships/worksheet" Target="worksheets/sheet6.xml" /><Relationship Id="rId3" Type="http://schemas.openxmlformats.org/officeDocument/2006/relationships/worksheet" Target="worksheets/sheet3.xml" /><Relationship Id="rId24" Type="http://schemas.openxmlformats.org/officeDocument/2006/relationships/customXml" Target="../customXml/item3.xml" /><Relationship Id="rId7" Type="http://schemas.openxmlformats.org/officeDocument/2006/relationships/worksheet" Target="worksheets/sheet7.xml" /><Relationship Id="rId20" Type="http://schemas.openxmlformats.org/officeDocument/2006/relationships/styles" Target="styles.xml" /><Relationship Id="rId17" Type="http://schemas.openxmlformats.org/officeDocument/2006/relationships/worksheet" Target="worksheets/sheet17.xml" /><Relationship Id="rId12" Type="http://schemas.openxmlformats.org/officeDocument/2006/relationships/worksheet" Target="worksheets/sheet12.xml" /><Relationship Id="rId2" Type="http://schemas.openxmlformats.org/officeDocument/2006/relationships/worksheet" Target="worksheets/sheet2.xml" /><Relationship Id="rId18" Type="http://schemas.openxmlformats.org/officeDocument/2006/relationships/worksheet" Target="worksheets/sheet18.xml" /><Relationship Id="rId8" Type="http://schemas.openxmlformats.org/officeDocument/2006/relationships/worksheet" Target="worksheets/sheet8.xml" /><Relationship Id="rId1" Type="http://schemas.openxmlformats.org/officeDocument/2006/relationships/worksheet" Target="worksheets/sheet1.xml" /><Relationship Id="rId13" Type="http://schemas.openxmlformats.org/officeDocument/2006/relationships/worksheet" Target="worksheets/sheet13.xml" /><Relationship Id="rId19" Type="http://schemas.openxmlformats.org/officeDocument/2006/relationships/theme" Target="theme/theme1.xml" /><Relationship Id="rId22" Type="http://schemas.openxmlformats.org/officeDocument/2006/relationships/customXml" Target="../customXml/item1.xml" /><Relationship Id="rId14" Type="http://schemas.openxmlformats.org/officeDocument/2006/relationships/worksheet" Target="worksheets/sheet14.xml" /><Relationship Id="rId9" Type="http://schemas.openxmlformats.org/officeDocument/2006/relationships/worksheet" Target="worksheets/sheet9.xml" /><Relationship Id="rId4" Type="http://schemas.openxmlformats.org/officeDocument/2006/relationships/worksheet" Target="worksheets/sheet4.xml" /></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Relationships xmlns="http://schemas.openxmlformats.org/package/2006/relationships"><Relationship Id="rId1" Type="http://schemas.openxmlformats.org/officeDocument/2006/relationships/image" Target="/xl/media/image1.png" /><Relationship Id="rId2" Type="http://schemas.openxmlformats.org/officeDocument/2006/relationships/image" Target="/xl/media/image2.jpeg" /></Relationships>
</file>

<file path=xl/drawings/_rels/drawing10.xml.rels><?xml version="1.0" encoding="utf-8" standalone="yes"?><Relationships xmlns="http://schemas.openxmlformats.org/package/2006/relationships"><Relationship Id="rId1" Type="http://schemas.openxmlformats.org/officeDocument/2006/relationships/image" Target="/xl/media/image3.png" /></Relationships>
</file>

<file path=xl/drawings/_rels/drawing2.xml.rels><?xml version="1.0" encoding="utf-8" standalone="yes"?><Relationships xmlns="http://schemas.openxmlformats.org/package/2006/relationships"><Relationship Id="rId8" Type="http://schemas.openxmlformats.org/officeDocument/2006/relationships/hyperlink" Target="https://www.gov.uk/government/publications/alternative-provision-free-school-revenue-funding" TargetMode="External" /><Relationship Id="rId3" Type="http://schemas.openxmlformats.org/officeDocument/2006/relationships/hyperlink" Target="https://www.gov.uk/government/publications/special-free-school-revenue-funding" TargetMode="External" /><Relationship Id="rId7" Type="http://schemas.openxmlformats.org/officeDocument/2006/relationships/hyperlink" Target="https://www.gov.uk/government/publications/mainstream-and-16-to-19-free-school-financial-template" TargetMode="External" /><Relationship Id="rId12" Type="http://schemas.openxmlformats.org/officeDocument/2006/relationships/hyperlink" Target="https://schools-financial-benchmarking.service.gov.uk/" TargetMode="External" /><Relationship Id="rId2" Type="http://schemas.openxmlformats.org/officeDocument/2006/relationships/hyperlink" Target="https://www.gov.uk/government/publications/utc-financial-templates" TargetMode="External" /><Relationship Id="rId1" Type="http://schemas.openxmlformats.org/officeDocument/2006/relationships/hyperlink" Target="https://www.gov.uk/government/publications/utc-revenue-funding" TargetMode="External" /><Relationship Id="rId6" Type="http://schemas.openxmlformats.org/officeDocument/2006/relationships/hyperlink" Target="https://www.gov.uk/government/publications/mainstream-free-school-revenue-funding" TargetMode="External" /><Relationship Id="rId11" Type="http://schemas.openxmlformats.org/officeDocument/2006/relationships/hyperlink" Target="https://www.gov.uk/national-insurance-rates-letters" TargetMode="External" /><Relationship Id="rId5" Type="http://schemas.openxmlformats.org/officeDocument/2006/relationships/hyperlink" Target="https://www.gov.uk/government/publications/16-to-19-free-school-revenue-funding" TargetMode="External" /><Relationship Id="rId10" Type="http://schemas.openxmlformats.org/officeDocument/2006/relationships/hyperlink" Target="https://www.gov.uk/government/publications/utc-revenue-funding" TargetMode="External" /><Relationship Id="rId4" Type="http://schemas.openxmlformats.org/officeDocument/2006/relationships/hyperlink" Target="https://www.gov.uk/government/publications/special-free-school-financial-template" TargetMode="External" /><Relationship Id="rId9" Type="http://schemas.openxmlformats.org/officeDocument/2006/relationships/hyperlink" Target="https://www.gov.uk/government/publications/alternative-provision-free-school-financial-template" TargetMode="External" /><Relationship Id="rId13" Type="http://schemas.openxmlformats.org/officeDocument/2006/relationships/hyperlink" Target="https://www.gov.uk/government/publications/utc-financial-templates" TargetMode="External" /><Relationship Id="rId14" Type="http://schemas.openxmlformats.org/officeDocument/2006/relationships/hyperlink" Target="https://www.gov.uk/government/publications/special-free-school-revenue-funding" TargetMode="External" /><Relationship Id="rId15" Type="http://schemas.openxmlformats.org/officeDocument/2006/relationships/hyperlink" Target="https://www.gov.uk/government/publications/special-free-school-financial-template" TargetMode="External" /><Relationship Id="rId16" Type="http://schemas.openxmlformats.org/officeDocument/2006/relationships/hyperlink" Target="https://www.gov.uk/government/publications/16-to-19-free-school-revenue-funding" TargetMode="External" /><Relationship Id="rId17" Type="http://schemas.openxmlformats.org/officeDocument/2006/relationships/hyperlink" Target="https://www.gov.uk/government/publications/mainstream-free-school-revenue-funding" TargetMode="External" /><Relationship Id="rId18" Type="http://schemas.openxmlformats.org/officeDocument/2006/relationships/hyperlink" Target="https://www.gov.uk/government/publications/mainstream-and-16-to-19-free-school-financial-template" TargetMode="External" /><Relationship Id="rId19" Type="http://schemas.openxmlformats.org/officeDocument/2006/relationships/hyperlink" Target="https://www.gov.uk/government/publications/16-to-19-free-school-revenue-funding" TargetMode="External" /><Relationship Id="rId20" Type="http://schemas.openxmlformats.org/officeDocument/2006/relationships/hyperlink" Target="https://www.gov.uk/government/publications/mainstream-free-school-revenue-funding" TargetMode="External" /><Relationship Id="rId21" Type="http://schemas.openxmlformats.org/officeDocument/2006/relationships/hyperlink" Target="https://www.gov.uk/government/publications/mainstream-and-16-to-19-free-school-financial-template" TargetMode="External" /><Relationship Id="rId22" Type="http://schemas.openxmlformats.org/officeDocument/2006/relationships/hyperlink" Target="https://www.gov.uk/government/publications/alternative-provision-free-school-revenue-funding" TargetMode="External" /><Relationship Id="rId23" Type="http://schemas.openxmlformats.org/officeDocument/2006/relationships/hyperlink" Target="https://www.gov.uk/government/publications/alternative-provision-free-school-financial-template" TargetMode="External" /><Relationship Id="rId24" Type="http://schemas.openxmlformats.org/officeDocument/2006/relationships/image" Target="/xl/media/image2.jpeg" /><Relationship Id="rId25" Type="http://schemas.openxmlformats.org/officeDocument/2006/relationships/hyperlink" Target="https://www.gov.uk/national-insurance-rates-letters" TargetMode="External" /></Relationships>
</file>

<file path=xl/drawings/_rels/drawing3.xml.rels><?xml version="1.0" encoding="utf-8" standalone="yes"?><Relationships xmlns="http://schemas.openxmlformats.org/package/2006/relationships"><Relationship Id="rId3" Type="http://schemas.openxmlformats.org/officeDocument/2006/relationships/hyperlink" Target="https://www.gov.uk/national-insurance-rates-letters/contribution-rates" TargetMode="External" /><Relationship Id="rId2" Type="http://schemas.openxmlformats.org/officeDocument/2006/relationships/hyperlink" Target="http://www.lgpsregs.org/" TargetMode="External" /><Relationship Id="rId1" Type="http://schemas.openxmlformats.org/officeDocument/2006/relationships/hyperlink" Target="https://www.teacherspensions.co.uk/employers/employer-hub.aspx" TargetMode="External" /><Relationship Id="rId4" Type="http://schemas.openxmlformats.org/officeDocument/2006/relationships/hyperlink" Target="https://www.gov.uk/guidance/buying-for-schools/deals-for-schools" TargetMode="External" /><Relationship Id="rId5" Type="http://schemas.openxmlformats.org/officeDocument/2006/relationships/hyperlink" Target="https://www.teacherspensions.co.uk/employers/employer-hub.aspx" TargetMode="External" /><Relationship Id="rId6" Type="http://schemas.openxmlformats.org/officeDocument/2006/relationships/hyperlink" Target="http://www.lgpsregs.org/" TargetMode="External" /><Relationship Id="rId7" Type="http://schemas.openxmlformats.org/officeDocument/2006/relationships/hyperlink" Target="https://www.gov.uk/national-insurance-rates-letters/contribution-rates" TargetMode="External" /><Relationship Id="rId8" Type="http://schemas.openxmlformats.org/officeDocument/2006/relationships/hyperlink" Target="https://www.gov.uk/guidance/buying-for-schools/deals-for-schools" TargetMode="External" /></Relationships>
</file>

<file path=xl/drawings/_rels/drawing4.xml.rels><?xml version="1.0" encoding="utf-8" standalone="yes"?><Relationships xmlns="http://schemas.openxmlformats.org/package/2006/relationships"><Relationship Id="rId1" Type="http://schemas.openxmlformats.org/officeDocument/2006/relationships/image" Target="/xl/media/image3.png" /></Relationships>
</file>

<file path=xl/drawings/_rels/drawing5.xml.rels><?xml version="1.0" encoding="utf-8" standalone="yes"?><Relationships xmlns="http://schemas.openxmlformats.org/package/2006/relationships"><Relationship Id="rId1" Type="http://schemas.openxmlformats.org/officeDocument/2006/relationships/image" Target="/xl/media/image3.png" /></Relationships>
</file>

<file path=xl/drawings/_rels/drawing6.xml.rels><?xml version="1.0" encoding="utf-8" standalone="yes"?><Relationships xmlns="http://schemas.openxmlformats.org/package/2006/relationships"><Relationship Id="rId2" Type="http://schemas.openxmlformats.org/officeDocument/2006/relationships/hyperlink" Target="https://schools-financial-benchmarking.service.gov.uk/" TargetMode="External" /><Relationship Id="rId1" Type="http://schemas.openxmlformats.org/officeDocument/2006/relationships/image" Target="/xl/media/image3.png" /><Relationship Id="rId3" Type="http://schemas.openxmlformats.org/officeDocument/2006/relationships/hyperlink" Target="https://schools-financial-benchmarking.service.gov.uk/" TargetMode="External" /></Relationships>
</file>

<file path=xl/drawings/_rels/drawing7.xml.rels><?xml version="1.0" encoding="utf-8" standalone="yes"?><Relationships xmlns="http://schemas.openxmlformats.org/package/2006/relationships"><Relationship Id="rId1" Type="http://schemas.openxmlformats.org/officeDocument/2006/relationships/image" Target="/xl/media/image3.png" /></Relationships>
</file>

<file path=xl/drawings/_rels/drawing8.xml.rels><?xml version="1.0" encoding="utf-8" standalone="yes"?><Relationships xmlns="http://schemas.openxmlformats.org/package/2006/relationships"><Relationship Id="rId1" Type="http://schemas.openxmlformats.org/officeDocument/2006/relationships/image" Target="/xl/media/image3.png" /></Relationships>
</file>

<file path=xl/drawings/_rels/drawing9.xml.rels><?xml version="1.0" encoding="utf-8" standalone="yes"?><Relationships xmlns="http://schemas.openxmlformats.org/package/2006/relationships"><Relationship Id="rId1" Type="http://schemas.openxmlformats.org/officeDocument/2006/relationships/image" Target="/xl/media/image3.png" /></Relationships>
</file>

<file path=xl/drawings/_rels/vmlDrawing4.vml.rels><?xml version="1.0" encoding="utf-8" standalone="yes"?><Relationships xmlns="http://schemas.openxmlformats.org/package/2006/relationships"><Relationship Id="rId1" Type="http://schemas.openxmlformats.org/officeDocument/2006/relationships/image" Target="../media/image17.emf" /><Relationship Id="rId2" Type="http://schemas.openxmlformats.org/officeDocument/2006/relationships/image" Target="../media/image16.emf" /><Relationship Id="rId3" Type="http://schemas.openxmlformats.org/officeDocument/2006/relationships/image" Target="../media/image15.emf" /><Relationship Id="rId4" Type="http://schemas.openxmlformats.org/officeDocument/2006/relationships/image" Target="../media/image14.emf" /><Relationship Id="rId5" Type="http://schemas.openxmlformats.org/officeDocument/2006/relationships/image" Target="../media/image13.emf" /><Relationship Id="rId6" Type="http://schemas.openxmlformats.org/officeDocument/2006/relationships/image" Target="../media/image12.emf" /><Relationship Id="rId7" Type="http://schemas.openxmlformats.org/officeDocument/2006/relationships/image" Target="../media/image11.emf" /><Relationship Id="rId8" Type="http://schemas.openxmlformats.org/officeDocument/2006/relationships/image" Target="../media/image10.emf" /><Relationship Id="rId9" Type="http://schemas.openxmlformats.org/officeDocument/2006/relationships/image" Target="../media/image9.emf" /><Relationship Id="rId10" Type="http://schemas.openxmlformats.org/officeDocument/2006/relationships/image" Target="../media/image8.emf" /><Relationship Id="rId11" Type="http://schemas.openxmlformats.org/officeDocument/2006/relationships/image" Target="../media/image7.emf" /><Relationship Id="rId12" Type="http://schemas.openxmlformats.org/officeDocument/2006/relationships/image" Target="../media/image6.emf" /><Relationship Id="rId13" Type="http://schemas.openxmlformats.org/officeDocument/2006/relationships/image" Target="../media/image5.emf" /><Relationship Id="rId14" Type="http://schemas.openxmlformats.org/officeDocument/2006/relationships/image" Target="../media/image4.emf" /></Relationships>
</file>

<file path=xl/drawings/drawing1.xml><?xml version="1.0" encoding="utf-8"?>
<xdr:wsDr xmlns:xdr="http://schemas.openxmlformats.org/drawingml/2006/spreadsheetDrawing" xmlns:a="http://schemas.openxmlformats.org/drawingml/2006/main">
  <xdr:twoCellAnchor editAs="oneCell">
    <xdr:from>
      <xdr:col>3</xdr:col>
      <xdr:colOff>32147</xdr:colOff>
      <xdr:row>9</xdr:row>
      <xdr:rowOff>168592</xdr:rowOff>
    </xdr:from>
    <xdr:to>
      <xdr:col>12</xdr:col>
      <xdr:colOff>559650</xdr:colOff>
      <xdr:row>19</xdr:row>
      <xdr:rowOff>133350</xdr:rowOff>
    </xdr:to>
    <xdr:pic macro="">
      <xdr:nvPicPr>
        <xdr:cNvPr id="2" name="Picture 1">
          <a:extLst xmlns:a="http://schemas.openxmlformats.org/drawingml/2006/main">
            <a:ext uri="{FF2B5EF4-FFF2-40B4-BE49-F238E27FC236}">
              <a16:creationId xmlns:a16="http://schemas.microsoft.com/office/drawing/2014/main" id="{00000000-0008-0000-0000-000002000000}"/>
            </a:ext>
          </a:extLst>
        </xdr:cNvPr>
        <xdr:cNvPicPr>
          <a:picLocks noChangeAspect="1"/>
        </xdr:cNvPicPr>
      </xdr:nvPicPr>
      <xdr:blipFill>
        <a:blip xmlns:d5p1="http://schemas.openxmlformats.org/officeDocument/2006/relationships" d5p1:embed="rId1">
          <a:extLst/>
        </a:blip>
        <a:srcRect xmlns:a="http://schemas.openxmlformats.org/drawingml/2006/main" r="67211" b="81867"/>
        <a:stretch>
          <a:fillRect/>
        </a:stretch>
      </xdr:blipFill>
      <xdr:spPr>
        <a:xfrm>
          <a:off x="1327351" y="1978638"/>
          <a:ext cx="6413946" cy="6413946"/>
        </a:xfrm>
        <a:prstGeom xmlns:a="http://schemas.openxmlformats.org/drawingml/2006/main" prst="rect">
          <a:avLst/>
        </a:prstGeom>
        <a:noFill/>
        <a:ln w="19050" cmpd="sng">
          <a:solidFill>
            <a:srgbClr val="66CCFF"/>
          </a:solidFill>
          <a:headEnd type="none" w="med" len="med"/>
          <a:tailEnd type="none" w="med" len="med"/>
        </a:ln>
      </xdr:spPr>
    </xdr:pic>
    <xdr:clientData/>
  </xdr:twoCellAnchor>
  <xdr:twoCellAnchor>
    <xdr:from>
      <xdr:col>11</xdr:col>
      <xdr:colOff>214313</xdr:colOff>
      <xdr:row>18</xdr:row>
      <xdr:rowOff>23812</xdr:rowOff>
    </xdr:from>
    <xdr:to>
      <xdr:col>11</xdr:col>
      <xdr:colOff>223689</xdr:colOff>
      <xdr:row>22</xdr:row>
      <xdr:rowOff>23812</xdr:rowOff>
    </xdr:to>
    <xdr:cxnSp macro="">
      <xdr:nvCxnSpPr>
        <xdr:cNvPr id="3" name="Straight Arrow Connector 2"/>
        <xdr:cNvCxnSpPr/>
      </xdr:nvCxnSpPr>
      <xdr:spPr>
        <a:xfrm flipH="1" flipV="1">
          <a:off x="6691314" y="3471863"/>
          <a:ext cx="9524" cy="762000"/>
        </a:xfrm>
        <a:prstGeom prst="straightConnector1">
          <a:avLst xmlns:a="http://schemas.openxmlformats.org/drawingml/2006/main"/>
        </a:prstGeom>
        <a:noFill/>
        <a:ln xmlns:a="http://schemas.openxmlformats.org/drawingml/2006/main" w="57150">
          <a:solidFill>
            <a:srgbClr val="66CCFF"/>
          </a:solidFill>
          <a:tailEnd type="arrow"/>
        </a:ln>
      </xdr:spPr>
      <xdr:style xmlns:xdr="http://schemas.openxmlformats.org/drawingml/2006/spreadsheetDrawing">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xdr:style>
    </xdr:cxnSp>
    <xdr:clientData/>
  </xdr:twoCellAnchor>
  <xdr:twoCellAnchor editAs="oneCell">
    <xdr:from>
      <xdr:col>1</xdr:col>
      <xdr:colOff>142652</xdr:colOff>
      <xdr:row>1</xdr:row>
      <xdr:rowOff>38100</xdr:rowOff>
    </xdr:from>
    <xdr:to>
      <xdr:col>3</xdr:col>
      <xdr:colOff>252487</xdr:colOff>
      <xdr:row>3</xdr:row>
      <xdr:rowOff>462915</xdr:rowOff>
    </xdr:to>
    <xdr:pic macro="">
      <xdr:nvPicPr>
        <xdr:cNvPr id="4" name="Picture 2" descr="Department for Education Logo">
          <a:extLst xmlns:a="http://schemas.openxmlformats.org/drawingml/2006/main">
            <a:ext uri="{FF2B5EF4-FFF2-40B4-BE49-F238E27FC236}">
              <a16:creationId xmlns:a16="http://schemas.microsoft.com/office/drawing/2014/main" id="{00000000-0008-0000-0000-000004000000}"/>
            </a:ext>
          </a:extLst>
        </xdr:cNvPr>
        <xdr:cNvPicPr>
          <a:picLocks noChangeAspect="1"/>
        </xdr:cNvPicPr>
      </xdr:nvPicPr>
      <xdr:blipFill>
        <a:blip xmlns:d5p1="http://schemas.openxmlformats.org/officeDocument/2006/relationships" d5p1:embed="rId2">
          <a:extLst>
            <a:ext uri="{28A0092B-C50C-407E-A947-70E740481C1C}">
              <a14:useLocalDpi xmlns:a14="http://schemas.microsoft.com/office/drawing/2010/main" val="0"/>
            </a:ext>
          </a:extLst>
        </a:blip>
        <a:srcRect xmlns:a="http://schemas.openxmlformats.org/drawingml/2006/main"/>
        <a:stretch>
          <a:fillRect/>
        </a:stretch>
      </xdr:blipFill>
      <xdr:spPr>
        <a:xfrm>
          <a:off x="142873" y="219081"/>
          <a:ext cx="1404938" cy="1404938"/>
        </a:xfrm>
        <a:prstGeom xmlns:a="http://schemas.openxmlformats.org/drawingml/2006/main"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46965</xdr:colOff>
      <xdr:row>0</xdr:row>
      <xdr:rowOff>113347</xdr:rowOff>
    </xdr:from>
    <xdr:to>
      <xdr:col>2</xdr:col>
      <xdr:colOff>0</xdr:colOff>
      <xdr:row>0</xdr:row>
      <xdr:rowOff>912495</xdr:rowOff>
    </xdr:to>
    <xdr:pic macro="">
      <xdr:nvPicPr>
        <xdr:cNvPr id="2" name="Picture 3">
          <a:extLst xmlns:a="http://schemas.openxmlformats.org/drawingml/2006/main">
            <a:ext uri="{FF2B5EF4-FFF2-40B4-BE49-F238E27FC236}">
              <a16:creationId xmlns:a16="http://schemas.microsoft.com/office/drawing/2014/main" id="{00000000-0008-0000-0F00-0000020000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a:stretch>
          <a:fillRect/>
        </a:stretch>
      </xdr:blipFill>
      <xdr:spPr>
        <a:xfrm>
          <a:off x="133350" y="114300"/>
          <a:ext cx="1514475" cy="1514475"/>
        </a:xfrm>
        <a:prstGeom xmlns:a="http://schemas.openxmlformats.org/drawingml/2006/main"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twoCell">
    <xdr:from>
      <xdr:col>2</xdr:col>
      <xdr:colOff>99622</xdr:colOff>
      <xdr:row>9</xdr:row>
      <xdr:rowOff>658177</xdr:rowOff>
    </xdr:from>
    <xdr:to>
      <xdr:col>3</xdr:col>
      <xdr:colOff>1172691</xdr:colOff>
      <xdr:row>9</xdr:row>
      <xdr:rowOff>847725</xdr:rowOff>
    </xdr:to>
    <xdr:sp macro="">
      <xdr:nvSpPr>
        <xdr:cNvPr id="21" name="TextBox 14">
          <a:hlinkClick xmlns:d6p1="http://schemas.openxmlformats.org/officeDocument/2006/relationships" d6p1:id="rId10"/>
          <a:extLst xmlns:a="http://schemas.openxmlformats.org/drawingml/2006/main">
            <a:ext uri="{FF2B5EF4-FFF2-40B4-BE49-F238E27FC236}">
              <a16:creationId xmlns:a16="http://schemas.microsoft.com/office/drawing/2014/main" id="{00000000-0008-0000-0100-000015000000}"/>
            </a:ext>
          </a:extLst>
        </xdr:cNvPr>
        <xdr:cNvSpPr txBox="1"/>
      </xdr:nvSpPr>
      <xdr:spPr>
        <a:xfrm>
          <a:off x="1707774" y="17145001"/>
          <a:ext cx="2118101" cy="195798"/>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2</xdr:col>
      <xdr:colOff>108998</xdr:colOff>
      <xdr:row>9</xdr:row>
      <xdr:rowOff>341947</xdr:rowOff>
    </xdr:from>
    <xdr:to>
      <xdr:col>3</xdr:col>
      <xdr:colOff>1310655</xdr:colOff>
      <xdr:row>9</xdr:row>
      <xdr:rowOff>543877</xdr:rowOff>
    </xdr:to>
    <xdr:sp macro="">
      <xdr:nvSpPr>
        <xdr:cNvPr id="22" name="TextBox 13">
          <a:hlinkClick xmlns:d6p1="http://schemas.openxmlformats.org/officeDocument/2006/relationships" d6p1:id="rId13"/>
          <a:extLst xmlns:a="http://schemas.openxmlformats.org/drawingml/2006/main">
            <a:ext uri="{FF2B5EF4-FFF2-40B4-BE49-F238E27FC236}">
              <a16:creationId xmlns:a16="http://schemas.microsoft.com/office/drawing/2014/main" id="{00000000-0008-0000-0100-000016000000}"/>
            </a:ext>
          </a:extLst>
        </xdr:cNvPr>
        <xdr:cNvSpPr txBox="1"/>
      </xdr:nvSpPr>
      <xdr:spPr>
        <a:xfrm>
          <a:off x="1717752" y="16827505"/>
          <a:ext cx="2245706" cy="201403"/>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oneCellAnchor>
    <xdr:from>
      <xdr:col>2</xdr:col>
      <xdr:colOff>89074</xdr:colOff>
      <xdr:row>8</xdr:row>
      <xdr:rowOff>643890</xdr:rowOff>
    </xdr:from>
    <xdr:ext cx="2981325" cy="238125"/>
    <xdr:sp macro="">
      <xdr:nvSpPr>
        <xdr:cNvPr id="19" name="TextBox 10">
          <a:hlinkClick xmlns:d6p1="http://schemas.openxmlformats.org/officeDocument/2006/relationships" d6p1:id="rId14"/>
          <a:extLst xmlns:a="http://schemas.openxmlformats.org/drawingml/2006/main">
            <a:ext uri="{FF2B5EF4-FFF2-40B4-BE49-F238E27FC236}">
              <a16:creationId xmlns:a16="http://schemas.microsoft.com/office/drawing/2014/main" id="{00000000-0008-0000-0100-000013000000}"/>
            </a:ext>
          </a:extLst>
        </xdr:cNvPr>
        <xdr:cNvSpPr txBox="1"/>
      </xdr:nvSpPr>
      <xdr:spPr>
        <a:xfrm>
          <a:off x="1697566" y="14176380"/>
          <a:ext cx="2979870" cy="236794"/>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endParaRPr lang="en-GB" b="0" i="0" sz="1100">
            <a:solidFill>
              <a:srgbClr val="000000"/>
            </a:solidFill>
          </a:endParaRPr>
        </a:p>
      </xdr:txBody>
    </xdr:sp>
    <xdr:clientData/>
  </xdr:oneCellAnchor>
  <xdr:oneCellAnchor>
    <xdr:from>
      <xdr:col>2</xdr:col>
      <xdr:colOff>91418</xdr:colOff>
      <xdr:row>8</xdr:row>
      <xdr:rowOff>310515</xdr:rowOff>
    </xdr:from>
    <xdr:ext cx="3114675" cy="276225"/>
    <xdr:sp macro="">
      <xdr:nvSpPr>
        <xdr:cNvPr id="18" name="TextBox 9">
          <a:hlinkClick xmlns:d6p1="http://schemas.openxmlformats.org/officeDocument/2006/relationships" d6p1:id="rId15"/>
          <a:extLst xmlns:a="http://schemas.openxmlformats.org/drawingml/2006/main">
            <a:ext uri="{FF2B5EF4-FFF2-40B4-BE49-F238E27FC236}">
              <a16:creationId xmlns:a16="http://schemas.microsoft.com/office/drawing/2014/main" id="{00000000-0008-0000-0100-000012000000}"/>
            </a:ext>
          </a:extLst>
        </xdr:cNvPr>
        <xdr:cNvSpPr txBox="1"/>
      </xdr:nvSpPr>
      <xdr:spPr>
        <a:xfrm>
          <a:off x="1700515" y="13848292"/>
          <a:ext cx="3114902" cy="28045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xdr:style>
      <xdr:txBody>
        <a:bodyPr vertOverflow="clip" horzOverflow="clip" wrap="square" rtlCol="0"/>
        <a:lstStyle xmlns:a="http://schemas.openxmlformats.org/drawingml/2006/main"/>
        <a:p>
          <a:endParaRPr lang="en-GB" b="0" i="0" sz="1100">
            <a:solidFill>
              <a:srgbClr val="000000"/>
            </a:solidFill>
          </a:endParaRPr>
        </a:p>
      </xdr:txBody>
    </xdr:sp>
    <xdr:clientData/>
  </xdr:oneCellAnchor>
  <xdr:twoCellAnchor editAs="twoCell">
    <xdr:from>
      <xdr:col>3</xdr:col>
      <xdr:colOff>2567657</xdr:colOff>
      <xdr:row>7</xdr:row>
      <xdr:rowOff>889635</xdr:rowOff>
    </xdr:from>
    <xdr:to>
      <xdr:col>3</xdr:col>
      <xdr:colOff>5457230</xdr:colOff>
      <xdr:row>7</xdr:row>
      <xdr:rowOff>1093470</xdr:rowOff>
    </xdr:to>
    <xdr:sp macro="">
      <xdr:nvSpPr>
        <xdr:cNvPr id="26" name="TextBox 8">
          <a:hlinkClick xmlns:d6p1="http://schemas.openxmlformats.org/officeDocument/2006/relationships" d6p1:id="rId16"/>
          <a:extLst xmlns:a="http://schemas.openxmlformats.org/drawingml/2006/main">
            <a:ext uri="{FF2B5EF4-FFF2-40B4-BE49-F238E27FC236}">
              <a16:creationId xmlns:a16="http://schemas.microsoft.com/office/drawing/2014/main" id="{00000000-0008-0000-0100-00001A000000}"/>
            </a:ext>
          </a:extLst>
        </xdr:cNvPr>
        <xdr:cNvSpPr txBox="1"/>
      </xdr:nvSpPr>
      <xdr:spPr>
        <a:xfrm>
          <a:off x="5226634" y="10683874"/>
          <a:ext cx="2885486" cy="21099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2</xdr:col>
      <xdr:colOff>84386</xdr:colOff>
      <xdr:row>7</xdr:row>
      <xdr:rowOff>903922</xdr:rowOff>
    </xdr:from>
    <xdr:to>
      <xdr:col>3</xdr:col>
      <xdr:colOff>2307059</xdr:colOff>
      <xdr:row>7</xdr:row>
      <xdr:rowOff>1093470</xdr:rowOff>
    </xdr:to>
    <xdr:sp macro="">
      <xdr:nvSpPr>
        <xdr:cNvPr id="27" name="TextBox 7">
          <a:hlinkClick xmlns:d6p1="http://schemas.openxmlformats.org/officeDocument/2006/relationships" d6p1:id="rId17"/>
          <a:extLst xmlns:a="http://schemas.openxmlformats.org/drawingml/2006/main">
            <a:ext uri="{FF2B5EF4-FFF2-40B4-BE49-F238E27FC236}">
              <a16:creationId xmlns:a16="http://schemas.microsoft.com/office/drawing/2014/main" id="{00000000-0008-0000-0100-00001B000000}"/>
            </a:ext>
          </a:extLst>
        </xdr:cNvPr>
        <xdr:cNvSpPr txBox="1"/>
      </xdr:nvSpPr>
      <xdr:spPr>
        <a:xfrm>
          <a:off x="1693333" y="10710332"/>
          <a:ext cx="3270250" cy="17991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2</xdr:col>
      <xdr:colOff>89074</xdr:colOff>
      <xdr:row>7</xdr:row>
      <xdr:rowOff>422910</xdr:rowOff>
    </xdr:from>
    <xdr:to>
      <xdr:col>3</xdr:col>
      <xdr:colOff>2437358</xdr:colOff>
      <xdr:row>7</xdr:row>
      <xdr:rowOff>626745</xdr:rowOff>
    </xdr:to>
    <xdr:sp macro="">
      <xdr:nvSpPr>
        <xdr:cNvPr id="25" name="TextBox 6">
          <a:hlinkClick xmlns:d6p1="http://schemas.openxmlformats.org/officeDocument/2006/relationships" d6p1:id="rId18"/>
          <a:extLst xmlns:a="http://schemas.openxmlformats.org/drawingml/2006/main">
            <a:ext uri="{FF2B5EF4-FFF2-40B4-BE49-F238E27FC236}">
              <a16:creationId xmlns:a16="http://schemas.microsoft.com/office/drawing/2014/main" id="{00000000-0008-0000-0100-000019000000}"/>
            </a:ext>
          </a:extLst>
        </xdr:cNvPr>
        <xdr:cNvSpPr txBox="1"/>
      </xdr:nvSpPr>
      <xdr:spPr>
        <a:xfrm>
          <a:off x="1697339" y="10228795"/>
          <a:ext cx="3393243" cy="19579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3</xdr:col>
      <xdr:colOff>2559993</xdr:colOff>
      <xdr:row>6</xdr:row>
      <xdr:rowOff>1302067</xdr:rowOff>
    </xdr:from>
    <xdr:to>
      <xdr:col>3</xdr:col>
      <xdr:colOff>5457230</xdr:colOff>
      <xdr:row>6</xdr:row>
      <xdr:rowOff>1526857</xdr:rowOff>
    </xdr:to>
    <xdr:sp macro="">
      <xdr:nvSpPr>
        <xdr:cNvPr id="8" name="TextBox 5">
          <a:hlinkClick xmlns:d6p1="http://schemas.openxmlformats.org/officeDocument/2006/relationships" d6p1:id="rId19"/>
          <a:extLst xmlns:a="http://schemas.openxmlformats.org/drawingml/2006/main">
            <a:ext uri="{FF2B5EF4-FFF2-40B4-BE49-F238E27FC236}">
              <a16:creationId xmlns:a16="http://schemas.microsoft.com/office/drawing/2014/main" id="{00000000-0008-0000-0100-000008000000}"/>
            </a:ext>
          </a:extLst>
        </xdr:cNvPr>
        <xdr:cNvSpPr txBox="1"/>
      </xdr:nvSpPr>
      <xdr:spPr>
        <a:xfrm>
          <a:off x="5216052" y="3831167"/>
          <a:ext cx="2901365" cy="221570"/>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2</xdr:col>
      <xdr:colOff>97278</xdr:colOff>
      <xdr:row>6</xdr:row>
      <xdr:rowOff>1302067</xdr:rowOff>
    </xdr:from>
    <xdr:to>
      <xdr:col>3</xdr:col>
      <xdr:colOff>2314724</xdr:colOff>
      <xdr:row>6</xdr:row>
      <xdr:rowOff>1494472</xdr:rowOff>
    </xdr:to>
    <xdr:sp macro="">
      <xdr:nvSpPr>
        <xdr:cNvPr id="9" name="TextBox 4">
          <a:hlinkClick xmlns:d6p1="http://schemas.openxmlformats.org/officeDocument/2006/relationships" d6p1:id="rId20"/>
          <a:extLst xmlns:a="http://schemas.openxmlformats.org/drawingml/2006/main">
            <a:ext uri="{FF2B5EF4-FFF2-40B4-BE49-F238E27FC236}">
              <a16:creationId xmlns:a16="http://schemas.microsoft.com/office/drawing/2014/main" id="{00000000-0008-0000-0100-000009000000}"/>
            </a:ext>
          </a:extLst>
        </xdr:cNvPr>
        <xdr:cNvSpPr txBox="1"/>
      </xdr:nvSpPr>
      <xdr:spPr>
        <a:xfrm>
          <a:off x="1706428" y="6979709"/>
          <a:ext cx="3267739" cy="195791"/>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2</xdr:col>
      <xdr:colOff>93762</xdr:colOff>
      <xdr:row>6</xdr:row>
      <xdr:rowOff>851535</xdr:rowOff>
    </xdr:from>
    <xdr:to>
      <xdr:col>3</xdr:col>
      <xdr:colOff>2445023</xdr:colOff>
      <xdr:row>6</xdr:row>
      <xdr:rowOff>1077277</xdr:rowOff>
    </xdr:to>
    <xdr:sp macro="">
      <xdr:nvSpPr>
        <xdr:cNvPr id="7" name="TextBox 3">
          <a:hlinkClick xmlns:d6p1="http://schemas.openxmlformats.org/officeDocument/2006/relationships" d6p1:id="rId21"/>
          <a:extLst xmlns:a="http://schemas.openxmlformats.org/drawingml/2006/main">
            <a:ext uri="{FF2B5EF4-FFF2-40B4-BE49-F238E27FC236}">
              <a16:creationId xmlns:a16="http://schemas.microsoft.com/office/drawing/2014/main" id="{00000000-0008-0000-0100-000007000000}"/>
            </a:ext>
          </a:extLst>
        </xdr:cNvPr>
        <xdr:cNvSpPr txBox="1"/>
      </xdr:nvSpPr>
      <xdr:spPr>
        <a:xfrm>
          <a:off x="1702633" y="6535207"/>
          <a:ext cx="3398533" cy="21695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2</xdr:col>
      <xdr:colOff>84386</xdr:colOff>
      <xdr:row>5</xdr:row>
      <xdr:rowOff>700087</xdr:rowOff>
    </xdr:from>
    <xdr:to>
      <xdr:col>3</xdr:col>
      <xdr:colOff>2751609</xdr:colOff>
      <xdr:row>5</xdr:row>
      <xdr:rowOff>896302</xdr:rowOff>
    </xdr:to>
    <xdr:sp macro="">
      <xdr:nvSpPr>
        <xdr:cNvPr id="13" name="TextBox 2">
          <a:hlinkClick xmlns:d6p1="http://schemas.openxmlformats.org/officeDocument/2006/relationships" d6p1:id="rId22"/>
          <a:extLst xmlns:a="http://schemas.openxmlformats.org/drawingml/2006/main">
            <a:ext uri="{FF2B5EF4-FFF2-40B4-BE49-F238E27FC236}">
              <a16:creationId xmlns:a16="http://schemas.microsoft.com/office/drawing/2014/main" id="{00000000-0008-0000-0100-00000D000000}"/>
            </a:ext>
          </a:extLst>
        </xdr:cNvPr>
        <xdr:cNvSpPr txBox="1"/>
      </xdr:nvSpPr>
      <xdr:spPr>
        <a:xfrm>
          <a:off x="1693485" y="3227918"/>
          <a:ext cx="3714598" cy="201082"/>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2</xdr:col>
      <xdr:colOff>83214</xdr:colOff>
      <xdr:row>5</xdr:row>
      <xdr:rowOff>381000</xdr:rowOff>
    </xdr:from>
    <xdr:to>
      <xdr:col>3</xdr:col>
      <xdr:colOff>2889572</xdr:colOff>
      <xdr:row>5</xdr:row>
      <xdr:rowOff>589597</xdr:rowOff>
    </xdr:to>
    <xdr:sp macro="">
      <xdr:nvSpPr>
        <xdr:cNvPr id="12" name="TextBox 1">
          <a:hlinkClick xmlns:d6p1="http://schemas.openxmlformats.org/officeDocument/2006/relationships" d6p1:id="rId23"/>
          <a:extLst xmlns:a="http://schemas.openxmlformats.org/drawingml/2006/main">
            <a:ext uri="{FF2B5EF4-FFF2-40B4-BE49-F238E27FC236}">
              <a16:creationId xmlns:a16="http://schemas.microsoft.com/office/drawing/2014/main" id="{00000000-0008-0000-0100-00000C000000}"/>
            </a:ext>
          </a:extLst>
        </xdr:cNvPr>
        <xdr:cNvSpPr txBox="1"/>
      </xdr:nvSpPr>
      <xdr:spPr>
        <a:xfrm>
          <a:off x="1691519" y="2910417"/>
          <a:ext cx="3854148" cy="211666"/>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oneCell">
    <xdr:from>
      <xdr:col>1</xdr:col>
      <xdr:colOff>106040</xdr:colOff>
      <xdr:row>2</xdr:row>
      <xdr:rowOff>85725</xdr:rowOff>
    </xdr:from>
    <xdr:to>
      <xdr:col>2</xdr:col>
      <xdr:colOff>668052</xdr:colOff>
      <xdr:row>2</xdr:row>
      <xdr:rowOff>969645</xdr:rowOff>
    </xdr:to>
    <xdr:pic macro="">
      <xdr:nvPicPr>
        <xdr:cNvPr id="15" name="Picture 2" descr="Department for Education Logo">
          <a:extLst xmlns:a="http://schemas.openxmlformats.org/drawingml/2006/main">
            <a:ext uri="{FF2B5EF4-FFF2-40B4-BE49-F238E27FC236}">
              <a16:creationId xmlns:a16="http://schemas.microsoft.com/office/drawing/2014/main" id="{00000000-0008-0000-0100-00000F000000}"/>
            </a:ext>
          </a:extLst>
        </xdr:cNvPr>
        <xdr:cNvPicPr>
          <a:picLocks noChangeAspect="1"/>
        </xdr:cNvPicPr>
      </xdr:nvPicPr>
      <xdr:blipFill>
        <a:blip xmlns:d5p1="http://schemas.openxmlformats.org/officeDocument/2006/relationships" d5p1:embed="rId24">
          <a:extLst>
            <a:ext uri="{28A0092B-C50C-407E-A947-70E740481C1C}">
              <a14:useLocalDpi xmlns:a14="http://schemas.microsoft.com/office/drawing/2010/main" val="0"/>
            </a:ext>
          </a:extLst>
        </a:blip>
        <a:srcRect xmlns:a="http://schemas.openxmlformats.org/drawingml/2006/main"/>
        <a:stretch>
          <a:fillRect/>
        </a:stretch>
      </xdr:blipFill>
      <xdr:spPr>
        <a:xfrm>
          <a:off x="1016001" y="465667"/>
          <a:ext cx="1514475" cy="1514475"/>
        </a:xfrm>
        <a:prstGeom xmlns:a="http://schemas.openxmlformats.org/drawingml/2006/main" prst="rect">
          <a:avLst/>
        </a:prstGeom>
        <a:noFill/>
      </xdr:spPr>
    </xdr:pic>
    <xdr:clientData/>
  </xdr:twoCellAnchor>
  <xdr:twoCellAnchor editAs="twoCell">
    <xdr:from>
      <xdr:col>3</xdr:col>
      <xdr:colOff>0</xdr:colOff>
      <xdr:row>27</xdr:row>
      <xdr:rowOff>1950720</xdr:rowOff>
    </xdr:from>
    <xdr:to>
      <xdr:col>3</xdr:col>
      <xdr:colOff>4023940</xdr:colOff>
      <xdr:row>27</xdr:row>
      <xdr:rowOff>2156460</xdr:rowOff>
    </xdr:to>
    <xdr:sp macro="">
      <xdr:nvSpPr>
        <xdr:cNvPr id="24" name="TextBox 14">
          <a:hlinkClick xmlns:d6p1="http://schemas.openxmlformats.org/officeDocument/2006/relationships" d6p1:id="rId25"/>
          <a:extLst xmlns:a="http://schemas.openxmlformats.org/drawingml/2006/main">
            <a:ext uri="{FF2B5EF4-FFF2-40B4-BE49-F238E27FC236}">
              <a16:creationId xmlns:a16="http://schemas.microsoft.com/office/drawing/2014/main" id="{00000000-0008-0000-0100-000018000000}"/>
            </a:ext>
          </a:extLst>
        </xdr:cNvPr>
        <xdr:cNvSpPr txBox="1"/>
      </xdr:nvSpPr>
      <xdr:spPr>
        <a:xfrm>
          <a:off x="2656417" y="22743583"/>
          <a:ext cx="4021666" cy="21166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xdr:from>
      <xdr:col>3</xdr:col>
      <xdr:colOff>7665</xdr:colOff>
      <xdr:row>24</xdr:row>
      <xdr:rowOff>1462087</xdr:rowOff>
    </xdr:from>
    <xdr:to>
      <xdr:col>3</xdr:col>
      <xdr:colOff>3196158</xdr:colOff>
      <xdr:row>24</xdr:row>
      <xdr:rowOff>1620202</xdr:rowOff>
    </xdr:to>
    <xdr:sp macro="" textlink="">
      <xdr:nvSpPr>
        <xdr:cNvPr id="3" name="Rectangle 2">
          <a:hlinkClick xmlns:d6p1="http://schemas.openxmlformats.org/officeDocument/2006/relationships" d6p1:id="rId12"/>
        </xdr:cNvPr>
        <xdr:cNvSpPr/>
      </xdr:nvSpPr>
      <xdr:spPr>
        <a:xfrm>
          <a:off x="2667000" y="15356417"/>
          <a:ext cx="3185583" cy="158750"/>
        </a:xfrm>
        <a:prstGeom prst="rect">
          <a:avLst xmlns:a="http://schemas.openxmlformats.org/drawingml/2006/main"/>
        </a:prstGeom>
        <a:noFill/>
        <a:ln xmlns:a="http://schemas.openxmlformats.org/drawingml/2006/main">
          <a:noFill/>
        </a:ln>
      </xdr:spPr>
      <xdr:style xmlns:xdr="http://schemas.openxmlformats.org/drawingml/2006/spreadsheetDrawing">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xdr:style>
      <xdr:txBody xmlns:xdr="http://schemas.openxmlformats.org/drawingml/2006/spreadsheetDrawing">
        <a:bodyPr xmlns:a="http://schemas.openxmlformats.org/drawingml/2006/main" vertOverflow="clip" horzOverflow="clip" rtlCol="0" anchor="t"/>
        <a:lstStyle xmlns:a="http://schemas.openxmlformats.org/drawingml/2006/main"/>
        <a:p xmlns:a="http://schemas.openxmlformats.org/drawingml/2006/main">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twoCell">
    <xdr:from>
      <xdr:col>1</xdr:col>
      <xdr:colOff>10623</xdr:colOff>
      <xdr:row>39</xdr:row>
      <xdr:rowOff>176212</xdr:rowOff>
    </xdr:from>
    <xdr:to>
      <xdr:col>1</xdr:col>
      <xdr:colOff>3925053</xdr:colOff>
      <xdr:row>39</xdr:row>
      <xdr:rowOff>332422</xdr:rowOff>
    </xdr:to>
    <xdr:sp macro="">
      <xdr:nvSpPr>
        <xdr:cNvPr id="2" name="TextBox 1">
          <a:hlinkClick xmlns:d6p1="http://schemas.openxmlformats.org/officeDocument/2006/relationships" d6p1:id="rId5"/>
          <a:extLst xmlns:a="http://schemas.openxmlformats.org/drawingml/2006/main">
            <a:ext uri="{FF2B5EF4-FFF2-40B4-BE49-F238E27FC236}">
              <a16:creationId xmlns:a16="http://schemas.microsoft.com/office/drawing/2014/main" id="{00000000-0008-0000-0200-000002000000}"/>
            </a:ext>
          </a:extLst>
        </xdr:cNvPr>
        <xdr:cNvSpPr txBox="1"/>
      </xdr:nvSpPr>
      <xdr:spPr>
        <a:xfrm>
          <a:off x="723899" y="12953094"/>
          <a:ext cx="3915390" cy="15806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1</xdr:col>
      <xdr:colOff>10623</xdr:colOff>
      <xdr:row>39</xdr:row>
      <xdr:rowOff>336232</xdr:rowOff>
    </xdr:from>
    <xdr:to>
      <xdr:col>1</xdr:col>
      <xdr:colOff>1471231</xdr:colOff>
      <xdr:row>39</xdr:row>
      <xdr:rowOff>466725</xdr:rowOff>
    </xdr:to>
    <xdr:sp macro="">
      <xdr:nvSpPr>
        <xdr:cNvPr id="3" name="TextBox 2">
          <a:hlinkClick xmlns:d6p1="http://schemas.openxmlformats.org/officeDocument/2006/relationships" d6p1:id="rId6"/>
          <a:extLst xmlns:a="http://schemas.openxmlformats.org/drawingml/2006/main">
            <a:ext uri="{FF2B5EF4-FFF2-40B4-BE49-F238E27FC236}">
              <a16:creationId xmlns:a16="http://schemas.microsoft.com/office/drawing/2014/main" id="{00000000-0008-0000-0200-000003000000}"/>
            </a:ext>
          </a:extLst>
        </xdr:cNvPr>
        <xdr:cNvSpPr txBox="1"/>
      </xdr:nvSpPr>
      <xdr:spPr>
        <a:xfrm>
          <a:off x="723900" y="13114338"/>
          <a:ext cx="1462012" cy="130175"/>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1</xdr:col>
      <xdr:colOff>10623</xdr:colOff>
      <xdr:row>40</xdr:row>
      <xdr:rowOff>165735</xdr:rowOff>
    </xdr:from>
    <xdr:to>
      <xdr:col>1</xdr:col>
      <xdr:colOff>4015346</xdr:colOff>
      <xdr:row>40</xdr:row>
      <xdr:rowOff>323850</xdr:rowOff>
    </xdr:to>
    <xdr:sp macro="">
      <xdr:nvSpPr>
        <xdr:cNvPr id="4" name="TextBox 3">
          <a:hlinkClick xmlns:d6p1="http://schemas.openxmlformats.org/officeDocument/2006/relationships" d6p1:id="rId7"/>
          <a:extLst xmlns:a="http://schemas.openxmlformats.org/drawingml/2006/main">
            <a:ext uri="{FF2B5EF4-FFF2-40B4-BE49-F238E27FC236}">
              <a16:creationId xmlns:a16="http://schemas.microsoft.com/office/drawing/2014/main" id="{00000000-0008-0000-0200-000004000000}"/>
            </a:ext>
          </a:extLst>
        </xdr:cNvPr>
        <xdr:cNvSpPr txBox="1"/>
      </xdr:nvSpPr>
      <xdr:spPr>
        <a:xfrm>
          <a:off x="723900" y="13434105"/>
          <a:ext cx="4005514" cy="158069"/>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twoCellAnchor editAs="twoCell">
    <xdr:from>
      <xdr:col>1</xdr:col>
      <xdr:colOff>21245</xdr:colOff>
      <xdr:row>10</xdr:row>
      <xdr:rowOff>377190</xdr:rowOff>
    </xdr:from>
    <xdr:to>
      <xdr:col>1</xdr:col>
      <xdr:colOff>3824139</xdr:colOff>
      <xdr:row>10</xdr:row>
      <xdr:rowOff>571500</xdr:rowOff>
    </xdr:to>
    <xdr:sp macro="">
      <xdr:nvSpPr>
        <xdr:cNvPr id="25" name="TextBox 24">
          <a:hlinkClick xmlns:d6p1="http://schemas.openxmlformats.org/officeDocument/2006/relationships" d6p1:id="rId8"/>
          <a:extLst xmlns:a="http://schemas.openxmlformats.org/drawingml/2006/main">
            <a:ext uri="{FF2B5EF4-FFF2-40B4-BE49-F238E27FC236}">
              <a16:creationId xmlns:a16="http://schemas.microsoft.com/office/drawing/2014/main" id="{00000000-0008-0000-0200-000019000000}"/>
            </a:ext>
          </a:extLst>
        </xdr:cNvPr>
        <xdr:cNvSpPr txBox="1"/>
      </xdr:nvSpPr>
      <xdr:spPr>
        <a:xfrm>
          <a:off x="733425" y="3005138"/>
          <a:ext cx="3805238" cy="195262"/>
        </a:xfrm>
        <a:prstGeom prst="rect">
          <a:avLst/>
        </a:prstGeom>
        <a:noFill/>
        <a:ln>
          <a:noFill/>
        </a:ln>
      </xdr:spPr>
      <xdr:txBody>
        <a:bodyPr vertOverflow="clip" horzOverflow="clip" wrap="square" rtlCol="0"/>
        <a:lstStyle xmlns:a="http://schemas.openxmlformats.org/drawingml/2006/main"/>
        <a:p>
          <a:endParaRPr lang="en-GB" b="0" i="0" sz="1100" cap="none">
            <a:solidFill>
              <a:srgbClr val="000000"/>
            </a:solidFill>
            <a:latin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27626</xdr:colOff>
      <xdr:row>1</xdr:row>
      <xdr:rowOff>84772</xdr:rowOff>
    </xdr:from>
    <xdr:to>
      <xdr:col>1</xdr:col>
      <xdr:colOff>1115095</xdr:colOff>
      <xdr:row>1</xdr:row>
      <xdr:rowOff>722947</xdr:rowOff>
    </xdr:to>
    <xdr:pic macro="">
      <xdr:nvPicPr>
        <xdr:cNvPr id="4" name="Picture 4">
          <a:extLst xmlns:a="http://schemas.openxmlformats.org/drawingml/2006/main">
            <a:ext uri="{FF2B5EF4-FFF2-40B4-BE49-F238E27FC236}">
              <a16:creationId xmlns:a16="http://schemas.microsoft.com/office/drawing/2014/main" id="{00000000-0008-0000-0300-0000040000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a:stretch>
          <a:fillRect/>
        </a:stretch>
      </xdr:blipFill>
      <xdr:spPr>
        <a:xfrm>
          <a:off x="786608" y="266705"/>
          <a:ext cx="1082674" cy="1082674"/>
        </a:xfrm>
        <a:prstGeom xmlns:a="http://schemas.openxmlformats.org/drawingml/2006/main"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26510</xdr:colOff>
      <xdr:row>0</xdr:row>
      <xdr:rowOff>171450</xdr:rowOff>
    </xdr:from>
    <xdr:to>
      <xdr:col>1</xdr:col>
      <xdr:colOff>1285735</xdr:colOff>
      <xdr:row>1</xdr:row>
      <xdr:rowOff>245745</xdr:rowOff>
    </xdr:to>
    <xdr:pic macro="">
      <xdr:nvPicPr>
        <xdr:cNvPr id="3" name="Picture 8">
          <a:extLst xmlns:a="http://schemas.openxmlformats.org/drawingml/2006/main">
            <a:ext uri="{FF2B5EF4-FFF2-40B4-BE49-F238E27FC236}">
              <a16:creationId xmlns:a16="http://schemas.microsoft.com/office/drawing/2014/main" id="{00000000-0008-0000-0400-0000030000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a:stretch>
          <a:fillRect/>
        </a:stretch>
      </xdr:blipFill>
      <xdr:spPr>
        <a:xfrm>
          <a:off x="681039" y="171451"/>
          <a:ext cx="1257300" cy="1257300"/>
        </a:xfrm>
        <a:prstGeom xmlns:a="http://schemas.openxmlformats.org/drawingml/2006/main"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23701</xdr:colOff>
      <xdr:row>1</xdr:row>
      <xdr:rowOff>0</xdr:rowOff>
    </xdr:from>
    <xdr:to>
      <xdr:col>2</xdr:col>
      <xdr:colOff>1316208</xdr:colOff>
      <xdr:row>1</xdr:row>
      <xdr:rowOff>904875</xdr:rowOff>
    </xdr:to>
    <xdr:pic macro="">
      <xdr:nvPicPr>
        <xdr:cNvPr id="7" name="Picture 8">
          <a:extLst xmlns:a="http://schemas.openxmlformats.org/drawingml/2006/main">
            <a:ext uri="{FF2B5EF4-FFF2-40B4-BE49-F238E27FC236}">
              <a16:creationId xmlns:a16="http://schemas.microsoft.com/office/drawing/2014/main" id="{00000000-0008-0000-0500-0000070000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a:stretch>
          <a:fillRect/>
        </a:stretch>
      </xdr:blipFill>
      <xdr:spPr>
        <a:xfrm>
          <a:off x="631031" y="190500"/>
          <a:ext cx="1506311" cy="1506311"/>
        </a:xfrm>
        <a:prstGeom xmlns:a="http://schemas.openxmlformats.org/drawingml/2006/main" prst="rect">
          <a:avLst/>
        </a:prstGeom>
        <a:noFill/>
      </xdr:spPr>
    </xdr:pic>
    <xdr:clientData/>
  </xdr:twoCellAnchor>
  <xdr:twoCellAnchor editAs="twoCell">
    <xdr:from>
      <xdr:col>13</xdr:col>
      <xdr:colOff>144912</xdr:colOff>
      <xdr:row>169</xdr:row>
      <xdr:rowOff>166687</xdr:rowOff>
    </xdr:from>
    <xdr:to>
      <xdr:col>13</xdr:col>
      <xdr:colOff>4250754</xdr:colOff>
      <xdr:row>170</xdr:row>
      <xdr:rowOff>59055</xdr:rowOff>
    </xdr:to>
    <xdr:sp macro="">
      <xdr:nvSpPr>
        <xdr:cNvPr id="3" name="TextBox 2">
          <a:hlinkClick xmlns:d6p1="http://schemas.openxmlformats.org/officeDocument/2006/relationships" d6p1:id="rId3"/>
          <a:extLst xmlns:a="http://schemas.openxmlformats.org/drawingml/2006/main">
            <a:ext uri="{FF2B5EF4-FFF2-40B4-BE49-F238E27FC236}">
              <a16:creationId xmlns:a16="http://schemas.microsoft.com/office/drawing/2014/main" id="{00000000-0008-0000-0500-000003000000}"/>
            </a:ext>
          </a:extLst>
        </xdr:cNvPr>
        <xdr:cNvSpPr txBox="1"/>
      </xdr:nvSpPr>
      <xdr:spPr>
        <a:xfrm>
          <a:off x="13716000" y="13477875"/>
          <a:ext cx="4107656" cy="261937"/>
        </a:xfrm>
        <a:prstGeom prst="rect">
          <a:avLst/>
        </a:prstGeom>
        <a:noFill/>
        <a:ln>
          <a:noFill/>
        </a:ln>
      </xdr:spPr>
      <xdr:style xmlns:xdr="http://schemas.openxmlformats.org/drawingml/2006/spreadsheetDrawing">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xdr:style>
      <xdr:txBody>
        <a:bodyPr vertOverflow="clip" horzOverflow="clip" wrap="square" rtlCol="0"/>
        <a:lstStyle xmlns:a="http://schemas.openxmlformats.org/drawingml/2006/main"/>
        <a:p>
          <a:endParaRPr lang="en-GB" b="0" i="0" sz="1100">
            <a:solidFill>
              <a:srgbClr val="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18976</xdr:colOff>
      <xdr:row>0</xdr:row>
      <xdr:rowOff>119062</xdr:rowOff>
    </xdr:from>
    <xdr:to>
      <xdr:col>2</xdr:col>
      <xdr:colOff>1743773</xdr:colOff>
      <xdr:row>6</xdr:row>
      <xdr:rowOff>38100</xdr:rowOff>
    </xdr:to>
    <xdr:pic macro="">
      <xdr:nvPicPr>
        <xdr:cNvPr id="2" name="Picture 8">
          <a:extLst xmlns:a="http://schemas.openxmlformats.org/drawingml/2006/main">
            <a:ext uri="{FF2B5EF4-FFF2-40B4-BE49-F238E27FC236}">
              <a16:creationId xmlns:a16="http://schemas.microsoft.com/office/drawing/2014/main" id="{00000000-0008-0000-0600-0000020000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a:stretch>
          <a:fillRect/>
        </a:stretch>
      </xdr:blipFill>
      <xdr:spPr>
        <a:xfrm>
          <a:off x="152400" y="119063"/>
          <a:ext cx="1919288" cy="1919288"/>
        </a:xfrm>
        <a:prstGeom xmlns:a="http://schemas.openxmlformats.org/drawingml/2006/main"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18976</xdr:colOff>
      <xdr:row>0</xdr:row>
      <xdr:rowOff>119062</xdr:rowOff>
    </xdr:from>
    <xdr:to>
      <xdr:col>2</xdr:col>
      <xdr:colOff>1739364</xdr:colOff>
      <xdr:row>6</xdr:row>
      <xdr:rowOff>33337</xdr:rowOff>
    </xdr:to>
    <xdr:pic macro="">
      <xdr:nvPicPr>
        <xdr:cNvPr id="2" name="Picture 8">
          <a:extLst xmlns:a="http://schemas.openxmlformats.org/drawingml/2006/main">
            <a:ext uri="{FF2B5EF4-FFF2-40B4-BE49-F238E27FC236}">
              <a16:creationId xmlns:a16="http://schemas.microsoft.com/office/drawing/2014/main" id="{00000000-0008-0000-0A00-0000020000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a:stretch>
          <a:fillRect/>
        </a:stretch>
      </xdr:blipFill>
      <xdr:spPr>
        <a:xfrm>
          <a:off x="161925" y="119063"/>
          <a:ext cx="1933576" cy="1933576"/>
        </a:xfrm>
        <a:prstGeom xmlns:a="http://schemas.openxmlformats.org/drawingml/2006/main"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19013</xdr:colOff>
      <xdr:row>0</xdr:row>
      <xdr:rowOff>131445</xdr:rowOff>
    </xdr:from>
    <xdr:to>
      <xdr:col>3</xdr:col>
      <xdr:colOff>219503</xdr:colOff>
      <xdr:row>0</xdr:row>
      <xdr:rowOff>989647</xdr:rowOff>
    </xdr:to>
    <xdr:pic macro="">
      <xdr:nvPicPr>
        <xdr:cNvPr id="2" name="Picture 1">
          <a:extLst xmlns:a="http://schemas.openxmlformats.org/drawingml/2006/main">
            <a:ext uri="{FF2B5EF4-FFF2-40B4-BE49-F238E27FC236}">
              <a16:creationId xmlns:a16="http://schemas.microsoft.com/office/drawing/2014/main" id="{00000000-0008-0000-0E00-000002000000}"/>
            </a:ext>
          </a:extLst>
        </xdr:cNvPr>
        <xdr:cNvPicPr>
          <a:picLocks noChangeAspect="1"/>
        </xdr:cNvPicPr>
      </xdr:nvPicPr>
      <xdr:blipFill>
        <a:blip xmlns:d5p1="http://schemas.openxmlformats.org/officeDocument/2006/relationships" d5p1:embed="rId1">
          <a:extLst>
            <a:ext uri="{28A0092B-C50C-407E-A947-70E740481C1C}">
              <a14:useLocalDpi xmlns:a14="http://schemas.microsoft.com/office/drawing/2010/main" val="0"/>
            </a:ext>
          </a:extLst>
        </a:blip>
        <a:srcRect xmlns:a="http://schemas.openxmlformats.org/drawingml/2006/main"/>
        <a:stretch>
          <a:fillRect/>
        </a:stretch>
      </xdr:blipFill>
      <xdr:spPr>
        <a:xfrm>
          <a:off x="400050" y="133350"/>
          <a:ext cx="1466850" cy="1466850"/>
        </a:xfrm>
        <a:prstGeom xmlns:a="http://schemas.openxmlformats.org/drawingml/2006/main" prst="rect">
          <a:avLst/>
        </a:prstGeom>
        <a:noFill/>
      </xdr:spPr>
    </xdr:pic>
    <xdr:clientData/>
  </xdr:twoCellAnchor>
  <mc:AlternateContent xmlns:mc="http://schemas.openxmlformats.org/markup-compatibility/2006">
    <mc:Choice xmlns:a14="http://schemas.microsoft.com/office/drawing/2010/main" Requires="a14">
      <xdr:twoCellAnchor>
        <xdr:from>
          <xdr:col>3</xdr:col>
          <xdr:colOff>0</xdr:colOff>
          <xdr:row>16</xdr:row>
          <xdr:rowOff>9525</xdr:rowOff>
        </xdr:from>
        <xdr:to>
          <xdr:col>4</xdr:col>
          <xdr:colOff>0</xdr:colOff>
          <xdr:row>17</xdr:row>
          <xdr:rowOff>133350</xdr:rowOff>
        </xdr:to>
        <xdr:sp xmlns:xdr="http://schemas.openxmlformats.org/drawingml/2006/spreadsheetDrawing" macro="" textlink="">
          <xdr:nvSpPr>
            <xdr:cNvPr id="49153" name="btnSLTAdd" hidden="1">
              <a:extLst xmlns:a="http://schemas.openxmlformats.org/drawingml/2006/main">
                <a:ext uri="{63B3BB69-23CF-44E3-9099-C40C66FF867C}">
                  <a14:compatExt xmlns:a14="http://schemas.microsoft.com/office/drawing/2010/main" spid="_x0000_s49153"/>
                </a:ext>
                <a:ext uri="{FF2B5EF4-FFF2-40B4-BE49-F238E27FC236}">
                  <a16:creationId xmlns:a16="http://schemas.microsoft.com/office/drawing/2014/main" id="{00000000-0008-0000-0E00-000001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4</xdr:col>
          <xdr:colOff>9460</xdr:colOff>
          <xdr:row>16</xdr:row>
          <xdr:rowOff>9525</xdr:rowOff>
        </xdr:from>
        <xdr:to>
          <xdr:col>5</xdr:col>
          <xdr:colOff>18864</xdr:colOff>
          <xdr:row>17</xdr:row>
          <xdr:rowOff>133350</xdr:rowOff>
        </xdr:to>
        <xdr:sp xmlns:xdr="http://schemas.openxmlformats.org/drawingml/2006/spreadsheetDrawing" macro="" textlink="">
          <xdr:nvSpPr>
            <xdr:cNvPr id="49154" name="btnSLTDelete" hidden="1">
              <a:extLst xmlns:a="http://schemas.openxmlformats.org/drawingml/2006/main">
                <a:ext uri="{63B3BB69-23CF-44E3-9099-C40C66FF867C}">
                  <a14:compatExt xmlns:a14="http://schemas.microsoft.com/office/drawing/2010/main" spid="_x0000_s49154"/>
                </a:ext>
                <a:ext uri="{FF2B5EF4-FFF2-40B4-BE49-F238E27FC236}">
                  <a16:creationId xmlns:a16="http://schemas.microsoft.com/office/drawing/2014/main" id="{00000000-0008-0000-0E00-000002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3</xdr:col>
          <xdr:colOff>0</xdr:colOff>
          <xdr:row>29</xdr:row>
          <xdr:rowOff>9525</xdr:rowOff>
        </xdr:from>
        <xdr:to>
          <xdr:col>4</xdr:col>
          <xdr:colOff>0</xdr:colOff>
          <xdr:row>30</xdr:row>
          <xdr:rowOff>133350</xdr:rowOff>
        </xdr:to>
        <xdr:sp xmlns:xdr="http://schemas.openxmlformats.org/drawingml/2006/spreadsheetDrawing" macro="" textlink="">
          <xdr:nvSpPr>
            <xdr:cNvPr id="49155" name="btnTeachingAdd" hidden="1">
              <a:extLst xmlns:a="http://schemas.openxmlformats.org/drawingml/2006/main">
                <a:ext uri="{63B3BB69-23CF-44E3-9099-C40C66FF867C}">
                  <a14:compatExt xmlns:a14="http://schemas.microsoft.com/office/drawing/2010/main" spid="_x0000_s49155"/>
                </a:ext>
                <a:ext uri="{FF2B5EF4-FFF2-40B4-BE49-F238E27FC236}">
                  <a16:creationId xmlns:a16="http://schemas.microsoft.com/office/drawing/2014/main" id="{00000000-0008-0000-0E00-000003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4</xdr:col>
          <xdr:colOff>9460</xdr:colOff>
          <xdr:row>29</xdr:row>
          <xdr:rowOff>9525</xdr:rowOff>
        </xdr:from>
        <xdr:to>
          <xdr:col>5</xdr:col>
          <xdr:colOff>18864</xdr:colOff>
          <xdr:row>30</xdr:row>
          <xdr:rowOff>133350</xdr:rowOff>
        </xdr:to>
        <xdr:sp xmlns:xdr="http://schemas.openxmlformats.org/drawingml/2006/spreadsheetDrawing" macro="" textlink="">
          <xdr:nvSpPr>
            <xdr:cNvPr id="49156" name="btnTeachingDelete" hidden="1">
              <a:extLst xmlns:a="http://schemas.openxmlformats.org/drawingml/2006/main">
                <a:ext uri="{63B3BB69-23CF-44E3-9099-C40C66FF867C}">
                  <a14:compatExt xmlns:a14="http://schemas.microsoft.com/office/drawing/2010/main" spid="_x0000_s49156"/>
                </a:ext>
                <a:ext uri="{FF2B5EF4-FFF2-40B4-BE49-F238E27FC236}">
                  <a16:creationId xmlns:a16="http://schemas.microsoft.com/office/drawing/2014/main" id="{00000000-0008-0000-0E00-000004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3</xdr:col>
          <xdr:colOff>0</xdr:colOff>
          <xdr:row>92</xdr:row>
          <xdr:rowOff>9525</xdr:rowOff>
        </xdr:from>
        <xdr:to>
          <xdr:col>4</xdr:col>
          <xdr:colOff>0</xdr:colOff>
          <xdr:row>93</xdr:row>
          <xdr:rowOff>133350</xdr:rowOff>
        </xdr:to>
        <xdr:sp xmlns:xdr="http://schemas.openxmlformats.org/drawingml/2006/spreadsheetDrawing" macro="" textlink="">
          <xdr:nvSpPr>
            <xdr:cNvPr id="49157" name="btnPupilSupportAdd" hidden="1">
              <a:extLst xmlns:a="http://schemas.openxmlformats.org/drawingml/2006/main">
                <a:ext uri="{63B3BB69-23CF-44E3-9099-C40C66FF867C}">
                  <a14:compatExt xmlns:a14="http://schemas.microsoft.com/office/drawing/2010/main" spid="_x0000_s49157"/>
                </a:ext>
                <a:ext uri="{FF2B5EF4-FFF2-40B4-BE49-F238E27FC236}">
                  <a16:creationId xmlns:a16="http://schemas.microsoft.com/office/drawing/2014/main" id="{00000000-0008-0000-0E00-000005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4</xdr:col>
          <xdr:colOff>9460</xdr:colOff>
          <xdr:row>92</xdr:row>
          <xdr:rowOff>9525</xdr:rowOff>
        </xdr:from>
        <xdr:to>
          <xdr:col>5</xdr:col>
          <xdr:colOff>18864</xdr:colOff>
          <xdr:row>93</xdr:row>
          <xdr:rowOff>133350</xdr:rowOff>
        </xdr:to>
        <xdr:sp xmlns:xdr="http://schemas.openxmlformats.org/drawingml/2006/spreadsheetDrawing" macro="" textlink="">
          <xdr:nvSpPr>
            <xdr:cNvPr id="49158" name="btnPupilSupportDelete" hidden="1">
              <a:extLst xmlns:a="http://schemas.openxmlformats.org/drawingml/2006/main">
                <a:ext uri="{63B3BB69-23CF-44E3-9099-C40C66FF867C}">
                  <a14:compatExt xmlns:a14="http://schemas.microsoft.com/office/drawing/2010/main" spid="_x0000_s49158"/>
                </a:ext>
                <a:ext uri="{FF2B5EF4-FFF2-40B4-BE49-F238E27FC236}">
                  <a16:creationId xmlns:a16="http://schemas.microsoft.com/office/drawing/2014/main" id="{00000000-0008-0000-0E00-000006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3</xdr:col>
          <xdr:colOff>0</xdr:colOff>
          <xdr:row>145</xdr:row>
          <xdr:rowOff>9525</xdr:rowOff>
        </xdr:from>
        <xdr:to>
          <xdr:col>4</xdr:col>
          <xdr:colOff>0</xdr:colOff>
          <xdr:row>146</xdr:row>
          <xdr:rowOff>133350</xdr:rowOff>
        </xdr:to>
        <xdr:sp xmlns:xdr="http://schemas.openxmlformats.org/drawingml/2006/spreadsheetDrawing" macro="" textlink="">
          <xdr:nvSpPr>
            <xdr:cNvPr id="49159" name="btnAdministrativeAdd" hidden="1">
              <a:extLst xmlns:a="http://schemas.openxmlformats.org/drawingml/2006/main">
                <a:ext uri="{63B3BB69-23CF-44E3-9099-C40C66FF867C}">
                  <a14:compatExt xmlns:a14="http://schemas.microsoft.com/office/drawing/2010/main" spid="_x0000_s49159"/>
                </a:ext>
                <a:ext uri="{FF2B5EF4-FFF2-40B4-BE49-F238E27FC236}">
                  <a16:creationId xmlns:a16="http://schemas.microsoft.com/office/drawing/2014/main" id="{00000000-0008-0000-0E00-000007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4</xdr:col>
          <xdr:colOff>9460</xdr:colOff>
          <xdr:row>145</xdr:row>
          <xdr:rowOff>9525</xdr:rowOff>
        </xdr:from>
        <xdr:to>
          <xdr:col>5</xdr:col>
          <xdr:colOff>18864</xdr:colOff>
          <xdr:row>146</xdr:row>
          <xdr:rowOff>133350</xdr:rowOff>
        </xdr:to>
        <xdr:sp xmlns:xdr="http://schemas.openxmlformats.org/drawingml/2006/spreadsheetDrawing" macro="" textlink="">
          <xdr:nvSpPr>
            <xdr:cNvPr id="49160" name="btnAdministrativeDelete" hidden="1">
              <a:extLst xmlns:a="http://schemas.openxmlformats.org/drawingml/2006/main">
                <a:ext uri="{63B3BB69-23CF-44E3-9099-C40C66FF867C}">
                  <a14:compatExt xmlns:a14="http://schemas.microsoft.com/office/drawing/2010/main" spid="_x0000_s49160"/>
                </a:ext>
                <a:ext uri="{FF2B5EF4-FFF2-40B4-BE49-F238E27FC236}">
                  <a16:creationId xmlns:a16="http://schemas.microsoft.com/office/drawing/2014/main" id="{00000000-0008-0000-0E00-000008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3</xdr:col>
          <xdr:colOff>0</xdr:colOff>
          <xdr:row>168</xdr:row>
          <xdr:rowOff>9525</xdr:rowOff>
        </xdr:from>
        <xdr:to>
          <xdr:col>4</xdr:col>
          <xdr:colOff>0</xdr:colOff>
          <xdr:row>169</xdr:row>
          <xdr:rowOff>133350</xdr:rowOff>
        </xdr:to>
        <xdr:sp xmlns:xdr="http://schemas.openxmlformats.org/drawingml/2006/spreadsheetDrawing" macro="" textlink="">
          <xdr:nvSpPr>
            <xdr:cNvPr id="49161" name="btnPremisesAdd" hidden="1">
              <a:extLst xmlns:a="http://schemas.openxmlformats.org/drawingml/2006/main">
                <a:ext uri="{63B3BB69-23CF-44E3-9099-C40C66FF867C}">
                  <a14:compatExt xmlns:a14="http://schemas.microsoft.com/office/drawing/2010/main" spid="_x0000_s49161"/>
                </a:ext>
                <a:ext uri="{FF2B5EF4-FFF2-40B4-BE49-F238E27FC236}">
                  <a16:creationId xmlns:a16="http://schemas.microsoft.com/office/drawing/2014/main" id="{00000000-0008-0000-0E00-000009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4</xdr:col>
          <xdr:colOff>9460</xdr:colOff>
          <xdr:row>168</xdr:row>
          <xdr:rowOff>9525</xdr:rowOff>
        </xdr:from>
        <xdr:to>
          <xdr:col>5</xdr:col>
          <xdr:colOff>18864</xdr:colOff>
          <xdr:row>169</xdr:row>
          <xdr:rowOff>133350</xdr:rowOff>
        </xdr:to>
        <xdr:sp xmlns:xdr="http://schemas.openxmlformats.org/drawingml/2006/spreadsheetDrawing" macro="" textlink="">
          <xdr:nvSpPr>
            <xdr:cNvPr id="49162" name="btnPremisesDelete" hidden="1">
              <a:extLst xmlns:a="http://schemas.openxmlformats.org/drawingml/2006/main">
                <a:ext uri="{63B3BB69-23CF-44E3-9099-C40C66FF867C}">
                  <a14:compatExt xmlns:a14="http://schemas.microsoft.com/office/drawing/2010/main" spid="_x0000_s49162"/>
                </a:ext>
                <a:ext uri="{FF2B5EF4-FFF2-40B4-BE49-F238E27FC236}">
                  <a16:creationId xmlns:a16="http://schemas.microsoft.com/office/drawing/2014/main" id="{00000000-0008-0000-0E00-00000A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3</xdr:col>
          <xdr:colOff>0</xdr:colOff>
          <xdr:row>191</xdr:row>
          <xdr:rowOff>9525</xdr:rowOff>
        </xdr:from>
        <xdr:to>
          <xdr:col>4</xdr:col>
          <xdr:colOff>0</xdr:colOff>
          <xdr:row>192</xdr:row>
          <xdr:rowOff>133350</xdr:rowOff>
        </xdr:to>
        <xdr:sp xmlns:xdr="http://schemas.openxmlformats.org/drawingml/2006/spreadsheetDrawing" macro="" textlink="">
          <xdr:nvSpPr>
            <xdr:cNvPr id="49163" name="btnCateringAdd" hidden="1">
              <a:extLst xmlns:a="http://schemas.openxmlformats.org/drawingml/2006/main">
                <a:ext uri="{63B3BB69-23CF-44E3-9099-C40C66FF867C}">
                  <a14:compatExt xmlns:a14="http://schemas.microsoft.com/office/drawing/2010/main" spid="_x0000_s49163"/>
                </a:ext>
                <a:ext uri="{FF2B5EF4-FFF2-40B4-BE49-F238E27FC236}">
                  <a16:creationId xmlns:a16="http://schemas.microsoft.com/office/drawing/2014/main" id="{00000000-0008-0000-0E00-00000B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4</xdr:col>
          <xdr:colOff>9460</xdr:colOff>
          <xdr:row>191</xdr:row>
          <xdr:rowOff>9525</xdr:rowOff>
        </xdr:from>
        <xdr:to>
          <xdr:col>5</xdr:col>
          <xdr:colOff>18864</xdr:colOff>
          <xdr:row>192</xdr:row>
          <xdr:rowOff>133350</xdr:rowOff>
        </xdr:to>
        <xdr:sp xmlns:xdr="http://schemas.openxmlformats.org/drawingml/2006/spreadsheetDrawing" macro="" textlink="">
          <xdr:nvSpPr>
            <xdr:cNvPr id="49164" name="btnCateringDelete" hidden="1">
              <a:extLst xmlns:a="http://schemas.openxmlformats.org/drawingml/2006/main">
                <a:ext uri="{63B3BB69-23CF-44E3-9099-C40C66FF867C}">
                  <a14:compatExt xmlns:a14="http://schemas.microsoft.com/office/drawing/2010/main" spid="_x0000_s49164"/>
                </a:ext>
                <a:ext uri="{FF2B5EF4-FFF2-40B4-BE49-F238E27FC236}">
                  <a16:creationId xmlns:a16="http://schemas.microsoft.com/office/drawing/2014/main" id="{00000000-0008-0000-0E00-00000C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3</xdr:col>
          <xdr:colOff>0</xdr:colOff>
          <xdr:row>214</xdr:row>
          <xdr:rowOff>9525</xdr:rowOff>
        </xdr:from>
        <xdr:to>
          <xdr:col>4</xdr:col>
          <xdr:colOff>0</xdr:colOff>
          <xdr:row>215</xdr:row>
          <xdr:rowOff>133350</xdr:rowOff>
        </xdr:to>
        <xdr:sp xmlns:xdr="http://schemas.openxmlformats.org/drawingml/2006/spreadsheetDrawing" macro="" textlink="">
          <xdr:nvSpPr>
            <xdr:cNvPr id="49165" name="btnOtherAdd" hidden="1">
              <a:extLst xmlns:a="http://schemas.openxmlformats.org/drawingml/2006/main">
                <a:ext uri="{63B3BB69-23CF-44E3-9099-C40C66FF867C}">
                  <a14:compatExt xmlns:a14="http://schemas.microsoft.com/office/drawing/2010/main" spid="_x0000_s49165"/>
                </a:ext>
                <a:ext uri="{FF2B5EF4-FFF2-40B4-BE49-F238E27FC236}">
                  <a16:creationId xmlns:a16="http://schemas.microsoft.com/office/drawing/2014/main" id="{00000000-0008-0000-0E00-00000D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mc:AlternateContent xmlns:mc="http://schemas.openxmlformats.org/markup-compatibility/2006">
    <mc:Choice xmlns:a14="http://schemas.microsoft.com/office/drawing/2010/main" Requires="a14">
      <xdr:twoCellAnchor>
        <xdr:from>
          <xdr:col>4</xdr:col>
          <xdr:colOff>9460</xdr:colOff>
          <xdr:row>214</xdr:row>
          <xdr:rowOff>9525</xdr:rowOff>
        </xdr:from>
        <xdr:to>
          <xdr:col>5</xdr:col>
          <xdr:colOff>18864</xdr:colOff>
          <xdr:row>215</xdr:row>
          <xdr:rowOff>133350</xdr:rowOff>
        </xdr:to>
        <xdr:sp xmlns:xdr="http://schemas.openxmlformats.org/drawingml/2006/spreadsheetDrawing" macro="" textlink="">
          <xdr:nvSpPr>
            <xdr:cNvPr id="49166" name="btnOtherDelete" hidden="1">
              <a:extLst xmlns:a="http://schemas.openxmlformats.org/drawingml/2006/main">
                <a:ext uri="{63B3BB69-23CF-44E3-9099-C40C66FF867C}">
                  <a14:compatExt xmlns:a14="http://schemas.microsoft.com/office/drawing/2010/main" spid="_x0000_s49166"/>
                </a:ext>
                <a:ext uri="{FF2B5EF4-FFF2-40B4-BE49-F238E27FC236}">
                  <a16:creationId xmlns:a16="http://schemas.microsoft.com/office/drawing/2014/main" id="{00000000-0008-0000-0E00-00000EC00000}"/>
                </a:ext>
              </a:extLst>
            </xdr:cNvPr>
            <xdr:cNvSpPr/>
          </xdr:nvSpPr>
          <xdr:spPr bwMode="auto">
            <a:xfrm xmlns:a="http://schemas.openxmlformats.org/drawingml/2006/main">
              <a:off x="0" y="0"/>
              <a:ext cx="0" cy="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1240B29-F687-4F45-9708-019B960494DF}">
                <a14:hiddenLine xmlns:a14="http://schemas.microsoft.com/office/drawing/2010/main" w="9525">
                  <a:noFill/>
                  <a:miter lim="800000"/>
                  <a:headEnd/>
                  <a:tailEnd/>
                </a14:hiddenLine>
              </a:ext>
            </a:extLst>
          </xdr:spPr>
        </xdr:sp>
        <xdr:clientData/>
      </xdr:twoCellAnchor>
    </mc:Choice>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drawing" Target="/xl/drawings/drawing1.xml"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1.xml.rels><?xml version="1.0" encoding="utf-8" standalone="yes"?><Relationships xmlns="http://schemas.openxmlformats.org/package/2006/relationships"><Relationship Id="rId2" Type="http://schemas.openxmlformats.org/officeDocument/2006/relationships/drawing" Target="/xl/drawings/drawing8.xml" /><Relationship Id="rId1" Type="http://schemas.openxmlformats.org/officeDocument/2006/relationships/printerSettings" Target="../printerSettings/printerSettings14.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5.xml.rels><?xml version="1.0" encoding="utf-8" standalone="yes"?><Relationships xmlns="http://schemas.openxmlformats.org/package/2006/relationships"><Relationship Id="rId8" Type="http://schemas.openxmlformats.org/officeDocument/2006/relationships/control" Target="../activeX/activeX3.xml" /><Relationship Id="rId13" Type="http://schemas.openxmlformats.org/officeDocument/2006/relationships/image" Target="../media/image8.emf" /><Relationship Id="rId18" Type="http://schemas.openxmlformats.org/officeDocument/2006/relationships/control" Target="../activeX/activeX8.xml" /><Relationship Id="rId26" Type="http://schemas.openxmlformats.org/officeDocument/2006/relationships/control" Target="../activeX/activeX12.xml" /><Relationship Id="rId3" Type="http://schemas.openxmlformats.org/officeDocument/2006/relationships/vmlDrawing" Target="/xl/drawings/vmlDrawing4.vml" /><Relationship Id="rId21" Type="http://schemas.openxmlformats.org/officeDocument/2006/relationships/image" Target="../media/image12.emf" /><Relationship Id="rId7" Type="http://schemas.openxmlformats.org/officeDocument/2006/relationships/image" Target="../media/image5.emf" /><Relationship Id="rId12" Type="http://schemas.openxmlformats.org/officeDocument/2006/relationships/control" Target="../activeX/activeX5.xml" /><Relationship Id="rId17" Type="http://schemas.openxmlformats.org/officeDocument/2006/relationships/image" Target="../media/image10.emf" /><Relationship Id="rId25" Type="http://schemas.openxmlformats.org/officeDocument/2006/relationships/image" Target="../media/image14.emf" /><Relationship Id="rId2" Type="http://schemas.openxmlformats.org/officeDocument/2006/relationships/drawing" Target="/xl/drawings/drawing9.xml" /><Relationship Id="rId16" Type="http://schemas.openxmlformats.org/officeDocument/2006/relationships/control" Target="../activeX/activeX7.xml" /><Relationship Id="rId20" Type="http://schemas.openxmlformats.org/officeDocument/2006/relationships/control" Target="../activeX/activeX9.xml" /><Relationship Id="rId29" Type="http://schemas.openxmlformats.org/officeDocument/2006/relationships/image" Target="../media/image16.emf" /><Relationship Id="rId1" Type="http://schemas.openxmlformats.org/officeDocument/2006/relationships/printerSettings" Target="../printerSettings/printerSettings18.bin" /><Relationship Id="rId6" Type="http://schemas.openxmlformats.org/officeDocument/2006/relationships/control" Target="../activeX/activeX2.xml" /><Relationship Id="rId11" Type="http://schemas.openxmlformats.org/officeDocument/2006/relationships/image" Target="../media/image7.emf" /><Relationship Id="rId24" Type="http://schemas.openxmlformats.org/officeDocument/2006/relationships/control" Target="../activeX/activeX11.xml" /><Relationship Id="rId5" Type="http://schemas.openxmlformats.org/officeDocument/2006/relationships/image" Target="../media/image4.emf" /><Relationship Id="rId15" Type="http://schemas.openxmlformats.org/officeDocument/2006/relationships/image" Target="../media/image9.emf" /><Relationship Id="rId23" Type="http://schemas.openxmlformats.org/officeDocument/2006/relationships/image" Target="../media/image13.emf" /><Relationship Id="rId28" Type="http://schemas.openxmlformats.org/officeDocument/2006/relationships/control" Target="../activeX/activeX13.xml" /><Relationship Id="rId10" Type="http://schemas.openxmlformats.org/officeDocument/2006/relationships/control" Target="../activeX/activeX4.xml" /><Relationship Id="rId19" Type="http://schemas.openxmlformats.org/officeDocument/2006/relationships/image" Target="../media/image11.emf" /><Relationship Id="rId31" Type="http://schemas.openxmlformats.org/officeDocument/2006/relationships/image" Target="../media/image17.emf" /><Relationship Id="rId4" Type="http://schemas.openxmlformats.org/officeDocument/2006/relationships/control" Target="../activeX/activeX1.xml" /><Relationship Id="rId9" Type="http://schemas.openxmlformats.org/officeDocument/2006/relationships/image" Target="../media/image6.emf" /><Relationship Id="rId14" Type="http://schemas.openxmlformats.org/officeDocument/2006/relationships/control" Target="../activeX/activeX6.xml" /><Relationship Id="rId22" Type="http://schemas.openxmlformats.org/officeDocument/2006/relationships/control" Target="../activeX/activeX10.xml" /><Relationship Id="rId27" Type="http://schemas.openxmlformats.org/officeDocument/2006/relationships/image" Target="../media/image15.emf" /><Relationship Id="rId30" Type="http://schemas.openxmlformats.org/officeDocument/2006/relationships/control" Target="../activeX/activeX14.xml" /></Relationships>
</file>

<file path=xl/worksheets/_rels/sheet16.xml.rels><?xml version="1.0" encoding="utf-8" standalone="yes"?><Relationships xmlns="http://schemas.openxmlformats.org/package/2006/relationships"><Relationship Id="rId2" Type="http://schemas.openxmlformats.org/officeDocument/2006/relationships/drawing" Target="/xl/drawings/drawing10.xml" /><Relationship Id="rId1" Type="http://schemas.openxmlformats.org/officeDocument/2006/relationships/printerSettings" Target="../printerSettings/printerSettings19.bin" /></Relationships>
</file>

<file path=xl/worksheets/_rels/sheet17.xml.rels><?xml version="1.0" encoding="utf-8" standalone="yes"?><Relationships xmlns="http://schemas.openxmlformats.org/package/2006/relationships"><Relationship Id="rId3" Type="http://schemas.openxmlformats.org/officeDocument/2006/relationships/printerSettings" Target="../printerSettings/printerSettings22.bin" /><Relationship Id="rId2" Type="http://schemas.openxmlformats.org/officeDocument/2006/relationships/printerSettings" Target="../printerSettings/printerSettings21.bin" /><Relationship Id="rId1" Type="http://schemas.openxmlformats.org/officeDocument/2006/relationships/printerSettings" Target="../printerSettings/printerSettings20.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xml.rels><?xml version="1.0" encoding="utf-8" standalone="yes"?><Relationships xmlns="http://schemas.openxmlformats.org/package/2006/relationships"><Relationship Id="rId3" Type="http://schemas.openxmlformats.org/officeDocument/2006/relationships/printerSettings" Target="../printerSettings/printerSettings4.bin" /><Relationship Id="rId2" Type="http://schemas.openxmlformats.org/officeDocument/2006/relationships/printerSettings" Target="../printerSettings/printerSettings3.bin" /><Relationship Id="rId1" Type="http://schemas.openxmlformats.org/officeDocument/2006/relationships/printerSettings" Target="../printerSettings/printerSettings2.bin" /><Relationship Id="rId4" Type="http://schemas.openxmlformats.org/officeDocument/2006/relationships/drawing" Target="/xl/drawings/drawing2.xml" /></Relationships>
</file>

<file path=xl/worksheets/_rels/sheet3.xml.rels><?xml version="1.0" encoding="utf-8" standalone="yes"?><Relationships xmlns="http://schemas.openxmlformats.org/package/2006/relationships"><Relationship Id="rId3" Type="http://schemas.openxmlformats.org/officeDocument/2006/relationships/vmlDrawing" Target="/xl/drawings/vmlDrawing1.vml" /><Relationship Id="rId2" Type="http://schemas.openxmlformats.org/officeDocument/2006/relationships/drawing" Target="/xl/drawings/drawing3.xml" /><Relationship Id="rId1" Type="http://schemas.openxmlformats.org/officeDocument/2006/relationships/printerSettings" Target="../printerSettings/printerSettings5.bin" /></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8.bin" /><Relationship Id="rId2" Type="http://schemas.openxmlformats.org/officeDocument/2006/relationships/printerSettings" Target="../printerSettings/printerSettings7.bin" /><Relationship Id="rId1" Type="http://schemas.openxmlformats.org/officeDocument/2006/relationships/printerSettings" Target="../printerSettings/printerSettings6.bin" /><Relationship Id="rId5" Type="http://schemas.openxmlformats.org/officeDocument/2006/relationships/vmlDrawing" Target="/xl/drawings/vmlDrawing2.vml" /><Relationship Id="rId4" Type="http://schemas.openxmlformats.org/officeDocument/2006/relationships/drawing" Target="/xl/drawings/drawing4.xml" /></Relationships>
</file>

<file path=xl/worksheets/_rels/sheet5.xml.rels><?xml version="1.0" encoding="utf-8" standalone="yes"?><Relationships xmlns="http://schemas.openxmlformats.org/package/2006/relationships"><Relationship Id="rId2" Type="http://schemas.openxmlformats.org/officeDocument/2006/relationships/drawing" Target="/xl/drawings/drawing5.xml" /><Relationship Id="rId1" Type="http://schemas.openxmlformats.org/officeDocument/2006/relationships/printerSettings" Target="../printerSettings/printerSettings9.bin" /></Relationships>
</file>

<file path=xl/worksheets/_rels/sheet6.xml.rels><?xml version="1.0" encoding="utf-8" standalone="yes"?><Relationships xmlns="http://schemas.openxmlformats.org/package/2006/relationships"><Relationship Id="rId2" Type="http://schemas.openxmlformats.org/officeDocument/2006/relationships/drawing" Target="/xl/drawings/drawing6.xml" /><Relationship Id="rId1" Type="http://schemas.openxmlformats.org/officeDocument/2006/relationships/printerSettings" Target="../printerSettings/printerSettings10.bin" /></Relationships>
</file>

<file path=xl/worksheets/_rels/sheet7.xml.rels><?xml version="1.0" encoding="utf-8" standalone="yes"?><Relationships xmlns="http://schemas.openxmlformats.org/package/2006/relationships"><Relationship Id="rId2" Type="http://schemas.openxmlformats.org/officeDocument/2006/relationships/drawing" Target="/xl/drawings/drawing7.xml" /><Relationship Id="rId1" Type="http://schemas.openxmlformats.org/officeDocument/2006/relationships/printerSettings" Target="../printerSettings/printerSettings11.bin" /></Relationships>
</file>

<file path=xl/worksheets/_rels/sheet9.xml.rels><?xml version="1.0" encoding="utf-8" standalone="yes"?><Relationships xmlns="http://schemas.openxmlformats.org/package/2006/relationships"><Relationship Id="rId3" Type="http://schemas.openxmlformats.org/officeDocument/2006/relationships/comments" Target="/xl/comments1.xml" /><Relationship Id="rId2" Type="http://schemas.openxmlformats.org/officeDocument/2006/relationships/vmlDrawing" Target="/xl/drawings/vmlDrawing3.vml" /><Relationship Id="rId1" Type="http://schemas.openxmlformats.org/officeDocument/2006/relationships/printerSettings" Target="../printerSettings/printerSettings12.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8">
    <tabColor rgb="FF92D050"/>
  </sheetPr>
  <dimension ref="A1:N36"/>
  <sheetViews>
    <sheetView topLeftCell="A14" showGridLines="0" showRowColHeaders="0" view="normal" workbookViewId="0">
      <selection pane="topLeft" activeCell="D34" sqref="D34:G35"/>
    </sheetView>
  </sheetViews>
  <sheetFormatPr defaultColWidth="0" zeroHeight="true" defaultRowHeight="15"/>
  <cols>
    <col min="1" max="1" width="8.75390625" style="157" customWidth="1"/>
    <col min="2" max="12" width="9.00390625" style="157" customWidth="1"/>
    <col min="13" max="13" width="8.375" style="157" customWidth="1"/>
    <col min="14" max="14" width="9.00390625" style="157" customWidth="1"/>
    <col min="15" max="16384" width="9.00390625" style="157" hidden="1" customWidth="1"/>
  </cols>
  <sheetData>
    <row r="1"/>
    <row r="2"/>
    <row r="3"/>
    <row r="4" spans="6:13" ht="45.75" customHeight="1">
      <c r="F4" s="940" t="s">
        <v>1186</v>
      </c>
      <c r="G4" s="940"/>
      <c r="H4" s="940"/>
      <c r="I4" s="940"/>
      <c r="J4" s="940"/>
      <c r="K4" s="940"/>
      <c r="L4" s="940"/>
      <c r="M4" s="940"/>
    </row>
    <row r="5"/>
    <row r="6"/>
    <row r="7"/>
    <row r="8" spans="2:13" ht="18.75">
      <c r="B8" s="939" t="s">
        <v>1049</v>
      </c>
      <c r="C8" s="939"/>
      <c r="D8" s="939"/>
      <c r="E8" s="939"/>
      <c r="F8" s="939"/>
      <c r="G8" s="939"/>
      <c r="H8" s="939"/>
      <c r="I8" s="939"/>
      <c r="J8" s="939"/>
      <c r="K8" s="939"/>
      <c r="L8" s="939"/>
      <c r="M8" s="939"/>
    </row>
    <row r="9"/>
    <row r="10"/>
    <row r="11" spans="2:3" ht="14.25" customHeight="1">
      <c r="B11" s="944"/>
      <c r="C11" s="944"/>
    </row>
    <row r="12" spans="2:3" ht="14.25" customHeight="1">
      <c r="B12" s="944"/>
      <c r="C12" s="944"/>
    </row>
    <row r="13" spans="2:3" ht="14.25" customHeight="1">
      <c r="B13" s="617"/>
      <c r="C13" s="617"/>
    </row>
    <row r="14" spans="2:3" ht="14.25" customHeight="1">
      <c r="B14" s="617"/>
      <c r="C14" s="617"/>
    </row>
    <row r="15"/>
    <row r="16"/>
    <row r="17"/>
    <row r="18" customHeight="1"/>
    <row r="19" customHeight="1"/>
    <row r="20" customHeight="1"/>
    <row r="21" customHeight="1"/>
    <row r="22" customHeight="1"/>
    <row r="23" spans="4:13" customHeight="1">
      <c r="D23" s="943" t="s">
        <v>730</v>
      </c>
      <c r="E23" s="943"/>
      <c r="F23" s="943"/>
      <c r="G23" s="943"/>
      <c r="H23" s="943"/>
      <c r="I23" s="943"/>
      <c r="J23" s="943"/>
      <c r="K23" s="943"/>
      <c r="L23" s="943"/>
      <c r="M23" s="943"/>
    </row>
    <row r="24" spans="4:13" customHeight="1">
      <c r="D24" s="943"/>
      <c r="E24" s="943"/>
      <c r="F24" s="943"/>
      <c r="G24" s="943"/>
      <c r="H24" s="943"/>
      <c r="I24" s="943"/>
      <c r="J24" s="943"/>
      <c r="K24" s="943"/>
      <c r="L24" s="943"/>
      <c r="M24" s="943"/>
    </row>
    <row r="25" spans="4:13" customHeight="1">
      <c r="D25" s="943"/>
      <c r="E25" s="943"/>
      <c r="F25" s="943"/>
      <c r="G25" s="943"/>
      <c r="H25" s="943"/>
      <c r="I25" s="943"/>
      <c r="J25" s="943"/>
      <c r="K25" s="943"/>
      <c r="L25" s="943"/>
      <c r="M25" s="943"/>
    </row>
    <row r="26" spans="4:13" ht="14.25" customHeight="1">
      <c r="D26" s="943"/>
      <c r="E26" s="943"/>
      <c r="F26" s="943"/>
      <c r="G26" s="943"/>
      <c r="H26" s="943"/>
      <c r="I26" s="943"/>
      <c r="J26" s="943"/>
      <c r="K26" s="943"/>
      <c r="L26" s="943"/>
      <c r="M26" s="943"/>
    </row>
    <row r="27" spans="4:13" ht="14.25" customHeight="1">
      <c r="D27" s="943"/>
      <c r="E27" s="943"/>
      <c r="F27" s="943"/>
      <c r="G27" s="943"/>
      <c r="H27" s="943"/>
      <c r="I27" s="943"/>
      <c r="J27" s="943"/>
      <c r="K27" s="943"/>
      <c r="L27" s="943"/>
      <c r="M27" s="943"/>
    </row>
    <row r="28" spans="4:13" ht="14.25" customHeight="1">
      <c r="D28" s="943"/>
      <c r="E28" s="943"/>
      <c r="F28" s="943"/>
      <c r="G28" s="943"/>
      <c r="H28" s="943"/>
      <c r="I28" s="943"/>
      <c r="J28" s="943"/>
      <c r="K28" s="943"/>
      <c r="L28" s="943"/>
      <c r="M28" s="943"/>
    </row>
    <row r="29"/>
    <row r="30"/>
    <row r="31" spans="2:7">
      <c r="B31" s="944"/>
      <c r="C31" s="944"/>
      <c r="D31" s="941" t="s">
        <v>536</v>
      </c>
      <c r="E31" s="942"/>
      <c r="F31" s="942"/>
      <c r="G31" s="942"/>
    </row>
    <row r="32" spans="2:7">
      <c r="B32" s="944"/>
      <c r="C32" s="944"/>
      <c r="D32" s="941"/>
      <c r="E32" s="942"/>
      <c r="F32" s="942"/>
      <c r="G32" s="942"/>
    </row>
    <row r="33" ht="15.75" thickBot="1"/>
    <row r="34" spans="4:7" customHeight="1">
      <c r="D34" s="933" t="s">
        <v>1</v>
      </c>
      <c r="E34" s="934"/>
      <c r="F34" s="934"/>
      <c r="G34" s="935"/>
    </row>
    <row r="35" spans="4:7" ht="15.75" customHeight="1" thickBot="1">
      <c r="D35" s="936"/>
      <c r="E35" s="937"/>
      <c r="F35" s="937"/>
      <c r="G35" s="938"/>
    </row>
    <row r="36"/>
  </sheetData>
  <sheetProtection algorithmName="SHA-512" hashValue="1QRaXm3P7lRkA8JXYJ4RskQMO8TXzhDHgc7nEAU3l+aRJSmlzV6yzhkA4CB39lVJhuNWIHCCOCwVBSNFlZcFpQ==" saltValue="aSag406PwjAVdjcObJjfHA==" spinCount="100000" sheet="1" objects="1" scenarios="1"/>
  <mergeCells count="7">
    <mergeCell ref="D34:G35"/>
    <mergeCell ref="B8:M8"/>
    <mergeCell ref="F4:M4"/>
    <mergeCell ref="D31:G32"/>
    <mergeCell ref="D23:M28"/>
    <mergeCell ref="B11:C12"/>
    <mergeCell ref="B31:C32"/>
  </mergeCells>
  <dataValidations count="1">
    <dataValidation type="list" allowBlank="1" showInputMessage="1" showErrorMessage="1" sqref="D34:G35">
      <formula1>School_Type_List</formula1>
    </dataValidation>
  </dataValidations>
  <pageMargins left="0.70866141732283472" right="0.70866141732283472" top="0.74803149606299213" bottom="0.74803149606299213" header="0.31496062992125984" footer="0.31496062992125984"/>
  <pageSetup paperSize="9" orientation="portrait"/>
  <headerFooter scaleWithDoc="1" alignWithMargins="0" differentFirst="0" differentOddEven="0"/>
  <drawing r:id="rId2"/>
  <extLst/>
</worksheet>
</file>

<file path=xl/worksheets/sheet10.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0"/>
  <dimension ref="A1:AM157"/>
  <sheetViews>
    <sheetView topLeftCell="A1" showGridLines="0" showRowColHeaders="0" zoomScale="80" view="normal" workbookViewId="0">
      <pane xSplit="1" ySplit="3" topLeftCell="B4" activePane="bottomRight" state="frozen"/>
      <selection pane="bottomRight" activeCell="A4" sqref="A4"/>
    </sheetView>
  </sheetViews>
  <sheetFormatPr defaultColWidth="0" zeroHeight="true" defaultRowHeight="14.25"/>
  <cols>
    <col min="1" max="1" width="7.00390625" style="381" bestFit="1" customWidth="1"/>
    <col min="2" max="6" width="22.00390625" style="381" bestFit="1" customWidth="1"/>
    <col min="7" max="12" width="17.00390625" style="381" customWidth="1"/>
    <col min="13" max="13" width="26.625" style="381" bestFit="1" customWidth="1"/>
    <col min="14" max="17" width="17.00390625" style="381" customWidth="1"/>
    <col min="18" max="18" width="17.00390625" style="386" customWidth="1"/>
    <col min="19" max="20" width="17.00390625" style="381" customWidth="1"/>
    <col min="21" max="22" width="17.00390625" style="386" customWidth="1"/>
    <col min="23" max="23" width="17.00390625" style="381" customWidth="1"/>
    <col min="24" max="37" width="17.25390625" style="381" customWidth="1"/>
    <col min="38" max="38" width="18.75390625" style="381" customWidth="1"/>
    <col min="39" max="39" width="9.00390625" style="381" customWidth="1"/>
    <col min="40" max="16384" width="9.00390625" style="381" hidden="1" customWidth="1"/>
  </cols>
  <sheetData>
    <row r="1" spans="1:23" ht="26.25">
      <c r="A1" s="380" t="s">
        <v>1180</v>
      </c>
      <c r="B1" s="203"/>
      <c r="D1" s="382"/>
      <c r="E1" s="382"/>
      <c r="F1" s="382"/>
      <c r="G1" s="383"/>
      <c r="H1" s="383"/>
      <c r="I1" s="383"/>
      <c r="J1" s="383"/>
      <c r="K1" s="383"/>
      <c r="L1" s="383"/>
      <c r="M1" s="383"/>
      <c r="N1" s="383"/>
      <c r="O1" s="382"/>
      <c r="P1" s="383"/>
      <c r="Q1" s="383"/>
      <c r="R1" s="383"/>
      <c r="S1" s="383"/>
      <c r="T1" s="383"/>
      <c r="U1" s="383"/>
      <c r="V1" s="383"/>
      <c r="W1" s="383"/>
    </row>
    <row r="2" spans="1:23" ht="15" thickBot="1">
      <c r="A2" s="204"/>
      <c r="B2" s="205"/>
      <c r="C2" s="382"/>
      <c r="D2" s="383"/>
      <c r="E2" s="383"/>
      <c r="F2" s="383"/>
      <c r="G2" s="383"/>
      <c r="H2" s="383"/>
      <c r="I2" s="383"/>
      <c r="J2" s="383"/>
      <c r="K2" s="383"/>
      <c r="L2" s="383"/>
      <c r="M2" s="383"/>
      <c r="N2" s="383"/>
      <c r="O2" s="383"/>
      <c r="P2" s="383"/>
      <c r="Q2" s="383"/>
      <c r="R2" s="384"/>
      <c r="S2" s="385"/>
      <c r="T2" s="383"/>
      <c r="U2" s="384"/>
      <c r="V2" s="384"/>
      <c r="W2" s="383"/>
    </row>
    <row r="3" spans="1:38" s="387" customFormat="1" ht="45.75" thickBot="1">
      <c r="A3" s="784" t="s">
        <v>580</v>
      </c>
      <c r="B3" s="784" t="s">
        <v>581</v>
      </c>
      <c r="C3" s="785" t="s">
        <v>1106</v>
      </c>
      <c r="D3" s="785" t="s">
        <v>1107</v>
      </c>
      <c r="E3" s="785" t="s">
        <v>1108</v>
      </c>
      <c r="F3" s="785" t="s">
        <v>1109</v>
      </c>
      <c r="G3" s="785" t="s">
        <v>582</v>
      </c>
      <c r="H3" s="785" t="s">
        <v>583</v>
      </c>
      <c r="I3" s="785" t="s">
        <v>584</v>
      </c>
      <c r="J3" s="785" t="s">
        <v>585</v>
      </c>
      <c r="K3" s="785" t="s">
        <v>586</v>
      </c>
      <c r="L3" s="785" t="s">
        <v>1110</v>
      </c>
      <c r="M3" s="785" t="s">
        <v>587</v>
      </c>
      <c r="N3" s="785" t="s">
        <v>588</v>
      </c>
      <c r="O3" s="785" t="s">
        <v>589</v>
      </c>
      <c r="P3" s="785" t="s">
        <v>590</v>
      </c>
      <c r="Q3" s="785" t="s">
        <v>591</v>
      </c>
      <c r="R3" s="785" t="s">
        <v>592</v>
      </c>
      <c r="S3" s="785" t="s">
        <v>593</v>
      </c>
      <c r="T3" s="785" t="s">
        <v>594</v>
      </c>
      <c r="U3" s="785" t="s">
        <v>595</v>
      </c>
      <c r="V3" s="785" t="s">
        <v>596</v>
      </c>
      <c r="W3" s="785" t="s">
        <v>597</v>
      </c>
      <c r="X3" s="785" t="s">
        <v>598</v>
      </c>
      <c r="Y3" s="785" t="s">
        <v>599</v>
      </c>
      <c r="Z3" s="785" t="s">
        <v>600</v>
      </c>
      <c r="AA3" s="785" t="s">
        <v>601</v>
      </c>
      <c r="AB3" s="785" t="s">
        <v>602</v>
      </c>
      <c r="AC3" s="785" t="s">
        <v>603</v>
      </c>
      <c r="AD3" s="785" t="s">
        <v>604</v>
      </c>
      <c r="AE3" s="785" t="s">
        <v>605</v>
      </c>
      <c r="AF3" s="785" t="s">
        <v>606</v>
      </c>
      <c r="AG3" s="785" t="s">
        <v>607</v>
      </c>
      <c r="AH3" s="785" t="s">
        <v>1111</v>
      </c>
      <c r="AI3" s="785" t="s">
        <v>608</v>
      </c>
      <c r="AJ3" s="785" t="s">
        <v>609</v>
      </c>
      <c r="AK3" s="785" t="s">
        <v>610</v>
      </c>
      <c r="AL3" s="785" t="s">
        <v>611</v>
      </c>
    </row>
    <row r="4" spans="1:38" ht="15" customHeight="1">
      <c r="A4" s="771">
        <v>201</v>
      </c>
      <c r="B4" s="772" t="s">
        <v>203</v>
      </c>
      <c r="C4" s="773">
        <v>3500</v>
      </c>
      <c r="D4" s="773">
        <v>0</v>
      </c>
      <c r="E4" s="773">
        <v>0</v>
      </c>
      <c r="F4" s="773">
        <v>0</v>
      </c>
      <c r="G4" s="773">
        <v>6030</v>
      </c>
      <c r="H4" s="773">
        <v>3000</v>
      </c>
      <c r="I4" s="773">
        <v>3000</v>
      </c>
      <c r="J4" s="773">
        <v>3503</v>
      </c>
      <c r="K4" s="773">
        <v>0</v>
      </c>
      <c r="L4" s="773">
        <v>1500</v>
      </c>
      <c r="M4" s="773">
        <v>0</v>
      </c>
      <c r="N4" s="773">
        <v>105</v>
      </c>
      <c r="O4" s="773">
        <v>100</v>
      </c>
      <c r="P4" s="773">
        <v>105</v>
      </c>
      <c r="Q4" s="773">
        <v>200</v>
      </c>
      <c r="R4" s="773">
        <v>105</v>
      </c>
      <c r="S4" s="773">
        <v>300</v>
      </c>
      <c r="T4" s="773">
        <v>210</v>
      </c>
      <c r="U4" s="773">
        <v>400</v>
      </c>
      <c r="V4" s="773">
        <v>315</v>
      </c>
      <c r="W4" s="773">
        <v>500</v>
      </c>
      <c r="X4" s="773">
        <v>420</v>
      </c>
      <c r="Y4" s="773">
        <v>600</v>
      </c>
      <c r="Z4" s="773">
        <v>5000</v>
      </c>
      <c r="AA4" s="773" t="s">
        <v>646</v>
      </c>
      <c r="AB4" s="773">
        <v>735</v>
      </c>
      <c r="AC4" s="773" t="s">
        <v>645</v>
      </c>
      <c r="AD4" s="773" t="s">
        <v>352</v>
      </c>
      <c r="AE4" s="773">
        <v>1000</v>
      </c>
      <c r="AF4" s="773">
        <v>0.63585523</v>
      </c>
      <c r="AG4" s="773">
        <v>0.58045405</v>
      </c>
      <c r="AH4" s="773">
        <v>0.48019237</v>
      </c>
      <c r="AI4" s="773" t="s">
        <v>352</v>
      </c>
      <c r="AJ4" s="773">
        <v>175000</v>
      </c>
      <c r="AK4" s="773" t="s">
        <v>352</v>
      </c>
      <c r="AL4" s="774">
        <v>0.005</v>
      </c>
    </row>
    <row r="5" spans="1:38" ht="15" customHeight="1">
      <c r="A5" s="775">
        <v>202</v>
      </c>
      <c r="B5" s="776" t="s">
        <v>199</v>
      </c>
      <c r="C5" s="777" t="s">
        <v>352</v>
      </c>
      <c r="D5" s="777" t="s">
        <v>352</v>
      </c>
      <c r="E5" s="777" t="s">
        <v>352</v>
      </c>
      <c r="F5" s="777" t="s">
        <v>352</v>
      </c>
      <c r="G5" s="777">
        <v>3566</v>
      </c>
      <c r="H5" s="777">
        <v>4962</v>
      </c>
      <c r="I5" s="777">
        <v>5460</v>
      </c>
      <c r="J5" s="777" t="s">
        <v>352</v>
      </c>
      <c r="K5" s="777" t="s">
        <v>352</v>
      </c>
      <c r="L5" s="777">
        <v>860</v>
      </c>
      <c r="M5" s="777">
        <v>1031</v>
      </c>
      <c r="N5" s="777">
        <v>245</v>
      </c>
      <c r="O5" s="777">
        <v>336</v>
      </c>
      <c r="P5" s="777">
        <v>304</v>
      </c>
      <c r="Q5" s="777">
        <v>441</v>
      </c>
      <c r="R5" s="777">
        <v>406</v>
      </c>
      <c r="S5" s="777">
        <v>546</v>
      </c>
      <c r="T5" s="777">
        <v>493</v>
      </c>
      <c r="U5" s="777">
        <v>643</v>
      </c>
      <c r="V5" s="777">
        <v>557</v>
      </c>
      <c r="W5" s="777">
        <v>714</v>
      </c>
      <c r="X5" s="777">
        <v>791</v>
      </c>
      <c r="Y5" s="777">
        <v>1112</v>
      </c>
      <c r="Z5" s="777">
        <v>1188</v>
      </c>
      <c r="AA5" s="777" t="s">
        <v>646</v>
      </c>
      <c r="AB5" s="777">
        <v>552</v>
      </c>
      <c r="AC5" s="777" t="s">
        <v>647</v>
      </c>
      <c r="AD5" s="777">
        <v>1336</v>
      </c>
      <c r="AE5" s="777">
        <v>791</v>
      </c>
      <c r="AF5" s="777">
        <v>0.63585523</v>
      </c>
      <c r="AG5" s="777">
        <v>0.58045405</v>
      </c>
      <c r="AH5" s="777">
        <v>0.48019237</v>
      </c>
      <c r="AI5" s="777">
        <v>1112</v>
      </c>
      <c r="AJ5" s="777">
        <v>150000</v>
      </c>
      <c r="AK5" s="777">
        <v>175000</v>
      </c>
      <c r="AL5" s="778">
        <v>-0.015</v>
      </c>
    </row>
    <row r="6" spans="1:38" ht="15" customHeight="1">
      <c r="A6" s="775">
        <v>203</v>
      </c>
      <c r="B6" s="776" t="s">
        <v>225</v>
      </c>
      <c r="C6" s="777">
        <v>3500</v>
      </c>
      <c r="D6" s="777">
        <v>4600</v>
      </c>
      <c r="E6" s="777">
        <v>5100</v>
      </c>
      <c r="F6" s="777">
        <v>4800</v>
      </c>
      <c r="G6" s="777">
        <v>3246.1848400000003</v>
      </c>
      <c r="H6" s="777">
        <v>4564.98436</v>
      </c>
      <c r="I6" s="777">
        <v>5183.0239200000005</v>
      </c>
      <c r="J6" s="777">
        <v>519.9568</v>
      </c>
      <c r="K6" s="777">
        <v>519.9568</v>
      </c>
      <c r="L6" s="777">
        <v>638.12880000000007</v>
      </c>
      <c r="M6" s="777">
        <v>927.6502</v>
      </c>
      <c r="N6" s="777">
        <v>236.34400000000002</v>
      </c>
      <c r="O6" s="777">
        <v>342.6988</v>
      </c>
      <c r="P6" s="777">
        <v>283.61280000000005</v>
      </c>
      <c r="Q6" s="777">
        <v>460.87080000000003</v>
      </c>
      <c r="R6" s="777">
        <v>425.41920000000005</v>
      </c>
      <c r="S6" s="777">
        <v>608.58580000000006</v>
      </c>
      <c r="T6" s="777">
        <v>460.87080000000003</v>
      </c>
      <c r="U6" s="777">
        <v>661.7632000000001</v>
      </c>
      <c r="V6" s="777">
        <v>496.3224</v>
      </c>
      <c r="W6" s="777">
        <v>709.032</v>
      </c>
      <c r="X6" s="777">
        <v>679.489</v>
      </c>
      <c r="Y6" s="777">
        <v>957.1932</v>
      </c>
      <c r="Z6" s="777">
        <v>0</v>
      </c>
      <c r="AA6" s="777" t="s">
        <v>646</v>
      </c>
      <c r="AB6" s="777">
        <v>608.58580000000006</v>
      </c>
      <c r="AC6" s="777" t="s">
        <v>647</v>
      </c>
      <c r="AD6" s="777">
        <v>1636.6822000000002</v>
      </c>
      <c r="AE6" s="777">
        <v>1207.71784</v>
      </c>
      <c r="AF6" s="777">
        <v>0.63585523</v>
      </c>
      <c r="AG6" s="777">
        <v>0.58045405</v>
      </c>
      <c r="AH6" s="777">
        <v>0.48019237</v>
      </c>
      <c r="AI6" s="777">
        <v>1831.67</v>
      </c>
      <c r="AJ6" s="777">
        <v>129989.2</v>
      </c>
      <c r="AK6" s="777">
        <v>129989.2</v>
      </c>
      <c r="AL6" s="778">
        <v>0.002</v>
      </c>
    </row>
    <row r="7" spans="1:38" ht="15" customHeight="1">
      <c r="A7" s="775">
        <v>204</v>
      </c>
      <c r="B7" s="776" t="s">
        <v>226</v>
      </c>
      <c r="C7" s="777" t="s">
        <v>352</v>
      </c>
      <c r="D7" s="777" t="s">
        <v>352</v>
      </c>
      <c r="E7" s="777" t="s">
        <v>352</v>
      </c>
      <c r="F7" s="777" t="s">
        <v>352</v>
      </c>
      <c r="G7" s="777">
        <v>4743.34</v>
      </c>
      <c r="H7" s="777">
        <v>6926.6</v>
      </c>
      <c r="I7" s="777">
        <v>6926.6</v>
      </c>
      <c r="J7" s="777">
        <v>144.61</v>
      </c>
      <c r="K7" s="777">
        <v>144.61</v>
      </c>
      <c r="L7" s="777">
        <v>0</v>
      </c>
      <c r="M7" s="777">
        <v>0</v>
      </c>
      <c r="N7" s="777">
        <v>174.52</v>
      </c>
      <c r="O7" s="777">
        <v>174.52</v>
      </c>
      <c r="P7" s="777">
        <v>213.3</v>
      </c>
      <c r="Q7" s="777">
        <v>213.3</v>
      </c>
      <c r="R7" s="777">
        <v>271.47</v>
      </c>
      <c r="S7" s="777">
        <v>271.47</v>
      </c>
      <c r="T7" s="777">
        <v>349.44</v>
      </c>
      <c r="U7" s="777">
        <v>349.44</v>
      </c>
      <c r="V7" s="777">
        <v>426.6</v>
      </c>
      <c r="W7" s="777">
        <v>426.6</v>
      </c>
      <c r="X7" s="777">
        <v>620.51</v>
      </c>
      <c r="Y7" s="777">
        <v>620.51</v>
      </c>
      <c r="Z7" s="777" t="s">
        <v>352</v>
      </c>
      <c r="AA7" s="777" t="s">
        <v>646</v>
      </c>
      <c r="AB7" s="777">
        <v>608.59</v>
      </c>
      <c r="AC7" s="777" t="s">
        <v>647</v>
      </c>
      <c r="AD7" s="777">
        <v>1636.68</v>
      </c>
      <c r="AE7" s="777">
        <v>992</v>
      </c>
      <c r="AF7" s="777">
        <v>0.63585523</v>
      </c>
      <c r="AG7" s="777">
        <v>0.58045405</v>
      </c>
      <c r="AH7" s="777">
        <v>0.48019237</v>
      </c>
      <c r="AI7" s="777">
        <v>1831.67</v>
      </c>
      <c r="AJ7" s="777">
        <v>129989</v>
      </c>
      <c r="AK7" s="777">
        <v>129989</v>
      </c>
      <c r="AL7" s="778">
        <v>-0.015</v>
      </c>
    </row>
    <row r="8" spans="1:38" ht="15" customHeight="1">
      <c r="A8" s="775">
        <v>205</v>
      </c>
      <c r="B8" s="776" t="s">
        <v>228</v>
      </c>
      <c r="C8" s="777" t="s">
        <v>352</v>
      </c>
      <c r="D8" s="777" t="s">
        <v>352</v>
      </c>
      <c r="E8" s="777" t="s">
        <v>352</v>
      </c>
      <c r="F8" s="777" t="s">
        <v>352</v>
      </c>
      <c r="G8" s="777">
        <v>3565.9216</v>
      </c>
      <c r="H8" s="777">
        <v>5114.119</v>
      </c>
      <c r="I8" s="777">
        <v>5327.1642</v>
      </c>
      <c r="J8" s="777">
        <v>0</v>
      </c>
      <c r="K8" s="777">
        <v>0</v>
      </c>
      <c r="L8" s="777">
        <v>768.4106</v>
      </c>
      <c r="M8" s="777">
        <v>1250.3478</v>
      </c>
      <c r="N8" s="777">
        <v>460.219</v>
      </c>
      <c r="O8" s="777">
        <v>634.9988</v>
      </c>
      <c r="P8" s="777">
        <v>476.7662</v>
      </c>
      <c r="Q8" s="777">
        <v>676.3668</v>
      </c>
      <c r="R8" s="777">
        <v>560.5364</v>
      </c>
      <c r="S8" s="777">
        <v>761.1712</v>
      </c>
      <c r="T8" s="777">
        <v>572.9468</v>
      </c>
      <c r="U8" s="777">
        <v>813.9154</v>
      </c>
      <c r="V8" s="777">
        <v>619.4858</v>
      </c>
      <c r="W8" s="777">
        <v>864.5912</v>
      </c>
      <c r="X8" s="777">
        <v>716.7006</v>
      </c>
      <c r="Y8" s="777">
        <v>984.5584</v>
      </c>
      <c r="Z8" s="777">
        <v>551.2286</v>
      </c>
      <c r="AA8" s="777" t="s">
        <v>646</v>
      </c>
      <c r="AB8" s="777">
        <v>506.758</v>
      </c>
      <c r="AC8" s="777" t="s">
        <v>647</v>
      </c>
      <c r="AD8" s="777">
        <v>1495.4532</v>
      </c>
      <c r="AE8" s="777">
        <v>898.7198</v>
      </c>
      <c r="AF8" s="777">
        <v>0.63585523</v>
      </c>
      <c r="AG8" s="777">
        <v>0.58045405</v>
      </c>
      <c r="AH8" s="777">
        <v>0.48019237</v>
      </c>
      <c r="AI8" s="777">
        <v>1769.5162</v>
      </c>
      <c r="AJ8" s="777">
        <v>134850.3722</v>
      </c>
      <c r="AK8" s="777">
        <v>134850.3722</v>
      </c>
      <c r="AL8" s="778">
        <v>0.005</v>
      </c>
    </row>
    <row r="9" spans="1:38" ht="15" customHeight="1">
      <c r="A9" s="775">
        <v>206</v>
      </c>
      <c r="B9" s="776" t="s">
        <v>240</v>
      </c>
      <c r="C9" s="777" t="s">
        <v>352</v>
      </c>
      <c r="D9" s="777" t="s">
        <v>352</v>
      </c>
      <c r="E9" s="777" t="s">
        <v>352</v>
      </c>
      <c r="F9" s="777" t="s">
        <v>352</v>
      </c>
      <c r="G9" s="777">
        <v>3246</v>
      </c>
      <c r="H9" s="777">
        <v>4565</v>
      </c>
      <c r="I9" s="777">
        <v>5183</v>
      </c>
      <c r="J9" s="777">
        <v>520</v>
      </c>
      <c r="K9" s="777">
        <v>520</v>
      </c>
      <c r="L9" s="777">
        <v>638</v>
      </c>
      <c r="M9" s="777">
        <v>928</v>
      </c>
      <c r="N9" s="777">
        <v>236</v>
      </c>
      <c r="O9" s="777">
        <v>343</v>
      </c>
      <c r="P9" s="777">
        <v>284</v>
      </c>
      <c r="Q9" s="777">
        <v>461</v>
      </c>
      <c r="R9" s="777">
        <v>425</v>
      </c>
      <c r="S9" s="777">
        <v>609</v>
      </c>
      <c r="T9" s="777">
        <v>461</v>
      </c>
      <c r="U9" s="777">
        <v>662</v>
      </c>
      <c r="V9" s="777">
        <v>496</v>
      </c>
      <c r="W9" s="777">
        <v>709</v>
      </c>
      <c r="X9" s="777">
        <v>679</v>
      </c>
      <c r="Y9" s="777">
        <v>957</v>
      </c>
      <c r="Z9" s="777" t="s">
        <v>352</v>
      </c>
      <c r="AA9" s="777" t="s">
        <v>646</v>
      </c>
      <c r="AB9" s="777">
        <v>609</v>
      </c>
      <c r="AC9" s="777" t="s">
        <v>647</v>
      </c>
      <c r="AD9" s="777">
        <v>1637</v>
      </c>
      <c r="AE9" s="777">
        <v>1208</v>
      </c>
      <c r="AF9" s="777">
        <v>0.63585523</v>
      </c>
      <c r="AG9" s="777">
        <v>0.58045405</v>
      </c>
      <c r="AH9" s="777">
        <v>0.48019237</v>
      </c>
      <c r="AI9" s="777">
        <v>1832</v>
      </c>
      <c r="AJ9" s="777">
        <v>139989</v>
      </c>
      <c r="AK9" s="777">
        <v>139989</v>
      </c>
      <c r="AL9" s="778">
        <v>-0.01</v>
      </c>
    </row>
    <row r="10" spans="1:38" ht="15" customHeight="1">
      <c r="A10" s="775">
        <v>207</v>
      </c>
      <c r="B10" s="776" t="s">
        <v>241</v>
      </c>
      <c r="C10" s="777">
        <v>3500</v>
      </c>
      <c r="D10" s="777">
        <v>4600</v>
      </c>
      <c r="E10" s="777">
        <v>5100</v>
      </c>
      <c r="F10" s="777">
        <v>4800</v>
      </c>
      <c r="G10" s="777">
        <v>3246.1848400000003</v>
      </c>
      <c r="H10" s="777">
        <v>4564.98436</v>
      </c>
      <c r="I10" s="777">
        <v>5183.0239200000005</v>
      </c>
      <c r="J10" s="777">
        <v>519.9568</v>
      </c>
      <c r="K10" s="777">
        <v>519.9568</v>
      </c>
      <c r="L10" s="777">
        <v>638.12880000000007</v>
      </c>
      <c r="M10" s="777">
        <v>927.6502</v>
      </c>
      <c r="N10" s="777">
        <v>236.34400000000002</v>
      </c>
      <c r="O10" s="777">
        <v>342.6988</v>
      </c>
      <c r="P10" s="777">
        <v>283.61280000000005</v>
      </c>
      <c r="Q10" s="777">
        <v>460.87080000000003</v>
      </c>
      <c r="R10" s="777">
        <v>425.41920000000005</v>
      </c>
      <c r="S10" s="777">
        <v>608.58580000000006</v>
      </c>
      <c r="T10" s="777">
        <v>460.87080000000003</v>
      </c>
      <c r="U10" s="777">
        <v>661.7632000000001</v>
      </c>
      <c r="V10" s="777">
        <v>496.3224</v>
      </c>
      <c r="W10" s="777">
        <v>709.032</v>
      </c>
      <c r="X10" s="777">
        <v>679.489</v>
      </c>
      <c r="Y10" s="777">
        <v>957.1932</v>
      </c>
      <c r="Z10" s="777">
        <v>0</v>
      </c>
      <c r="AA10" s="777" t="s">
        <v>646</v>
      </c>
      <c r="AB10" s="777">
        <v>608.58580000000006</v>
      </c>
      <c r="AC10" s="777" t="s">
        <v>647</v>
      </c>
      <c r="AD10" s="777">
        <v>1636.6822000000002</v>
      </c>
      <c r="AE10" s="777">
        <v>1207.71784</v>
      </c>
      <c r="AF10" s="777">
        <v>0.63585523</v>
      </c>
      <c r="AG10" s="777">
        <v>0.58045405</v>
      </c>
      <c r="AH10" s="777">
        <v>0.48019237</v>
      </c>
      <c r="AI10" s="777">
        <v>1831.6660000000002</v>
      </c>
      <c r="AJ10" s="777">
        <v>129989.20000000001</v>
      </c>
      <c r="AK10" s="777">
        <v>129989.20000000001</v>
      </c>
      <c r="AL10" s="778">
        <v>-0.01312201</v>
      </c>
    </row>
    <row r="11" spans="1:38" ht="15" customHeight="1">
      <c r="A11" s="775">
        <v>208</v>
      </c>
      <c r="B11" s="776" t="s">
        <v>247</v>
      </c>
      <c r="C11" s="777" t="s">
        <v>352</v>
      </c>
      <c r="D11" s="777" t="s">
        <v>352</v>
      </c>
      <c r="E11" s="777" t="s">
        <v>352</v>
      </c>
      <c r="F11" s="777" t="s">
        <v>352</v>
      </c>
      <c r="G11" s="777">
        <v>4231.99</v>
      </c>
      <c r="H11" s="777">
        <v>6228.22</v>
      </c>
      <c r="I11" s="777">
        <v>6417.48</v>
      </c>
      <c r="J11" s="777" t="s">
        <v>352</v>
      </c>
      <c r="K11" s="777" t="s">
        <v>352</v>
      </c>
      <c r="L11" s="777">
        <v>819.4089597242621</v>
      </c>
      <c r="M11" s="777">
        <v>819.4089597242621</v>
      </c>
      <c r="N11" s="777" t="s">
        <v>352</v>
      </c>
      <c r="O11" s="777" t="s">
        <v>352</v>
      </c>
      <c r="P11" s="777" t="s">
        <v>352</v>
      </c>
      <c r="Q11" s="777" t="s">
        <v>352</v>
      </c>
      <c r="R11" s="777" t="s">
        <v>352</v>
      </c>
      <c r="S11" s="777" t="s">
        <v>352</v>
      </c>
      <c r="T11" s="777" t="s">
        <v>352</v>
      </c>
      <c r="U11" s="777" t="s">
        <v>352</v>
      </c>
      <c r="V11" s="777" t="s">
        <v>352</v>
      </c>
      <c r="W11" s="777" t="s">
        <v>352</v>
      </c>
      <c r="X11" s="777" t="s">
        <v>352</v>
      </c>
      <c r="Y11" s="777" t="s">
        <v>352</v>
      </c>
      <c r="Z11" s="777" t="s">
        <v>352</v>
      </c>
      <c r="AA11" s="777" t="s">
        <v>646</v>
      </c>
      <c r="AB11" s="777">
        <v>682.05</v>
      </c>
      <c r="AC11" s="777" t="s">
        <v>647</v>
      </c>
      <c r="AD11" s="777">
        <v>2308.6</v>
      </c>
      <c r="AE11" s="777">
        <v>461.88</v>
      </c>
      <c r="AF11" s="777">
        <v>0.63585523</v>
      </c>
      <c r="AG11" s="777">
        <v>0.58045405</v>
      </c>
      <c r="AH11" s="777">
        <v>0.48019237</v>
      </c>
      <c r="AI11" s="777">
        <v>1894</v>
      </c>
      <c r="AJ11" s="777">
        <v>170000</v>
      </c>
      <c r="AK11" s="777">
        <v>170000</v>
      </c>
      <c r="AL11" s="778">
        <v>-0.015</v>
      </c>
    </row>
    <row r="12" spans="1:38" ht="15" customHeight="1">
      <c r="A12" s="775">
        <v>209</v>
      </c>
      <c r="B12" s="776" t="s">
        <v>252</v>
      </c>
      <c r="C12" s="777">
        <v>3500</v>
      </c>
      <c r="D12" s="777" t="s">
        <v>352</v>
      </c>
      <c r="E12" s="777" t="s">
        <v>352</v>
      </c>
      <c r="F12" s="777">
        <v>4800</v>
      </c>
      <c r="G12" s="777">
        <v>3246.17</v>
      </c>
      <c r="H12" s="777">
        <v>4564.57</v>
      </c>
      <c r="I12" s="777">
        <v>5182.8</v>
      </c>
      <c r="J12" s="777">
        <v>519.96</v>
      </c>
      <c r="K12" s="777">
        <v>519.96</v>
      </c>
      <c r="L12" s="777">
        <v>638.13</v>
      </c>
      <c r="M12" s="777">
        <v>927.65</v>
      </c>
      <c r="N12" s="777">
        <v>236.34</v>
      </c>
      <c r="O12" s="777">
        <v>342.7</v>
      </c>
      <c r="P12" s="777">
        <v>283.61</v>
      </c>
      <c r="Q12" s="777">
        <v>460.87</v>
      </c>
      <c r="R12" s="777">
        <v>425.42</v>
      </c>
      <c r="S12" s="777">
        <v>608.59</v>
      </c>
      <c r="T12" s="777">
        <v>460.87</v>
      </c>
      <c r="U12" s="777">
        <v>661.76</v>
      </c>
      <c r="V12" s="777">
        <v>496.32</v>
      </c>
      <c r="W12" s="777">
        <v>709.03</v>
      </c>
      <c r="X12" s="777">
        <v>679.49</v>
      </c>
      <c r="Y12" s="777">
        <v>957.19</v>
      </c>
      <c r="Z12" s="777" t="s">
        <v>352</v>
      </c>
      <c r="AA12" s="777" t="s">
        <v>646</v>
      </c>
      <c r="AB12" s="777">
        <v>608.59</v>
      </c>
      <c r="AC12" s="777" t="s">
        <v>647</v>
      </c>
      <c r="AD12" s="777">
        <v>1636.68</v>
      </c>
      <c r="AE12" s="777">
        <v>1207.72</v>
      </c>
      <c r="AF12" s="777">
        <v>0.63585523</v>
      </c>
      <c r="AG12" s="777">
        <v>0.58045405</v>
      </c>
      <c r="AH12" s="777">
        <v>0.48019237</v>
      </c>
      <c r="AI12" s="777">
        <v>1831.67</v>
      </c>
      <c r="AJ12" s="777">
        <v>129989.2</v>
      </c>
      <c r="AK12" s="777">
        <v>129989.2</v>
      </c>
      <c r="AL12" s="778">
        <v>0.002</v>
      </c>
    </row>
    <row r="13" spans="1:38" ht="15" customHeight="1">
      <c r="A13" s="775">
        <v>210</v>
      </c>
      <c r="B13" s="776" t="s">
        <v>297</v>
      </c>
      <c r="C13" s="777" t="s">
        <v>352</v>
      </c>
      <c r="D13" s="777" t="s">
        <v>352</v>
      </c>
      <c r="E13" s="777" t="s">
        <v>352</v>
      </c>
      <c r="F13" s="777" t="s">
        <v>352</v>
      </c>
      <c r="G13" s="777">
        <v>4142.61</v>
      </c>
      <c r="H13" s="777">
        <v>5929.19</v>
      </c>
      <c r="I13" s="777">
        <v>5929.19</v>
      </c>
      <c r="J13" s="777" t="s">
        <v>352</v>
      </c>
      <c r="K13" s="777" t="s">
        <v>352</v>
      </c>
      <c r="L13" s="777">
        <v>1122.11163222564</v>
      </c>
      <c r="M13" s="777">
        <v>1368.37771264879</v>
      </c>
      <c r="N13" s="777">
        <v>112.74315915501</v>
      </c>
      <c r="O13" s="777">
        <v>93.184653333385</v>
      </c>
      <c r="P13" s="777">
        <v>117.574467385526</v>
      </c>
      <c r="Q13" s="777">
        <v>127.44830208181</v>
      </c>
      <c r="R13" s="777">
        <v>224.64490733465</v>
      </c>
      <c r="S13" s="777">
        <v>443.934997114589</v>
      </c>
      <c r="T13" s="777">
        <v>360.630064587261</v>
      </c>
      <c r="U13" s="777">
        <v>718.211315059402</v>
      </c>
      <c r="V13" s="777">
        <v>414.250466799949</v>
      </c>
      <c r="W13" s="777">
        <v>826.658396248399</v>
      </c>
      <c r="X13" s="777">
        <v>408.913869772076</v>
      </c>
      <c r="Y13" s="777">
        <v>1036.24293052842</v>
      </c>
      <c r="Z13" s="777" t="s">
        <v>352</v>
      </c>
      <c r="AA13" s="777" t="s">
        <v>646</v>
      </c>
      <c r="AB13" s="777">
        <v>263.57</v>
      </c>
      <c r="AC13" s="777" t="s">
        <v>647</v>
      </c>
      <c r="AD13" s="777">
        <v>1432.08</v>
      </c>
      <c r="AE13" s="777">
        <v>407</v>
      </c>
      <c r="AF13" s="777">
        <v>0.63585523</v>
      </c>
      <c r="AG13" s="777">
        <v>0.58045405</v>
      </c>
      <c r="AH13" s="777">
        <v>0.48019237</v>
      </c>
      <c r="AI13" s="777">
        <v>1529.91</v>
      </c>
      <c r="AJ13" s="777">
        <v>137400</v>
      </c>
      <c r="AK13" s="777">
        <v>137400</v>
      </c>
      <c r="AL13" s="778">
        <v>0</v>
      </c>
    </row>
    <row r="14" spans="1:38" ht="15" customHeight="1">
      <c r="A14" s="775">
        <v>211</v>
      </c>
      <c r="B14" s="776" t="s">
        <v>312</v>
      </c>
      <c r="C14" s="777">
        <v>3500</v>
      </c>
      <c r="D14" s="777">
        <v>4600</v>
      </c>
      <c r="E14" s="777">
        <v>5100</v>
      </c>
      <c r="F14" s="777">
        <v>4800</v>
      </c>
      <c r="G14" s="777">
        <v>3246.17</v>
      </c>
      <c r="H14" s="777">
        <v>4546.57</v>
      </c>
      <c r="I14" s="777">
        <v>5182.8</v>
      </c>
      <c r="J14" s="777">
        <v>519.96</v>
      </c>
      <c r="K14" s="777">
        <v>519.96</v>
      </c>
      <c r="L14" s="777">
        <v>638.1288</v>
      </c>
      <c r="M14" s="777">
        <v>927.6502</v>
      </c>
      <c r="N14" s="777">
        <v>236.34</v>
      </c>
      <c r="O14" s="777">
        <v>342.7</v>
      </c>
      <c r="P14" s="777">
        <v>283.61</v>
      </c>
      <c r="Q14" s="777">
        <v>460.87</v>
      </c>
      <c r="R14" s="777">
        <v>425.42</v>
      </c>
      <c r="S14" s="777">
        <v>608.59</v>
      </c>
      <c r="T14" s="777">
        <v>460.87</v>
      </c>
      <c r="U14" s="777">
        <v>661.76</v>
      </c>
      <c r="V14" s="777">
        <v>496.32</v>
      </c>
      <c r="W14" s="777">
        <v>709.03</v>
      </c>
      <c r="X14" s="777">
        <v>679.49</v>
      </c>
      <c r="Y14" s="777">
        <v>957.19</v>
      </c>
      <c r="Z14" s="777">
        <v>0</v>
      </c>
      <c r="AA14" s="777" t="s">
        <v>646</v>
      </c>
      <c r="AB14" s="777">
        <v>608.5858</v>
      </c>
      <c r="AC14" s="777" t="s">
        <v>647</v>
      </c>
      <c r="AD14" s="777">
        <v>1636.68</v>
      </c>
      <c r="AE14" s="777">
        <v>1240.81</v>
      </c>
      <c r="AF14" s="777">
        <v>0.63585523</v>
      </c>
      <c r="AG14" s="777">
        <v>0.58045405</v>
      </c>
      <c r="AH14" s="777">
        <v>0.48019237</v>
      </c>
      <c r="AI14" s="777">
        <v>1831.67</v>
      </c>
      <c r="AJ14" s="777">
        <v>129989.2</v>
      </c>
      <c r="AK14" s="777">
        <v>129989.2</v>
      </c>
      <c r="AL14" s="778">
        <v>0.0026313831418173232</v>
      </c>
    </row>
    <row r="15" spans="1:38" ht="15" customHeight="1">
      <c r="A15" s="775">
        <v>212</v>
      </c>
      <c r="B15" s="776" t="s">
        <v>317</v>
      </c>
      <c r="C15" s="777" t="s">
        <v>352</v>
      </c>
      <c r="D15" s="777" t="s">
        <v>352</v>
      </c>
      <c r="E15" s="777" t="s">
        <v>352</v>
      </c>
      <c r="F15" s="777" t="s">
        <v>352</v>
      </c>
      <c r="G15" s="777">
        <v>3731.6191</v>
      </c>
      <c r="H15" s="777">
        <v>4701.8907</v>
      </c>
      <c r="I15" s="777">
        <v>5821.3677</v>
      </c>
      <c r="J15" s="777">
        <v>2541.16</v>
      </c>
      <c r="K15" s="777">
        <v>2687.07</v>
      </c>
      <c r="L15" s="777" t="s">
        <v>352</v>
      </c>
      <c r="M15" s="777" t="s">
        <v>352</v>
      </c>
      <c r="N15" s="777" t="s">
        <v>352</v>
      </c>
      <c r="O15" s="777" t="s">
        <v>352</v>
      </c>
      <c r="P15" s="777" t="s">
        <v>352</v>
      </c>
      <c r="Q15" s="777" t="s">
        <v>352</v>
      </c>
      <c r="R15" s="777" t="s">
        <v>352</v>
      </c>
      <c r="S15" s="777" t="s">
        <v>352</v>
      </c>
      <c r="T15" s="777" t="s">
        <v>352</v>
      </c>
      <c r="U15" s="777" t="s">
        <v>352</v>
      </c>
      <c r="V15" s="777" t="s">
        <v>352</v>
      </c>
      <c r="W15" s="777" t="s">
        <v>352</v>
      </c>
      <c r="X15" s="777" t="s">
        <v>352</v>
      </c>
      <c r="Y15" s="777" t="s">
        <v>352</v>
      </c>
      <c r="Z15" s="777" t="s">
        <v>352</v>
      </c>
      <c r="AA15" s="777" t="s">
        <v>646</v>
      </c>
      <c r="AB15" s="777">
        <v>542.07</v>
      </c>
      <c r="AC15" s="777" t="s">
        <v>647</v>
      </c>
      <c r="AD15" s="777">
        <v>1474.43</v>
      </c>
      <c r="AE15" s="777">
        <v>1780.6</v>
      </c>
      <c r="AF15" s="777">
        <v>0.63585523</v>
      </c>
      <c r="AG15" s="777">
        <v>0.58045405</v>
      </c>
      <c r="AH15" s="777">
        <v>0.48019237</v>
      </c>
      <c r="AI15" s="777">
        <v>1543.6</v>
      </c>
      <c r="AJ15" s="777">
        <v>100000</v>
      </c>
      <c r="AK15" s="777">
        <v>100000</v>
      </c>
      <c r="AL15" s="778">
        <v>-0.015</v>
      </c>
    </row>
    <row r="16" spans="1:38" ht="15" customHeight="1">
      <c r="A16" s="775">
        <v>213</v>
      </c>
      <c r="B16" s="776" t="s">
        <v>322</v>
      </c>
      <c r="C16" s="777">
        <v>3500</v>
      </c>
      <c r="D16" s="777">
        <v>4600</v>
      </c>
      <c r="E16" s="777">
        <v>5100</v>
      </c>
      <c r="F16" s="777">
        <v>4800</v>
      </c>
      <c r="G16" s="777">
        <v>3754.6462958093994</v>
      </c>
      <c r="H16" s="777">
        <v>5309.8972498006</v>
      </c>
      <c r="I16" s="777">
        <v>5958.7146180326</v>
      </c>
      <c r="J16" s="777" t="s">
        <v>352</v>
      </c>
      <c r="K16" s="777" t="s">
        <v>352</v>
      </c>
      <c r="L16" s="777">
        <v>954.16</v>
      </c>
      <c r="M16" s="777">
        <v>1220.32</v>
      </c>
      <c r="N16" s="777" t="s">
        <v>352</v>
      </c>
      <c r="O16" s="777" t="s">
        <v>352</v>
      </c>
      <c r="P16" s="777" t="s">
        <v>352</v>
      </c>
      <c r="Q16" s="777" t="s">
        <v>352</v>
      </c>
      <c r="R16" s="777" t="s">
        <v>352</v>
      </c>
      <c r="S16" s="777" t="s">
        <v>352</v>
      </c>
      <c r="T16" s="777" t="s">
        <v>352</v>
      </c>
      <c r="U16" s="777">
        <v>14.01</v>
      </c>
      <c r="V16" s="777" t="s">
        <v>352</v>
      </c>
      <c r="W16" s="777">
        <v>28.03</v>
      </c>
      <c r="X16" s="777" t="s">
        <v>352</v>
      </c>
      <c r="Y16" s="777">
        <v>42.04</v>
      </c>
      <c r="Z16" s="777">
        <v>0</v>
      </c>
      <c r="AA16" s="777" t="s">
        <v>646</v>
      </c>
      <c r="AB16" s="777">
        <v>599.55</v>
      </c>
      <c r="AC16" s="777" t="s">
        <v>647</v>
      </c>
      <c r="AD16" s="777">
        <v>3208.58</v>
      </c>
      <c r="AE16" s="777">
        <v>722.34</v>
      </c>
      <c r="AF16" s="777">
        <v>0.63585523</v>
      </c>
      <c r="AG16" s="777">
        <v>0.58045405</v>
      </c>
      <c r="AH16" s="777">
        <v>0.48019237</v>
      </c>
      <c r="AI16" s="777">
        <v>1851.21</v>
      </c>
      <c r="AJ16" s="777">
        <v>129989.2</v>
      </c>
      <c r="AK16" s="777">
        <v>129989.2</v>
      </c>
      <c r="AL16" s="778">
        <v>-0.015</v>
      </c>
    </row>
    <row r="17" spans="1:38" ht="15" customHeight="1">
      <c r="A17" s="775">
        <v>301</v>
      </c>
      <c r="B17" s="776" t="s">
        <v>172</v>
      </c>
      <c r="C17" s="777">
        <v>3500</v>
      </c>
      <c r="D17" s="777">
        <v>4600</v>
      </c>
      <c r="E17" s="777">
        <v>5100</v>
      </c>
      <c r="F17" s="777">
        <v>4800</v>
      </c>
      <c r="G17" s="777">
        <v>3060.1445096662364</v>
      </c>
      <c r="H17" s="777">
        <v>4303.3630290646779</v>
      </c>
      <c r="I17" s="777">
        <v>4885.9824606465645</v>
      </c>
      <c r="J17" s="777">
        <v>496.6368</v>
      </c>
      <c r="K17" s="777">
        <v>496.6368</v>
      </c>
      <c r="L17" s="777">
        <v>609.5088</v>
      </c>
      <c r="M17" s="777">
        <v>886.04519999999991</v>
      </c>
      <c r="N17" s="777">
        <v>225.744</v>
      </c>
      <c r="O17" s="777">
        <v>327.3288</v>
      </c>
      <c r="P17" s="777">
        <v>270.89279999999997</v>
      </c>
      <c r="Q17" s="777">
        <v>440.20079999999996</v>
      </c>
      <c r="R17" s="777">
        <v>406.3392</v>
      </c>
      <c r="S17" s="777">
        <v>581.2908</v>
      </c>
      <c r="T17" s="777">
        <v>440.20079999999996</v>
      </c>
      <c r="U17" s="777">
        <v>632.08319999999992</v>
      </c>
      <c r="V17" s="777">
        <v>474.06239999999997</v>
      </c>
      <c r="W17" s="777">
        <v>677.232</v>
      </c>
      <c r="X17" s="777">
        <v>649.014</v>
      </c>
      <c r="Y17" s="777">
        <v>914.2632</v>
      </c>
      <c r="Z17" s="777" t="s">
        <v>352</v>
      </c>
      <c r="AA17" s="777" t="s">
        <v>646</v>
      </c>
      <c r="AB17" s="777">
        <v>581.2908</v>
      </c>
      <c r="AC17" s="777" t="s">
        <v>647</v>
      </c>
      <c r="AD17" s="777">
        <v>1563.2772</v>
      </c>
      <c r="AE17" s="777">
        <v>1153.5518399999999</v>
      </c>
      <c r="AF17" s="777">
        <v>0.63585523</v>
      </c>
      <c r="AG17" s="777">
        <v>0.58045405</v>
      </c>
      <c r="AH17" s="777">
        <v>0.48019237</v>
      </c>
      <c r="AI17" s="777">
        <v>1749.5159999999998</v>
      </c>
      <c r="AJ17" s="777">
        <v>124159.2</v>
      </c>
      <c r="AK17" s="777">
        <v>124159.2</v>
      </c>
      <c r="AL17" s="778">
        <v>0</v>
      </c>
    </row>
    <row r="18" spans="1:38" ht="15" customHeight="1">
      <c r="A18" s="775">
        <v>302</v>
      </c>
      <c r="B18" s="776" t="s">
        <v>174</v>
      </c>
      <c r="C18" s="777">
        <v>3500</v>
      </c>
      <c r="D18" s="777">
        <v>4600</v>
      </c>
      <c r="E18" s="777">
        <v>5100</v>
      </c>
      <c r="F18" s="777">
        <v>4800</v>
      </c>
      <c r="G18" s="777">
        <v>3016.2774297</v>
      </c>
      <c r="H18" s="777">
        <v>4241.3055795</v>
      </c>
      <c r="I18" s="777">
        <v>4815.7509543000006</v>
      </c>
      <c r="J18" s="777">
        <v>483.13320000000004</v>
      </c>
      <c r="K18" s="777">
        <v>483.13320000000004</v>
      </c>
      <c r="L18" s="777">
        <v>592.9362</v>
      </c>
      <c r="M18" s="777">
        <v>861.95355000000006</v>
      </c>
      <c r="N18" s="777">
        <v>219.60600000000002</v>
      </c>
      <c r="O18" s="777">
        <v>318.4287</v>
      </c>
      <c r="P18" s="777">
        <v>263.5272</v>
      </c>
      <c r="Q18" s="777">
        <v>428.23170000000005</v>
      </c>
      <c r="R18" s="777">
        <v>395.29080000000005</v>
      </c>
      <c r="S18" s="777">
        <v>565.48545</v>
      </c>
      <c r="T18" s="777">
        <v>428.23170000000005</v>
      </c>
      <c r="U18" s="777">
        <v>614.8968</v>
      </c>
      <c r="V18" s="777">
        <v>461.17260000000005</v>
      </c>
      <c r="W18" s="777">
        <v>658.818</v>
      </c>
      <c r="X18" s="777">
        <v>631.36725</v>
      </c>
      <c r="Y18" s="777">
        <v>889.4043</v>
      </c>
      <c r="Z18" s="777" t="s">
        <v>352</v>
      </c>
      <c r="AA18" s="777" t="s">
        <v>650</v>
      </c>
      <c r="AB18" s="777">
        <v>565.48545</v>
      </c>
      <c r="AC18" s="777" t="s">
        <v>651</v>
      </c>
      <c r="AD18" s="777">
        <v>1520.7715500000002</v>
      </c>
      <c r="AE18" s="777">
        <v>1122.18666</v>
      </c>
      <c r="AF18" s="777">
        <v>0.63585523</v>
      </c>
      <c r="AG18" s="777">
        <v>0.58045405</v>
      </c>
      <c r="AH18" s="777">
        <v>0.48019237</v>
      </c>
      <c r="AI18" s="777">
        <v>1701.9465</v>
      </c>
      <c r="AJ18" s="777">
        <v>120783.3</v>
      </c>
      <c r="AK18" s="777">
        <v>120783.3</v>
      </c>
      <c r="AL18" s="778">
        <v>0</v>
      </c>
    </row>
    <row r="19" spans="1:38" ht="15" customHeight="1">
      <c r="A19" s="775">
        <v>303</v>
      </c>
      <c r="B19" s="776" t="s">
        <v>181</v>
      </c>
      <c r="C19" s="777" t="s">
        <v>352</v>
      </c>
      <c r="D19" s="777" t="s">
        <v>352</v>
      </c>
      <c r="E19" s="777" t="s">
        <v>352</v>
      </c>
      <c r="F19" s="777" t="s">
        <v>352</v>
      </c>
      <c r="G19" s="777">
        <v>2954.4325619370848</v>
      </c>
      <c r="H19" s="777">
        <v>4212.3609776699141</v>
      </c>
      <c r="I19" s="777">
        <v>4586.0275950988917</v>
      </c>
      <c r="J19" s="777">
        <v>476.09759999999994</v>
      </c>
      <c r="K19" s="777">
        <v>476.09759999999994</v>
      </c>
      <c r="L19" s="777">
        <v>584.30159999999989</v>
      </c>
      <c r="M19" s="777">
        <v>849.4014</v>
      </c>
      <c r="N19" s="777">
        <v>176.88403864012571</v>
      </c>
      <c r="O19" s="777">
        <v>249.63474509954651</v>
      </c>
      <c r="P19" s="777">
        <v>223.92327728025134</v>
      </c>
      <c r="Q19" s="777">
        <v>345.07879019909308</v>
      </c>
      <c r="R19" s="777">
        <v>321.30687728025134</v>
      </c>
      <c r="S19" s="777">
        <v>446.52004019909305</v>
      </c>
      <c r="T19" s="777">
        <v>360.23081592037704</v>
      </c>
      <c r="U19" s="777">
        <v>497.32993529863961</v>
      </c>
      <c r="V19" s="777">
        <v>384.57671592037696</v>
      </c>
      <c r="W19" s="777">
        <v>529.79113529863957</v>
      </c>
      <c r="X19" s="777">
        <v>524.94190456050262</v>
      </c>
      <c r="Y19" s="777">
        <v>714.50348039818607</v>
      </c>
      <c r="Z19" s="777">
        <v>0</v>
      </c>
      <c r="AA19" s="777" t="s">
        <v>646</v>
      </c>
      <c r="AB19" s="777">
        <v>510.93373333333335</v>
      </c>
      <c r="AC19" s="777" t="s">
        <v>647</v>
      </c>
      <c r="AD19" s="777">
        <v>1138.5169333333333</v>
      </c>
      <c r="AE19" s="777">
        <v>1299.8831973519291</v>
      </c>
      <c r="AF19" s="777">
        <v>0.63585523</v>
      </c>
      <c r="AG19" s="777">
        <v>0.58045405</v>
      </c>
      <c r="AH19" s="777">
        <v>0.48019237</v>
      </c>
      <c r="AI19" s="777">
        <v>2056.3839232015921</v>
      </c>
      <c r="AJ19" s="777">
        <v>123091.83391812866</v>
      </c>
      <c r="AK19" s="777">
        <v>126776.68333333335</v>
      </c>
      <c r="AL19" s="778">
        <v>0</v>
      </c>
    </row>
    <row r="20" spans="1:38" ht="15" customHeight="1">
      <c r="A20" s="775">
        <v>304</v>
      </c>
      <c r="B20" s="776" t="s">
        <v>191</v>
      </c>
      <c r="C20" s="777" t="s">
        <v>352</v>
      </c>
      <c r="D20" s="777" t="s">
        <v>352</v>
      </c>
      <c r="E20" s="777" t="s">
        <v>352</v>
      </c>
      <c r="F20" s="777" t="s">
        <v>352</v>
      </c>
      <c r="G20" s="777">
        <v>3470.1699999999996</v>
      </c>
      <c r="H20" s="777">
        <v>5043.095</v>
      </c>
      <c r="I20" s="777">
        <v>5566.33</v>
      </c>
      <c r="J20" s="777">
        <v>0</v>
      </c>
      <c r="K20" s="777">
        <v>0</v>
      </c>
      <c r="L20" s="777">
        <v>0</v>
      </c>
      <c r="M20" s="777">
        <v>0</v>
      </c>
      <c r="N20" s="777">
        <v>351.812</v>
      </c>
      <c r="O20" s="777">
        <v>373.18</v>
      </c>
      <c r="P20" s="777">
        <v>356.83000000000004</v>
      </c>
      <c r="Q20" s="777">
        <v>395.82000000000005</v>
      </c>
      <c r="R20" s="777">
        <v>364.025</v>
      </c>
      <c r="S20" s="777">
        <v>490.82999999999993</v>
      </c>
      <c r="T20" s="777">
        <v>602.58999999999992</v>
      </c>
      <c r="U20" s="777">
        <v>653.76</v>
      </c>
      <c r="V20" s="777">
        <v>914.01</v>
      </c>
      <c r="W20" s="777">
        <v>1004.5</v>
      </c>
      <c r="X20" s="777">
        <v>1289.62</v>
      </c>
      <c r="Y20" s="777">
        <v>1425.34</v>
      </c>
      <c r="Z20" s="777">
        <v>1053.29</v>
      </c>
      <c r="AA20" s="777" t="s">
        <v>648</v>
      </c>
      <c r="AB20" s="777">
        <v>1299.52</v>
      </c>
      <c r="AC20" s="777" t="s">
        <v>649</v>
      </c>
      <c r="AD20" s="777">
        <v>1454.9399999999998</v>
      </c>
      <c r="AE20" s="777">
        <v>1250.56</v>
      </c>
      <c r="AF20" s="777">
        <v>0.63585523</v>
      </c>
      <c r="AG20" s="777">
        <v>0.58045405</v>
      </c>
      <c r="AH20" s="777">
        <v>0.48019237</v>
      </c>
      <c r="AI20" s="777">
        <v>1614.8000000000002</v>
      </c>
      <c r="AJ20" s="777">
        <v>175000</v>
      </c>
      <c r="AK20" s="777">
        <v>175000</v>
      </c>
      <c r="AL20" s="778">
        <v>-0.015</v>
      </c>
    </row>
    <row r="21" spans="1:38" ht="15" customHeight="1">
      <c r="A21" s="775">
        <v>305</v>
      </c>
      <c r="B21" s="776" t="s">
        <v>194</v>
      </c>
      <c r="C21" s="777" t="s">
        <v>352</v>
      </c>
      <c r="D21" s="777" t="s">
        <v>352</v>
      </c>
      <c r="E21" s="777" t="s">
        <v>352</v>
      </c>
      <c r="F21" s="777" t="s">
        <v>352</v>
      </c>
      <c r="G21" s="777">
        <v>2972</v>
      </c>
      <c r="H21" s="777">
        <v>4179</v>
      </c>
      <c r="I21" s="777">
        <v>4745</v>
      </c>
      <c r="J21" s="777">
        <v>476</v>
      </c>
      <c r="K21" s="777">
        <v>476</v>
      </c>
      <c r="L21" s="777">
        <v>584</v>
      </c>
      <c r="M21" s="777">
        <v>849</v>
      </c>
      <c r="N21" s="777">
        <v>216</v>
      </c>
      <c r="O21" s="777">
        <v>313</v>
      </c>
      <c r="P21" s="777">
        <v>259</v>
      </c>
      <c r="Q21" s="777">
        <v>422</v>
      </c>
      <c r="R21" s="777">
        <v>389</v>
      </c>
      <c r="S21" s="777">
        <v>557</v>
      </c>
      <c r="T21" s="777">
        <v>422</v>
      </c>
      <c r="U21" s="777">
        <v>605</v>
      </c>
      <c r="V21" s="777">
        <v>454</v>
      </c>
      <c r="W21" s="777">
        <v>649</v>
      </c>
      <c r="X21" s="777">
        <v>622</v>
      </c>
      <c r="Y21" s="777">
        <v>876</v>
      </c>
      <c r="Z21" s="777" t="s">
        <v>352</v>
      </c>
      <c r="AA21" s="777" t="s">
        <v>646</v>
      </c>
      <c r="AB21" s="777">
        <v>557</v>
      </c>
      <c r="AC21" s="777" t="s">
        <v>647</v>
      </c>
      <c r="AD21" s="777">
        <v>1498</v>
      </c>
      <c r="AE21" s="777">
        <v>1105</v>
      </c>
      <c r="AF21" s="777">
        <v>0.63585523</v>
      </c>
      <c r="AG21" s="777">
        <v>0.58045405</v>
      </c>
      <c r="AH21" s="777">
        <v>0.48019237</v>
      </c>
      <c r="AI21" s="777">
        <v>1677</v>
      </c>
      <c r="AJ21" s="777">
        <v>119024</v>
      </c>
      <c r="AK21" s="777">
        <v>119024</v>
      </c>
      <c r="AL21" s="778">
        <v>-0.0017</v>
      </c>
    </row>
    <row r="22" spans="1:38" ht="15" customHeight="1">
      <c r="A22" s="775">
        <v>306</v>
      </c>
      <c r="B22" s="776" t="s">
        <v>206</v>
      </c>
      <c r="C22" s="777">
        <v>3500</v>
      </c>
      <c r="D22" s="777">
        <v>4200</v>
      </c>
      <c r="E22" s="777">
        <v>4800</v>
      </c>
      <c r="F22" s="777">
        <v>4800</v>
      </c>
      <c r="G22" s="777">
        <v>3196.2730878532248</v>
      </c>
      <c r="H22" s="777">
        <v>4133.705054942895</v>
      </c>
      <c r="I22" s="777">
        <v>4417.2832081592651</v>
      </c>
      <c r="J22" s="777">
        <v>986.922</v>
      </c>
      <c r="K22" s="777" t="s">
        <v>352</v>
      </c>
      <c r="L22" s="777" t="s">
        <v>352</v>
      </c>
      <c r="M22" s="777">
        <v>1027.07</v>
      </c>
      <c r="N22" s="777">
        <v>168.18</v>
      </c>
      <c r="O22" s="777">
        <v>215.23999999999998</v>
      </c>
      <c r="P22" s="777">
        <v>240.47</v>
      </c>
      <c r="Q22" s="777">
        <v>350.62</v>
      </c>
      <c r="R22" s="777">
        <v>337.59</v>
      </c>
      <c r="S22" s="777">
        <v>480.36</v>
      </c>
      <c r="T22" s="777">
        <v>408.19</v>
      </c>
      <c r="U22" s="777">
        <v>561.22</v>
      </c>
      <c r="V22" s="777">
        <v>539.75</v>
      </c>
      <c r="W22" s="777">
        <v>693.04</v>
      </c>
      <c r="X22" s="777">
        <v>1026.14</v>
      </c>
      <c r="Y22" s="777">
        <v>1490.49</v>
      </c>
      <c r="Z22" s="777">
        <v>500</v>
      </c>
      <c r="AA22" s="777" t="s">
        <v>646</v>
      </c>
      <c r="AB22" s="777">
        <v>521.03</v>
      </c>
      <c r="AC22" s="777" t="s">
        <v>647</v>
      </c>
      <c r="AD22" s="777">
        <v>1600.7</v>
      </c>
      <c r="AE22" s="777">
        <v>376.69</v>
      </c>
      <c r="AF22" s="777">
        <v>0.63585523</v>
      </c>
      <c r="AG22" s="777">
        <v>0.58045405</v>
      </c>
      <c r="AH22" s="777">
        <v>0.48019237</v>
      </c>
      <c r="AI22" s="777">
        <v>1166.65</v>
      </c>
      <c r="AJ22" s="777">
        <v>140000</v>
      </c>
      <c r="AK22" s="777">
        <v>140000</v>
      </c>
      <c r="AL22" s="778">
        <v>-0.015</v>
      </c>
    </row>
    <row r="23" spans="1:38" ht="15" customHeight="1">
      <c r="A23" s="775">
        <v>307</v>
      </c>
      <c r="B23" s="776" t="s">
        <v>218</v>
      </c>
      <c r="C23" s="777" t="s">
        <v>352</v>
      </c>
      <c r="D23" s="777" t="s">
        <v>352</v>
      </c>
      <c r="E23" s="777" t="s">
        <v>352</v>
      </c>
      <c r="F23" s="777" t="s">
        <v>352</v>
      </c>
      <c r="G23" s="777">
        <v>3144.51</v>
      </c>
      <c r="H23" s="777">
        <v>4421.61</v>
      </c>
      <c r="I23" s="777">
        <v>5020.48</v>
      </c>
      <c r="J23" s="777">
        <v>496</v>
      </c>
      <c r="K23" s="777">
        <v>496</v>
      </c>
      <c r="L23" s="777">
        <v>618.14</v>
      </c>
      <c r="M23" s="777">
        <v>898.6</v>
      </c>
      <c r="N23" s="777">
        <v>228.94</v>
      </c>
      <c r="O23" s="777">
        <v>331.97</v>
      </c>
      <c r="P23" s="777">
        <v>274.73</v>
      </c>
      <c r="Q23" s="777">
        <v>446.44</v>
      </c>
      <c r="R23" s="777">
        <v>412.1</v>
      </c>
      <c r="S23" s="777">
        <v>589.53</v>
      </c>
      <c r="T23" s="777">
        <v>446.44</v>
      </c>
      <c r="U23" s="777">
        <v>641.04</v>
      </c>
      <c r="V23" s="777">
        <v>480.78</v>
      </c>
      <c r="W23" s="777">
        <v>686.83</v>
      </c>
      <c r="X23" s="777">
        <v>658.21</v>
      </c>
      <c r="Y23" s="777">
        <v>927.22</v>
      </c>
      <c r="Z23" s="777" t="s">
        <v>352</v>
      </c>
      <c r="AA23" s="777" t="s">
        <v>646</v>
      </c>
      <c r="AB23" s="777">
        <v>589.53</v>
      </c>
      <c r="AC23" s="777" t="s">
        <v>647</v>
      </c>
      <c r="AD23" s="777">
        <v>1585.42</v>
      </c>
      <c r="AE23" s="777">
        <v>1037.59</v>
      </c>
      <c r="AF23" s="777">
        <v>0.63585523</v>
      </c>
      <c r="AG23" s="777">
        <v>0.58045405</v>
      </c>
      <c r="AH23" s="777">
        <v>0.48019237</v>
      </c>
      <c r="AI23" s="777">
        <v>1575</v>
      </c>
      <c r="AJ23" s="777">
        <v>125918</v>
      </c>
      <c r="AK23" s="777">
        <v>125918</v>
      </c>
      <c r="AL23" s="778">
        <v>0</v>
      </c>
    </row>
    <row r="24" spans="1:38" ht="15" customHeight="1">
      <c r="A24" s="775">
        <v>308</v>
      </c>
      <c r="B24" s="776" t="s">
        <v>221</v>
      </c>
      <c r="C24" s="777">
        <v>3500</v>
      </c>
      <c r="D24" s="777">
        <v>0</v>
      </c>
      <c r="E24" s="777">
        <v>0</v>
      </c>
      <c r="F24" s="777">
        <v>4800</v>
      </c>
      <c r="G24" s="777">
        <v>3161.00783576</v>
      </c>
      <c r="H24" s="777">
        <v>4250.0090836</v>
      </c>
      <c r="I24" s="777">
        <v>4816.75761144</v>
      </c>
      <c r="J24" s="777">
        <v>891.36482406085088</v>
      </c>
      <c r="K24" s="777">
        <v>1074.0597296285628</v>
      </c>
      <c r="L24" s="777">
        <v>350.58095999999995</v>
      </c>
      <c r="M24" s="777">
        <v>637.05105</v>
      </c>
      <c r="N24" s="777">
        <v>129.8448</v>
      </c>
      <c r="O24" s="777">
        <v>188.27495999999996</v>
      </c>
      <c r="P24" s="777">
        <v>155.81375999999997</v>
      </c>
      <c r="Q24" s="777">
        <v>253.19735999999997</v>
      </c>
      <c r="R24" s="777">
        <v>233.72063999999995</v>
      </c>
      <c r="S24" s="777">
        <v>334.35035999999997</v>
      </c>
      <c r="T24" s="777">
        <v>253.19735999999997</v>
      </c>
      <c r="U24" s="777">
        <v>383.70543999999995</v>
      </c>
      <c r="V24" s="777">
        <v>318.71534527214089</v>
      </c>
      <c r="W24" s="777">
        <v>415.71639999999991</v>
      </c>
      <c r="X24" s="777">
        <v>419.72068468890137</v>
      </c>
      <c r="Y24" s="777">
        <v>566.15143999999987</v>
      </c>
      <c r="Z24" s="777">
        <v>0</v>
      </c>
      <c r="AA24" s="777" t="s">
        <v>646</v>
      </c>
      <c r="AB24" s="777">
        <v>557.2506</v>
      </c>
      <c r="AC24" s="777" t="s">
        <v>647</v>
      </c>
      <c r="AD24" s="777">
        <v>1498.6254</v>
      </c>
      <c r="AE24" s="777">
        <v>963.64519999999993</v>
      </c>
      <c r="AF24" s="777">
        <v>0.63585523</v>
      </c>
      <c r="AG24" s="777">
        <v>0.58045405</v>
      </c>
      <c r="AH24" s="777">
        <v>0.48019237</v>
      </c>
      <c r="AI24" s="777">
        <v>1677.1619999999998</v>
      </c>
      <c r="AJ24" s="777">
        <v>136214.63999999998</v>
      </c>
      <c r="AK24" s="777">
        <v>136214.63999999998</v>
      </c>
      <c r="AL24" s="778">
        <v>-0.006</v>
      </c>
    </row>
    <row r="25" spans="1:38" ht="15" customHeight="1">
      <c r="A25" s="775">
        <v>309</v>
      </c>
      <c r="B25" s="776" t="s">
        <v>230</v>
      </c>
      <c r="C25" s="777" t="s">
        <v>352</v>
      </c>
      <c r="D25" s="777" t="s">
        <v>352</v>
      </c>
      <c r="E25" s="777" t="s">
        <v>352</v>
      </c>
      <c r="F25" s="777" t="s">
        <v>352</v>
      </c>
      <c r="G25" s="777">
        <v>3642.88</v>
      </c>
      <c r="H25" s="777">
        <v>5423.12</v>
      </c>
      <c r="I25" s="777">
        <v>5423.12</v>
      </c>
      <c r="J25" s="777">
        <v>1190.67192485313</v>
      </c>
      <c r="K25" s="777">
        <v>1459.73497337137</v>
      </c>
      <c r="L25" s="777" t="s">
        <v>352</v>
      </c>
      <c r="M25" s="777" t="s">
        <v>352</v>
      </c>
      <c r="N25" s="777">
        <v>215.498131185799</v>
      </c>
      <c r="O25" s="777">
        <v>379.022532054764</v>
      </c>
      <c r="P25" s="777">
        <v>263.393318433785</v>
      </c>
      <c r="Q25" s="777">
        <v>455.658859842228</v>
      </c>
      <c r="R25" s="777">
        <v>335.205887875625</v>
      </c>
      <c r="S25" s="777">
        <v>593.715025103507</v>
      </c>
      <c r="T25" s="777">
        <v>430.966050941457</v>
      </c>
      <c r="U25" s="777">
        <v>754.459974399629</v>
      </c>
      <c r="V25" s="777">
        <v>526.736284484004</v>
      </c>
      <c r="W25" s="777">
        <v>922.143482151147</v>
      </c>
      <c r="X25" s="777">
        <v>721.086414572079</v>
      </c>
      <c r="Y25" s="777">
        <v>1167.68184537243</v>
      </c>
      <c r="Z25" s="777">
        <v>710.2</v>
      </c>
      <c r="AA25" s="777" t="s">
        <v>646</v>
      </c>
      <c r="AB25" s="777">
        <v>355.1</v>
      </c>
      <c r="AC25" s="777" t="s">
        <v>647</v>
      </c>
      <c r="AD25" s="777">
        <v>710.2</v>
      </c>
      <c r="AE25" s="777">
        <v>815.77</v>
      </c>
      <c r="AF25" s="777">
        <v>0.63585523</v>
      </c>
      <c r="AG25" s="777">
        <v>0.58045405</v>
      </c>
      <c r="AH25" s="777">
        <v>0.48019237</v>
      </c>
      <c r="AI25" s="777">
        <v>815.77</v>
      </c>
      <c r="AJ25" s="777">
        <v>170000</v>
      </c>
      <c r="AK25" s="777" t="s">
        <v>352</v>
      </c>
      <c r="AL25" s="778">
        <v>0.002</v>
      </c>
    </row>
    <row r="26" spans="1:38" ht="15" customHeight="1">
      <c r="A26" s="775">
        <v>310</v>
      </c>
      <c r="B26" s="776" t="s">
        <v>231</v>
      </c>
      <c r="C26" s="777">
        <v>3500</v>
      </c>
      <c r="D26" s="777">
        <v>4600</v>
      </c>
      <c r="E26" s="777">
        <v>5100</v>
      </c>
      <c r="F26" s="777">
        <v>4800</v>
      </c>
      <c r="G26" s="777">
        <v>3161.97</v>
      </c>
      <c r="H26" s="777">
        <v>4446.17</v>
      </c>
      <c r="I26" s="777">
        <v>5048.35</v>
      </c>
      <c r="J26" s="777">
        <v>483.13320000000004</v>
      </c>
      <c r="K26" s="777">
        <v>483.13320000000004</v>
      </c>
      <c r="L26" s="777">
        <v>592.9362</v>
      </c>
      <c r="M26" s="777">
        <v>861.95355000000006</v>
      </c>
      <c r="N26" s="777">
        <v>219.60600000000002</v>
      </c>
      <c r="O26" s="777">
        <v>318.4287</v>
      </c>
      <c r="P26" s="777">
        <v>263.5272</v>
      </c>
      <c r="Q26" s="777">
        <v>428.23170000000005</v>
      </c>
      <c r="R26" s="777">
        <v>395.29080000000005</v>
      </c>
      <c r="S26" s="777">
        <v>565.48545</v>
      </c>
      <c r="T26" s="777">
        <v>428.23170000000005</v>
      </c>
      <c r="U26" s="777">
        <v>614.8968</v>
      </c>
      <c r="V26" s="777">
        <v>461.17260000000005</v>
      </c>
      <c r="W26" s="777">
        <v>658.818</v>
      </c>
      <c r="X26" s="777">
        <v>631.36725</v>
      </c>
      <c r="Y26" s="777">
        <v>889.4043</v>
      </c>
      <c r="Z26" s="777">
        <v>0</v>
      </c>
      <c r="AA26" s="777" t="s">
        <v>646</v>
      </c>
      <c r="AB26" s="777">
        <v>565.49</v>
      </c>
      <c r="AC26" s="777" t="s">
        <v>647</v>
      </c>
      <c r="AD26" s="777">
        <v>1520.77</v>
      </c>
      <c r="AE26" s="777">
        <v>1122.19</v>
      </c>
      <c r="AF26" s="777">
        <v>0.63585523</v>
      </c>
      <c r="AG26" s="777">
        <v>0.58045405</v>
      </c>
      <c r="AH26" s="777">
        <v>0.48019237</v>
      </c>
      <c r="AI26" s="777">
        <v>1701.95</v>
      </c>
      <c r="AJ26" s="777">
        <v>120783.3</v>
      </c>
      <c r="AK26" s="777">
        <v>120783.36</v>
      </c>
      <c r="AL26" s="778">
        <v>-0.015</v>
      </c>
    </row>
    <row r="27" spans="1:38" ht="15" customHeight="1">
      <c r="A27" s="775">
        <v>311</v>
      </c>
      <c r="B27" s="776" t="s">
        <v>233</v>
      </c>
      <c r="C27" s="777">
        <v>3500</v>
      </c>
      <c r="D27" s="777">
        <v>0</v>
      </c>
      <c r="E27" s="777">
        <v>0</v>
      </c>
      <c r="F27" s="777">
        <v>4800</v>
      </c>
      <c r="G27" s="777">
        <v>2972.35</v>
      </c>
      <c r="H27" s="777">
        <v>4179.54</v>
      </c>
      <c r="I27" s="777">
        <v>4745.62</v>
      </c>
      <c r="J27" s="777">
        <v>476.1</v>
      </c>
      <c r="K27" s="777">
        <v>476.1</v>
      </c>
      <c r="L27" s="777">
        <v>584.3</v>
      </c>
      <c r="M27" s="777">
        <v>849.4</v>
      </c>
      <c r="N27" s="777">
        <v>216.41</v>
      </c>
      <c r="O27" s="777">
        <v>313.79</v>
      </c>
      <c r="P27" s="777">
        <v>259.69</v>
      </c>
      <c r="Q27" s="777">
        <v>422</v>
      </c>
      <c r="R27" s="777">
        <v>389.53</v>
      </c>
      <c r="S27" s="777">
        <v>557.25</v>
      </c>
      <c r="T27" s="777">
        <v>422</v>
      </c>
      <c r="U27" s="777">
        <v>605.94</v>
      </c>
      <c r="V27" s="777">
        <v>454.46</v>
      </c>
      <c r="W27" s="777">
        <v>649.22</v>
      </c>
      <c r="X27" s="777">
        <v>622.17</v>
      </c>
      <c r="Y27" s="777">
        <v>876.45</v>
      </c>
      <c r="Z27" s="777">
        <v>0</v>
      </c>
      <c r="AA27" s="777" t="s">
        <v>646</v>
      </c>
      <c r="AB27" s="777">
        <v>557.25</v>
      </c>
      <c r="AC27" s="777" t="s">
        <v>647</v>
      </c>
      <c r="AD27" s="777">
        <v>1498.63</v>
      </c>
      <c r="AE27" s="777">
        <v>1105.84</v>
      </c>
      <c r="AF27" s="777">
        <v>0.63585523</v>
      </c>
      <c r="AG27" s="777">
        <v>0.58045405</v>
      </c>
      <c r="AH27" s="777">
        <v>0.48019237</v>
      </c>
      <c r="AI27" s="777">
        <v>1677.16</v>
      </c>
      <c r="AJ27" s="777">
        <v>119024.4</v>
      </c>
      <c r="AK27" s="777">
        <v>119024.4</v>
      </c>
      <c r="AL27" s="778">
        <v>0.005</v>
      </c>
    </row>
    <row r="28" spans="1:38" ht="15" customHeight="1">
      <c r="A28" s="775">
        <v>312</v>
      </c>
      <c r="B28" s="776" t="s">
        <v>236</v>
      </c>
      <c r="C28" s="777">
        <v>3500</v>
      </c>
      <c r="D28" s="777" t="s">
        <v>352</v>
      </c>
      <c r="E28" s="777">
        <v>4800</v>
      </c>
      <c r="F28" s="777">
        <v>4800</v>
      </c>
      <c r="G28" s="777">
        <v>3186.166779666577</v>
      </c>
      <c r="H28" s="777">
        <v>4131.3723114668683</v>
      </c>
      <c r="I28" s="777">
        <v>4721.5654108838726</v>
      </c>
      <c r="J28" s="777" t="s">
        <v>352</v>
      </c>
      <c r="K28" s="777" t="s">
        <v>352</v>
      </c>
      <c r="L28" s="777">
        <v>1012.51</v>
      </c>
      <c r="M28" s="777">
        <v>1316.263</v>
      </c>
      <c r="N28" s="777">
        <v>64.81</v>
      </c>
      <c r="O28" s="777">
        <v>84.253</v>
      </c>
      <c r="P28" s="777">
        <v>129.62</v>
      </c>
      <c r="Q28" s="777">
        <v>168.506</v>
      </c>
      <c r="R28" s="777">
        <v>194.43</v>
      </c>
      <c r="S28" s="777">
        <v>252.75900000000001</v>
      </c>
      <c r="T28" s="777">
        <v>259.2393519</v>
      </c>
      <c r="U28" s="777">
        <v>337.01115747</v>
      </c>
      <c r="V28" s="777">
        <v>324.04918987499997</v>
      </c>
      <c r="W28" s="777">
        <v>421.2639468375</v>
      </c>
      <c r="X28" s="777">
        <v>388.85902784999996</v>
      </c>
      <c r="Y28" s="777">
        <v>505.516736205</v>
      </c>
      <c r="Z28" s="777">
        <v>0</v>
      </c>
      <c r="AA28" s="777" t="s">
        <v>646</v>
      </c>
      <c r="AB28" s="777">
        <v>739.08</v>
      </c>
      <c r="AC28" s="777" t="s">
        <v>647</v>
      </c>
      <c r="AD28" s="777">
        <v>1113.64</v>
      </c>
      <c r="AE28" s="777">
        <v>590</v>
      </c>
      <c r="AF28" s="777">
        <v>0.63585523</v>
      </c>
      <c r="AG28" s="777">
        <v>0.58045405</v>
      </c>
      <c r="AH28" s="777">
        <v>0.48019237</v>
      </c>
      <c r="AI28" s="777">
        <v>1650</v>
      </c>
      <c r="AJ28" s="777">
        <v>140000</v>
      </c>
      <c r="AK28" s="777">
        <v>140000</v>
      </c>
      <c r="AL28" s="778">
        <v>-0.015</v>
      </c>
    </row>
    <row r="29" spans="1:38" ht="15" customHeight="1">
      <c r="A29" s="775">
        <v>313</v>
      </c>
      <c r="B29" s="776" t="s">
        <v>237</v>
      </c>
      <c r="C29" s="777">
        <v>3500</v>
      </c>
      <c r="D29" s="777">
        <v>4600</v>
      </c>
      <c r="E29" s="777">
        <v>5100</v>
      </c>
      <c r="F29" s="777">
        <v>4800</v>
      </c>
      <c r="G29" s="777">
        <v>3030.48</v>
      </c>
      <c r="H29" s="777">
        <v>4255.51</v>
      </c>
      <c r="I29" s="777">
        <v>4829.95</v>
      </c>
      <c r="J29" s="777">
        <v>483.13</v>
      </c>
      <c r="K29" s="777">
        <v>483.13</v>
      </c>
      <c r="L29" s="777">
        <v>592.94</v>
      </c>
      <c r="M29" s="777">
        <v>861.95</v>
      </c>
      <c r="N29" s="777">
        <v>219.61</v>
      </c>
      <c r="O29" s="777">
        <v>318.43</v>
      </c>
      <c r="P29" s="777">
        <v>263.53</v>
      </c>
      <c r="Q29" s="777">
        <v>428.23</v>
      </c>
      <c r="R29" s="777">
        <v>395.29</v>
      </c>
      <c r="S29" s="777">
        <v>565.48</v>
      </c>
      <c r="T29" s="777">
        <v>428.23</v>
      </c>
      <c r="U29" s="777">
        <v>614.9</v>
      </c>
      <c r="V29" s="777">
        <v>461.17</v>
      </c>
      <c r="W29" s="777">
        <v>658.82</v>
      </c>
      <c r="X29" s="777">
        <v>631.75</v>
      </c>
      <c r="Y29" s="777">
        <v>889.4</v>
      </c>
      <c r="Z29" s="777">
        <v>0</v>
      </c>
      <c r="AA29" s="777" t="s">
        <v>646</v>
      </c>
      <c r="AB29" s="777">
        <v>565.48</v>
      </c>
      <c r="AC29" s="777" t="s">
        <v>647</v>
      </c>
      <c r="AD29" s="777">
        <v>1520.77</v>
      </c>
      <c r="AE29" s="777">
        <v>1122.19</v>
      </c>
      <c r="AF29" s="777">
        <v>0.63585523</v>
      </c>
      <c r="AG29" s="777">
        <v>0.58045405</v>
      </c>
      <c r="AH29" s="777">
        <v>0.48019237</v>
      </c>
      <c r="AI29" s="777">
        <v>1701.95</v>
      </c>
      <c r="AJ29" s="777">
        <v>120783</v>
      </c>
      <c r="AK29" s="777">
        <v>120783</v>
      </c>
      <c r="AL29" s="778">
        <v>0.005</v>
      </c>
    </row>
    <row r="30" spans="1:38" ht="15" customHeight="1">
      <c r="A30" s="775">
        <v>314</v>
      </c>
      <c r="B30" s="776" t="s">
        <v>244</v>
      </c>
      <c r="C30" s="777">
        <v>3500</v>
      </c>
      <c r="D30" s="777" t="s">
        <v>352</v>
      </c>
      <c r="E30" s="777" t="s">
        <v>352</v>
      </c>
      <c r="F30" s="777">
        <v>4800</v>
      </c>
      <c r="G30" s="777">
        <v>2905.2953270840421</v>
      </c>
      <c r="H30" s="777">
        <v>4192.2936352424986</v>
      </c>
      <c r="I30" s="777">
        <v>4752.0665009698823</v>
      </c>
      <c r="J30" s="777">
        <v>893.0696483126128</v>
      </c>
      <c r="K30" s="777">
        <v>1214.0282363664742</v>
      </c>
      <c r="L30" s="777">
        <v>655.60389313608516</v>
      </c>
      <c r="M30" s="777">
        <v>976.48828802880541</v>
      </c>
      <c r="N30" s="777" t="s">
        <v>352</v>
      </c>
      <c r="O30" s="777" t="s">
        <v>352</v>
      </c>
      <c r="P30" s="777" t="s">
        <v>352</v>
      </c>
      <c r="Q30" s="777" t="s">
        <v>352</v>
      </c>
      <c r="R30" s="777" t="s">
        <v>352</v>
      </c>
      <c r="S30" s="777" t="s">
        <v>352</v>
      </c>
      <c r="T30" s="777" t="s">
        <v>352</v>
      </c>
      <c r="U30" s="777" t="s">
        <v>352</v>
      </c>
      <c r="V30" s="777" t="s">
        <v>352</v>
      </c>
      <c r="W30" s="777" t="s">
        <v>352</v>
      </c>
      <c r="X30" s="777" t="s">
        <v>352</v>
      </c>
      <c r="Y30" s="777" t="s">
        <v>352</v>
      </c>
      <c r="Z30" s="777" t="s">
        <v>352</v>
      </c>
      <c r="AA30" s="777" t="s">
        <v>646</v>
      </c>
      <c r="AB30" s="777">
        <v>565.49</v>
      </c>
      <c r="AC30" s="777" t="s">
        <v>647</v>
      </c>
      <c r="AD30" s="777">
        <v>1520.77</v>
      </c>
      <c r="AE30" s="777">
        <v>1122.19</v>
      </c>
      <c r="AF30" s="777">
        <v>0.63585523</v>
      </c>
      <c r="AG30" s="777">
        <v>0.58045405</v>
      </c>
      <c r="AH30" s="777">
        <v>0.48019237</v>
      </c>
      <c r="AI30" s="777">
        <v>1701.95</v>
      </c>
      <c r="AJ30" s="777">
        <v>175000</v>
      </c>
      <c r="AK30" s="777">
        <v>175000</v>
      </c>
      <c r="AL30" s="778">
        <v>-0.015</v>
      </c>
    </row>
    <row r="31" spans="1:38" ht="15" customHeight="1">
      <c r="A31" s="775">
        <v>315</v>
      </c>
      <c r="B31" s="776" t="s">
        <v>258</v>
      </c>
      <c r="C31" s="777">
        <v>2747</v>
      </c>
      <c r="D31" s="777">
        <v>3863</v>
      </c>
      <c r="E31" s="777">
        <v>4386</v>
      </c>
      <c r="F31" s="777" t="s">
        <v>352</v>
      </c>
      <c r="G31" s="777">
        <v>3305.3073357</v>
      </c>
      <c r="H31" s="777">
        <v>4326.74</v>
      </c>
      <c r="I31" s="777">
        <v>5229.6224999999995</v>
      </c>
      <c r="J31" s="777" t="s">
        <v>352</v>
      </c>
      <c r="K31" s="777" t="s">
        <v>352</v>
      </c>
      <c r="L31" s="777">
        <v>1278.211535</v>
      </c>
      <c r="M31" s="777">
        <v>1480.2848005899996</v>
      </c>
      <c r="N31" s="777">
        <v>30</v>
      </c>
      <c r="O31" s="777">
        <v>30</v>
      </c>
      <c r="P31" s="777">
        <v>50</v>
      </c>
      <c r="Q31" s="777">
        <v>50</v>
      </c>
      <c r="R31" s="777">
        <v>70</v>
      </c>
      <c r="S31" s="777">
        <v>70</v>
      </c>
      <c r="T31" s="777">
        <v>90</v>
      </c>
      <c r="U31" s="777">
        <v>90</v>
      </c>
      <c r="V31" s="777">
        <v>100</v>
      </c>
      <c r="W31" s="777">
        <v>100</v>
      </c>
      <c r="X31" s="777">
        <v>130</v>
      </c>
      <c r="Y31" s="777">
        <v>130</v>
      </c>
      <c r="Z31" s="777" t="s">
        <v>352</v>
      </c>
      <c r="AA31" s="777" t="s">
        <v>646</v>
      </c>
      <c r="AB31" s="777">
        <v>390.81</v>
      </c>
      <c r="AC31" s="777" t="s">
        <v>647</v>
      </c>
      <c r="AD31" s="777">
        <v>1004.932</v>
      </c>
      <c r="AE31" s="777">
        <v>681.45883152</v>
      </c>
      <c r="AF31" s="777">
        <v>0.63585523</v>
      </c>
      <c r="AG31" s="777">
        <v>0.58045405</v>
      </c>
      <c r="AH31" s="777">
        <v>0.48019237</v>
      </c>
      <c r="AI31" s="777">
        <v>1651.11464</v>
      </c>
      <c r="AJ31" s="777">
        <v>150000</v>
      </c>
      <c r="AK31" s="777">
        <v>150000</v>
      </c>
      <c r="AL31" s="778">
        <v>0.005</v>
      </c>
    </row>
    <row r="32" spans="1:38" ht="15" customHeight="1">
      <c r="A32" s="775">
        <v>316</v>
      </c>
      <c r="B32" s="776" t="s">
        <v>262</v>
      </c>
      <c r="C32" s="777">
        <v>3500</v>
      </c>
      <c r="D32" s="777">
        <v>4600</v>
      </c>
      <c r="E32" s="777">
        <v>5100</v>
      </c>
      <c r="F32" s="777">
        <v>4800</v>
      </c>
      <c r="G32" s="777">
        <v>3111.79</v>
      </c>
      <c r="H32" s="777">
        <v>4375.61</v>
      </c>
      <c r="I32" s="777">
        <v>4968.25</v>
      </c>
      <c r="J32" s="777">
        <v>498.43</v>
      </c>
      <c r="K32" s="777">
        <v>498.43</v>
      </c>
      <c r="L32" s="777">
        <v>611.71</v>
      </c>
      <c r="M32" s="777">
        <v>889.25</v>
      </c>
      <c r="N32" s="777">
        <v>226.56</v>
      </c>
      <c r="O32" s="777">
        <v>328.51</v>
      </c>
      <c r="P32" s="777">
        <v>271.87</v>
      </c>
      <c r="Q32" s="777">
        <v>441.79</v>
      </c>
      <c r="R32" s="777">
        <v>407.81</v>
      </c>
      <c r="S32" s="777">
        <v>583.39</v>
      </c>
      <c r="T32" s="777">
        <v>441.79</v>
      </c>
      <c r="U32" s="777">
        <v>634.37</v>
      </c>
      <c r="V32" s="777">
        <v>475.78</v>
      </c>
      <c r="W32" s="777">
        <v>679.68</v>
      </c>
      <c r="X32" s="777">
        <v>651.36</v>
      </c>
      <c r="Y32" s="777">
        <v>917.57</v>
      </c>
      <c r="Z32" s="777" t="s">
        <v>352</v>
      </c>
      <c r="AA32" s="777" t="s">
        <v>646</v>
      </c>
      <c r="AB32" s="777">
        <v>583.39</v>
      </c>
      <c r="AC32" s="777" t="s">
        <v>647</v>
      </c>
      <c r="AD32" s="777">
        <v>1568.93</v>
      </c>
      <c r="AE32" s="777">
        <v>1189.44</v>
      </c>
      <c r="AF32" s="777">
        <v>0.63585523</v>
      </c>
      <c r="AG32" s="777">
        <v>0.58045405</v>
      </c>
      <c r="AH32" s="777">
        <v>0.48019237</v>
      </c>
      <c r="AI32" s="777">
        <v>1755.84</v>
      </c>
      <c r="AJ32" s="777">
        <v>124608</v>
      </c>
      <c r="AK32" s="777">
        <v>124608</v>
      </c>
      <c r="AL32" s="778">
        <v>0.002335699</v>
      </c>
    </row>
    <row r="33" spans="1:38" ht="15" customHeight="1">
      <c r="A33" s="775">
        <v>317</v>
      </c>
      <c r="B33" s="776" t="s">
        <v>279</v>
      </c>
      <c r="C33" s="777">
        <v>3500</v>
      </c>
      <c r="D33" s="777">
        <v>4600</v>
      </c>
      <c r="E33" s="777">
        <v>5100</v>
      </c>
      <c r="F33" s="777">
        <v>4800</v>
      </c>
      <c r="G33" s="777">
        <v>3064.8547999999996</v>
      </c>
      <c r="H33" s="777">
        <v>4266.25</v>
      </c>
      <c r="I33" s="777">
        <v>4968.5999999999995</v>
      </c>
      <c r="J33" s="777">
        <v>1120.25</v>
      </c>
      <c r="K33" s="777">
        <v>1223.55</v>
      </c>
      <c r="L33" s="777">
        <v>0</v>
      </c>
      <c r="M33" s="777">
        <v>0</v>
      </c>
      <c r="N33" s="777">
        <v>130.1</v>
      </c>
      <c r="O33" s="777">
        <v>165.1</v>
      </c>
      <c r="P33" s="777">
        <v>183.1</v>
      </c>
      <c r="Q33" s="777">
        <v>234.1</v>
      </c>
      <c r="R33" s="777">
        <v>287.1</v>
      </c>
      <c r="S33" s="777">
        <v>367.1</v>
      </c>
      <c r="T33" s="777">
        <v>422</v>
      </c>
      <c r="U33" s="777">
        <v>595.1</v>
      </c>
      <c r="V33" s="777">
        <v>454.46</v>
      </c>
      <c r="W33" s="777">
        <v>600.1</v>
      </c>
      <c r="X33" s="777">
        <v>100.3</v>
      </c>
      <c r="Y33" s="777">
        <v>250.1</v>
      </c>
      <c r="Z33" s="777">
        <v>1227</v>
      </c>
      <c r="AA33" s="777" t="s">
        <v>646</v>
      </c>
      <c r="AB33" s="777">
        <v>408</v>
      </c>
      <c r="AC33" s="777" t="s">
        <v>647</v>
      </c>
      <c r="AD33" s="777">
        <v>800</v>
      </c>
      <c r="AE33" s="777">
        <v>1105.84</v>
      </c>
      <c r="AF33" s="777">
        <v>0.63585523</v>
      </c>
      <c r="AG33" s="777">
        <v>0.58045405</v>
      </c>
      <c r="AH33" s="777">
        <v>0.48019237</v>
      </c>
      <c r="AI33" s="777">
        <v>1677.16</v>
      </c>
      <c r="AJ33" s="777">
        <v>123343</v>
      </c>
      <c r="AK33" s="777">
        <v>123343</v>
      </c>
      <c r="AL33" s="778">
        <v>-0.015</v>
      </c>
    </row>
    <row r="34" spans="1:38" ht="15" customHeight="1">
      <c r="A34" s="775">
        <v>318</v>
      </c>
      <c r="B34" s="776" t="s">
        <v>281</v>
      </c>
      <c r="C34" s="777">
        <v>3500</v>
      </c>
      <c r="D34" s="777" t="s">
        <v>352</v>
      </c>
      <c r="E34" s="777" t="s">
        <v>352</v>
      </c>
      <c r="F34" s="777">
        <v>4800</v>
      </c>
      <c r="G34" s="777">
        <v>3016.28</v>
      </c>
      <c r="H34" s="777">
        <v>4241.309193572868</v>
      </c>
      <c r="I34" s="777">
        <v>4815.7548633600436</v>
      </c>
      <c r="J34" s="777">
        <v>483.13</v>
      </c>
      <c r="K34" s="777">
        <v>483.13</v>
      </c>
      <c r="L34" s="777">
        <v>592.94</v>
      </c>
      <c r="M34" s="777">
        <v>861.95</v>
      </c>
      <c r="N34" s="777">
        <v>219.61</v>
      </c>
      <c r="O34" s="777">
        <v>318.43</v>
      </c>
      <c r="P34" s="777">
        <v>263.53</v>
      </c>
      <c r="Q34" s="777">
        <v>428.23</v>
      </c>
      <c r="R34" s="777">
        <v>395.29</v>
      </c>
      <c r="S34" s="777">
        <v>565.49</v>
      </c>
      <c r="T34" s="777">
        <v>428.23</v>
      </c>
      <c r="U34" s="777">
        <v>614.9</v>
      </c>
      <c r="V34" s="777">
        <v>461.17</v>
      </c>
      <c r="W34" s="777">
        <v>658.82</v>
      </c>
      <c r="X34" s="777">
        <v>631.37</v>
      </c>
      <c r="Y34" s="777">
        <v>889.4</v>
      </c>
      <c r="Z34" s="777">
        <v>0</v>
      </c>
      <c r="AA34" s="777" t="s">
        <v>646</v>
      </c>
      <c r="AB34" s="777">
        <v>565.49</v>
      </c>
      <c r="AC34" s="777" t="s">
        <v>647</v>
      </c>
      <c r="AD34" s="777">
        <v>1520.77</v>
      </c>
      <c r="AE34" s="777">
        <v>1122.18</v>
      </c>
      <c r="AF34" s="777">
        <v>0.63585523</v>
      </c>
      <c r="AG34" s="777">
        <v>0.58045405</v>
      </c>
      <c r="AH34" s="777">
        <v>0.48019237</v>
      </c>
      <c r="AI34" s="777">
        <v>1701.95</v>
      </c>
      <c r="AJ34" s="777">
        <v>120783.3</v>
      </c>
      <c r="AK34" s="777">
        <v>120783.3</v>
      </c>
      <c r="AL34" s="778">
        <v>-0.015</v>
      </c>
    </row>
    <row r="35" spans="1:38" ht="15" customHeight="1">
      <c r="A35" s="775">
        <v>319</v>
      </c>
      <c r="B35" s="776" t="s">
        <v>306</v>
      </c>
      <c r="C35" s="777">
        <v>3500</v>
      </c>
      <c r="D35" s="777">
        <v>4600</v>
      </c>
      <c r="E35" s="777">
        <v>5100</v>
      </c>
      <c r="F35" s="777">
        <v>4800</v>
      </c>
      <c r="G35" s="777">
        <v>3016.2774297</v>
      </c>
      <c r="H35" s="777">
        <v>4241.3055795</v>
      </c>
      <c r="I35" s="777">
        <v>4815.7509543000006</v>
      </c>
      <c r="J35" s="777">
        <v>483.13320000000004</v>
      </c>
      <c r="K35" s="777">
        <v>483.13320000000004</v>
      </c>
      <c r="L35" s="777">
        <v>592.9362</v>
      </c>
      <c r="M35" s="777">
        <v>861.95355000000006</v>
      </c>
      <c r="N35" s="777">
        <v>219.60600000000002</v>
      </c>
      <c r="O35" s="777">
        <v>318.4287</v>
      </c>
      <c r="P35" s="777">
        <v>263.5272</v>
      </c>
      <c r="Q35" s="777">
        <v>428.23170000000005</v>
      </c>
      <c r="R35" s="777">
        <v>395.29080000000005</v>
      </c>
      <c r="S35" s="777">
        <v>565.48545</v>
      </c>
      <c r="T35" s="777">
        <v>428.23170000000005</v>
      </c>
      <c r="U35" s="777">
        <v>614.8968</v>
      </c>
      <c r="V35" s="777">
        <v>461.17260000000005</v>
      </c>
      <c r="W35" s="777">
        <v>658.818</v>
      </c>
      <c r="X35" s="777">
        <v>631.36725</v>
      </c>
      <c r="Y35" s="777">
        <v>889.4043</v>
      </c>
      <c r="Z35" s="777">
        <v>0</v>
      </c>
      <c r="AA35" s="777" t="s">
        <v>646</v>
      </c>
      <c r="AB35" s="777">
        <v>565.48545</v>
      </c>
      <c r="AC35" s="777" t="s">
        <v>647</v>
      </c>
      <c r="AD35" s="777">
        <v>1520.7715500000002</v>
      </c>
      <c r="AE35" s="777">
        <v>1122.18666</v>
      </c>
      <c r="AF35" s="777">
        <v>0.63585523</v>
      </c>
      <c r="AG35" s="777">
        <v>0.58045405</v>
      </c>
      <c r="AH35" s="777">
        <v>0.48019237</v>
      </c>
      <c r="AI35" s="777">
        <v>1701.9465</v>
      </c>
      <c r="AJ35" s="777">
        <v>126273.45000000001</v>
      </c>
      <c r="AK35" s="777">
        <v>126273.45000000001</v>
      </c>
      <c r="AL35" s="778">
        <v>-0.015</v>
      </c>
    </row>
    <row r="36" spans="1:38" ht="15" customHeight="1">
      <c r="A36" s="775">
        <v>320</v>
      </c>
      <c r="B36" s="776" t="s">
        <v>316</v>
      </c>
      <c r="C36" s="777" t="s">
        <v>352</v>
      </c>
      <c r="D36" s="777" t="s">
        <v>352</v>
      </c>
      <c r="E36" s="777" t="s">
        <v>352</v>
      </c>
      <c r="F36" s="777" t="s">
        <v>352</v>
      </c>
      <c r="G36" s="777">
        <v>3573</v>
      </c>
      <c r="H36" s="777">
        <v>4863</v>
      </c>
      <c r="I36" s="777">
        <v>4863</v>
      </c>
      <c r="J36" s="777" t="s">
        <v>352</v>
      </c>
      <c r="K36" s="777" t="s">
        <v>352</v>
      </c>
      <c r="L36" s="777">
        <v>701.56</v>
      </c>
      <c r="M36" s="777">
        <v>1296.3</v>
      </c>
      <c r="N36" s="777">
        <v>103</v>
      </c>
      <c r="O36" s="777">
        <v>201</v>
      </c>
      <c r="P36" s="777">
        <v>124</v>
      </c>
      <c r="Q36" s="777">
        <v>270</v>
      </c>
      <c r="R36" s="777">
        <v>185</v>
      </c>
      <c r="S36" s="777">
        <v>357</v>
      </c>
      <c r="T36" s="777">
        <v>201</v>
      </c>
      <c r="U36" s="777">
        <v>388</v>
      </c>
      <c r="V36" s="777">
        <v>216</v>
      </c>
      <c r="W36" s="777">
        <v>416</v>
      </c>
      <c r="X36" s="777">
        <v>296</v>
      </c>
      <c r="Y36" s="777">
        <v>561</v>
      </c>
      <c r="Z36" s="777" t="s">
        <v>352</v>
      </c>
      <c r="AA36" s="777" t="s">
        <v>646</v>
      </c>
      <c r="AB36" s="777">
        <v>800</v>
      </c>
      <c r="AC36" s="777" t="s">
        <v>647</v>
      </c>
      <c r="AD36" s="777">
        <v>800</v>
      </c>
      <c r="AE36" s="777">
        <v>490.16</v>
      </c>
      <c r="AF36" s="777">
        <v>0.63585523</v>
      </c>
      <c r="AG36" s="777">
        <v>0.58045405</v>
      </c>
      <c r="AH36" s="777">
        <v>0.48019237</v>
      </c>
      <c r="AI36" s="777">
        <v>985.31</v>
      </c>
      <c r="AJ36" s="777">
        <v>100000</v>
      </c>
      <c r="AK36" s="777">
        <v>125000</v>
      </c>
      <c r="AL36" s="778">
        <v>0</v>
      </c>
    </row>
    <row r="37" spans="1:38" ht="15" customHeight="1">
      <c r="A37" s="775">
        <v>330</v>
      </c>
      <c r="B37" s="776" t="s">
        <v>182</v>
      </c>
      <c r="C37" s="777">
        <v>3500</v>
      </c>
      <c r="D37" s="777" t="s">
        <v>352</v>
      </c>
      <c r="E37" s="777" t="s">
        <v>352</v>
      </c>
      <c r="F37" s="777">
        <v>4800</v>
      </c>
      <c r="G37" s="777">
        <v>2756.09257</v>
      </c>
      <c r="H37" s="777">
        <v>3875.78653</v>
      </c>
      <c r="I37" s="777">
        <v>4400.51766</v>
      </c>
      <c r="J37" s="777">
        <v>441.46</v>
      </c>
      <c r="K37" s="777">
        <v>441.46</v>
      </c>
      <c r="L37" s="777">
        <v>541.79</v>
      </c>
      <c r="M37" s="777">
        <v>787.6</v>
      </c>
      <c r="N37" s="777">
        <v>200.66</v>
      </c>
      <c r="O37" s="777">
        <v>290.96</v>
      </c>
      <c r="P37" s="777">
        <v>240.79</v>
      </c>
      <c r="Q37" s="777">
        <v>391.29</v>
      </c>
      <c r="R37" s="777">
        <v>361.19</v>
      </c>
      <c r="S37" s="777">
        <v>516.7</v>
      </c>
      <c r="T37" s="777">
        <v>391.29</v>
      </c>
      <c r="U37" s="777">
        <v>561.85</v>
      </c>
      <c r="V37" s="777">
        <v>421.39</v>
      </c>
      <c r="W37" s="777">
        <v>601.99</v>
      </c>
      <c r="X37" s="777">
        <v>576.9</v>
      </c>
      <c r="Y37" s="777">
        <v>812.68</v>
      </c>
      <c r="Z37" s="777" t="s">
        <v>352</v>
      </c>
      <c r="AA37" s="777" t="s">
        <v>646</v>
      </c>
      <c r="AB37" s="777">
        <v>516.7</v>
      </c>
      <c r="AC37" s="777" t="s">
        <v>647</v>
      </c>
      <c r="AD37" s="777">
        <v>1389.58</v>
      </c>
      <c r="AE37" s="777">
        <v>1025.3828199999998</v>
      </c>
      <c r="AF37" s="777">
        <v>0.63585523</v>
      </c>
      <c r="AG37" s="777">
        <v>0.58045405</v>
      </c>
      <c r="AH37" s="777">
        <v>0.48019237</v>
      </c>
      <c r="AI37" s="777">
        <v>1555.1305</v>
      </c>
      <c r="AJ37" s="777">
        <v>110364.34</v>
      </c>
      <c r="AK37" s="777">
        <v>110364.34</v>
      </c>
      <c r="AL37" s="778">
        <v>0.001923807</v>
      </c>
    </row>
    <row r="38" spans="1:38" ht="15" customHeight="1">
      <c r="A38" s="775">
        <v>331</v>
      </c>
      <c r="B38" s="776" t="s">
        <v>205</v>
      </c>
      <c r="C38" s="777">
        <v>3500</v>
      </c>
      <c r="D38" s="777" t="s">
        <v>352</v>
      </c>
      <c r="E38" s="777" t="s">
        <v>352</v>
      </c>
      <c r="F38" s="777">
        <v>4800</v>
      </c>
      <c r="G38" s="777">
        <v>2765.11995180312</v>
      </c>
      <c r="H38" s="777">
        <v>3884.47278640312</v>
      </c>
      <c r="I38" s="777">
        <v>4409.36444600312</v>
      </c>
      <c r="J38" s="777">
        <v>441.4564</v>
      </c>
      <c r="K38" s="777">
        <v>441.4564</v>
      </c>
      <c r="L38" s="777">
        <v>541.78739999999993</v>
      </c>
      <c r="M38" s="777">
        <v>787.59835</v>
      </c>
      <c r="N38" s="777">
        <v>200.66199999999998</v>
      </c>
      <c r="O38" s="777">
        <v>290.9599</v>
      </c>
      <c r="P38" s="777">
        <v>240.7944</v>
      </c>
      <c r="Q38" s="777">
        <v>391.29089999999997</v>
      </c>
      <c r="R38" s="777">
        <v>361.1916</v>
      </c>
      <c r="S38" s="777">
        <v>516.70465</v>
      </c>
      <c r="T38" s="777">
        <v>391.29089999999997</v>
      </c>
      <c r="U38" s="777">
        <v>561.85359999999991</v>
      </c>
      <c r="V38" s="777">
        <v>421.3902</v>
      </c>
      <c r="W38" s="777">
        <v>601.986</v>
      </c>
      <c r="X38" s="777">
        <v>576.90325</v>
      </c>
      <c r="Y38" s="777">
        <v>812.6810999999999</v>
      </c>
      <c r="Z38" s="777">
        <v>0</v>
      </c>
      <c r="AA38" s="777" t="s">
        <v>646</v>
      </c>
      <c r="AB38" s="777">
        <v>516.70465</v>
      </c>
      <c r="AC38" s="777" t="s">
        <v>647</v>
      </c>
      <c r="AD38" s="777">
        <v>1389.5843499999999</v>
      </c>
      <c r="AE38" s="777">
        <v>1025.38282</v>
      </c>
      <c r="AF38" s="777">
        <v>0.63585523</v>
      </c>
      <c r="AG38" s="777">
        <v>0.58045405</v>
      </c>
      <c r="AH38" s="777">
        <v>0.48019237</v>
      </c>
      <c r="AI38" s="777">
        <v>1555.1305</v>
      </c>
      <c r="AJ38" s="777">
        <v>110364.09999999999</v>
      </c>
      <c r="AK38" s="777">
        <v>110364.09999999999</v>
      </c>
      <c r="AL38" s="778">
        <v>-0.015</v>
      </c>
    </row>
    <row r="39" spans="1:38" ht="15" customHeight="1">
      <c r="A39" s="775">
        <v>332</v>
      </c>
      <c r="B39" s="776" t="s">
        <v>216</v>
      </c>
      <c r="C39" s="777">
        <v>3500</v>
      </c>
      <c r="D39" s="777" t="s">
        <v>352</v>
      </c>
      <c r="E39" s="777" t="s">
        <v>352</v>
      </c>
      <c r="F39" s="777">
        <v>4800</v>
      </c>
      <c r="G39" s="777">
        <v>2756.0825368999995</v>
      </c>
      <c r="H39" s="777">
        <v>3875.4353714999997</v>
      </c>
      <c r="I39" s="777">
        <v>4400.3270311</v>
      </c>
      <c r="J39" s="777">
        <v>441.4564</v>
      </c>
      <c r="K39" s="777">
        <v>441.4564</v>
      </c>
      <c r="L39" s="777">
        <v>541.78739999999993</v>
      </c>
      <c r="M39" s="777">
        <v>787.59835</v>
      </c>
      <c r="N39" s="777">
        <v>200.66199999999998</v>
      </c>
      <c r="O39" s="777">
        <v>290.9599</v>
      </c>
      <c r="P39" s="777">
        <v>240.7944</v>
      </c>
      <c r="Q39" s="777">
        <v>391.29089999999997</v>
      </c>
      <c r="R39" s="777">
        <v>361.1916</v>
      </c>
      <c r="S39" s="777">
        <v>516.70465</v>
      </c>
      <c r="T39" s="777">
        <v>391.29089999999997</v>
      </c>
      <c r="U39" s="777">
        <v>561.85359999999991</v>
      </c>
      <c r="V39" s="777">
        <v>421.3902</v>
      </c>
      <c r="W39" s="777">
        <v>601.986</v>
      </c>
      <c r="X39" s="777">
        <v>576.90325</v>
      </c>
      <c r="Y39" s="777">
        <v>812.6810999999999</v>
      </c>
      <c r="Z39" s="777">
        <v>0</v>
      </c>
      <c r="AA39" s="777" t="s">
        <v>646</v>
      </c>
      <c r="AB39" s="777">
        <v>516.70465</v>
      </c>
      <c r="AC39" s="777" t="s">
        <v>647</v>
      </c>
      <c r="AD39" s="777">
        <v>1389.5843499999999</v>
      </c>
      <c r="AE39" s="777">
        <v>1025.3828199999998</v>
      </c>
      <c r="AF39" s="777">
        <v>0.63585523</v>
      </c>
      <c r="AG39" s="777">
        <v>0.58045405</v>
      </c>
      <c r="AH39" s="777">
        <v>0.48019237</v>
      </c>
      <c r="AI39" s="777">
        <v>1555.1305</v>
      </c>
      <c r="AJ39" s="777">
        <v>110364</v>
      </c>
      <c r="AK39" s="777">
        <v>110364</v>
      </c>
      <c r="AL39" s="778">
        <v>-0.00066852</v>
      </c>
    </row>
    <row r="40" spans="1:38" ht="15" customHeight="1">
      <c r="A40" s="775">
        <v>333</v>
      </c>
      <c r="B40" s="776" t="s">
        <v>286</v>
      </c>
      <c r="C40" s="777">
        <v>3500</v>
      </c>
      <c r="D40" s="777" t="s">
        <v>352</v>
      </c>
      <c r="E40" s="777" t="s">
        <v>352</v>
      </c>
      <c r="F40" s="777">
        <v>4800</v>
      </c>
      <c r="G40" s="777">
        <v>3057.5</v>
      </c>
      <c r="H40" s="777">
        <v>4300.68</v>
      </c>
      <c r="I40" s="777">
        <v>4300.68</v>
      </c>
      <c r="J40" s="777" t="s">
        <v>352</v>
      </c>
      <c r="K40" s="777" t="s">
        <v>352</v>
      </c>
      <c r="L40" s="777" t="s">
        <v>352</v>
      </c>
      <c r="M40" s="777" t="s">
        <v>352</v>
      </c>
      <c r="N40" s="777" t="s">
        <v>352</v>
      </c>
      <c r="O40" s="777" t="s">
        <v>352</v>
      </c>
      <c r="P40" s="777">
        <v>71.45</v>
      </c>
      <c r="Q40" s="777">
        <v>343.01</v>
      </c>
      <c r="R40" s="777">
        <v>460</v>
      </c>
      <c r="S40" s="777">
        <v>667</v>
      </c>
      <c r="T40" s="777">
        <v>506</v>
      </c>
      <c r="U40" s="777">
        <v>734</v>
      </c>
      <c r="V40" s="777">
        <v>557</v>
      </c>
      <c r="W40" s="777">
        <v>807</v>
      </c>
      <c r="X40" s="777">
        <v>612</v>
      </c>
      <c r="Y40" s="777">
        <v>888</v>
      </c>
      <c r="Z40" s="777">
        <v>0</v>
      </c>
      <c r="AA40" s="777" t="s">
        <v>650</v>
      </c>
      <c r="AB40" s="777">
        <v>846</v>
      </c>
      <c r="AC40" s="777" t="s">
        <v>651</v>
      </c>
      <c r="AD40" s="777">
        <v>1227</v>
      </c>
      <c r="AE40" s="777">
        <v>1225</v>
      </c>
      <c r="AF40" s="777">
        <v>0.63585523</v>
      </c>
      <c r="AG40" s="777">
        <v>0.58045405</v>
      </c>
      <c r="AH40" s="777">
        <v>0.48019237</v>
      </c>
      <c r="AI40" s="777">
        <v>1776</v>
      </c>
      <c r="AJ40" s="777">
        <v>129057</v>
      </c>
      <c r="AK40" s="777">
        <v>129057</v>
      </c>
      <c r="AL40" s="778">
        <v>-0.0056269199472354248</v>
      </c>
    </row>
    <row r="41" spans="1:38" ht="15" customHeight="1">
      <c r="A41" s="775">
        <v>334</v>
      </c>
      <c r="B41" s="776" t="s">
        <v>291</v>
      </c>
      <c r="C41" s="777">
        <v>3482</v>
      </c>
      <c r="D41" s="777">
        <v>4600</v>
      </c>
      <c r="E41" s="777">
        <v>5100</v>
      </c>
      <c r="F41" s="777">
        <v>4775</v>
      </c>
      <c r="G41" s="777">
        <v>2756.08</v>
      </c>
      <c r="H41" s="777">
        <v>3875.44</v>
      </c>
      <c r="I41" s="777">
        <v>4400.33</v>
      </c>
      <c r="J41" s="777">
        <v>441.46</v>
      </c>
      <c r="K41" s="777">
        <v>441.46</v>
      </c>
      <c r="L41" s="777">
        <v>541.79</v>
      </c>
      <c r="M41" s="777">
        <v>787.6</v>
      </c>
      <c r="N41" s="777">
        <v>200.66</v>
      </c>
      <c r="O41" s="777">
        <v>290.96</v>
      </c>
      <c r="P41" s="777">
        <v>240.79</v>
      </c>
      <c r="Q41" s="777">
        <v>391.29</v>
      </c>
      <c r="R41" s="777">
        <v>361.19</v>
      </c>
      <c r="S41" s="777">
        <v>516.7</v>
      </c>
      <c r="T41" s="777">
        <v>391.29</v>
      </c>
      <c r="U41" s="777">
        <v>561.85</v>
      </c>
      <c r="V41" s="777">
        <v>421.39</v>
      </c>
      <c r="W41" s="777">
        <v>601.99</v>
      </c>
      <c r="X41" s="777">
        <v>576.9</v>
      </c>
      <c r="Y41" s="777">
        <v>812.68</v>
      </c>
      <c r="Z41" s="777" t="s">
        <v>352</v>
      </c>
      <c r="AA41" s="777" t="s">
        <v>646</v>
      </c>
      <c r="AB41" s="777">
        <v>516.7</v>
      </c>
      <c r="AC41" s="777" t="s">
        <v>647</v>
      </c>
      <c r="AD41" s="777">
        <v>1389.58</v>
      </c>
      <c r="AE41" s="777">
        <v>1025.38</v>
      </c>
      <c r="AF41" s="777">
        <v>0.63585523</v>
      </c>
      <c r="AG41" s="777">
        <v>0.58045405</v>
      </c>
      <c r="AH41" s="777">
        <v>0.48019237</v>
      </c>
      <c r="AI41" s="777">
        <v>1555.13</v>
      </c>
      <c r="AJ41" s="777">
        <v>110364.1</v>
      </c>
      <c r="AK41" s="777">
        <v>110364.1</v>
      </c>
      <c r="AL41" s="778">
        <v>0.005</v>
      </c>
    </row>
    <row r="42" spans="1:38" ht="15" customHeight="1">
      <c r="A42" s="775">
        <v>335</v>
      </c>
      <c r="B42" s="776" t="s">
        <v>315</v>
      </c>
      <c r="C42" s="777" t="s">
        <v>352</v>
      </c>
      <c r="D42" s="777" t="s">
        <v>352</v>
      </c>
      <c r="E42" s="777" t="s">
        <v>352</v>
      </c>
      <c r="F42" s="777" t="s">
        <v>352</v>
      </c>
      <c r="G42" s="777">
        <v>2876.019</v>
      </c>
      <c r="H42" s="777">
        <v>4332.7498</v>
      </c>
      <c r="I42" s="777">
        <v>4332.7498</v>
      </c>
      <c r="J42" s="777">
        <v>1228</v>
      </c>
      <c r="K42" s="777">
        <v>1473</v>
      </c>
      <c r="L42" s="777">
        <v>0</v>
      </c>
      <c r="M42" s="777">
        <v>0</v>
      </c>
      <c r="N42" s="777">
        <v>200</v>
      </c>
      <c r="O42" s="777">
        <v>290</v>
      </c>
      <c r="P42" s="777">
        <v>240</v>
      </c>
      <c r="Q42" s="777">
        <v>390</v>
      </c>
      <c r="R42" s="777">
        <v>360</v>
      </c>
      <c r="S42" s="777">
        <v>515</v>
      </c>
      <c r="T42" s="777">
        <v>390</v>
      </c>
      <c r="U42" s="777">
        <v>560</v>
      </c>
      <c r="V42" s="777">
        <v>420</v>
      </c>
      <c r="W42" s="777">
        <v>600</v>
      </c>
      <c r="X42" s="777">
        <v>575</v>
      </c>
      <c r="Y42" s="777">
        <v>810</v>
      </c>
      <c r="Z42" s="777" t="s">
        <v>352</v>
      </c>
      <c r="AA42" s="777" t="s">
        <v>646</v>
      </c>
      <c r="AB42" s="777">
        <v>515</v>
      </c>
      <c r="AC42" s="777" t="s">
        <v>647</v>
      </c>
      <c r="AD42" s="777">
        <v>515</v>
      </c>
      <c r="AE42" s="777">
        <v>518.37</v>
      </c>
      <c r="AF42" s="777">
        <v>0.63585523</v>
      </c>
      <c r="AG42" s="777">
        <v>0.58045405</v>
      </c>
      <c r="AH42" s="777">
        <v>0.48019237</v>
      </c>
      <c r="AI42" s="777">
        <v>622.004</v>
      </c>
      <c r="AJ42" s="777">
        <v>175000</v>
      </c>
      <c r="AK42" s="777">
        <v>175000</v>
      </c>
      <c r="AL42" s="778">
        <v>0</v>
      </c>
    </row>
    <row r="43" spans="1:38" ht="15" customHeight="1">
      <c r="A43" s="775">
        <v>336</v>
      </c>
      <c r="B43" s="776" t="s">
        <v>328</v>
      </c>
      <c r="C43" s="777">
        <v>3500</v>
      </c>
      <c r="D43" s="777" t="s">
        <v>352</v>
      </c>
      <c r="E43" s="777" t="s">
        <v>352</v>
      </c>
      <c r="F43" s="777">
        <v>4800</v>
      </c>
      <c r="G43" s="777">
        <v>2746.99</v>
      </c>
      <c r="H43" s="777">
        <v>3862.65</v>
      </c>
      <c r="I43" s="777">
        <v>4385.81</v>
      </c>
      <c r="J43" s="777">
        <v>440</v>
      </c>
      <c r="K43" s="777">
        <v>440</v>
      </c>
      <c r="L43" s="777">
        <v>540</v>
      </c>
      <c r="M43" s="777">
        <v>785</v>
      </c>
      <c r="N43" s="777">
        <v>200</v>
      </c>
      <c r="O43" s="777">
        <v>290</v>
      </c>
      <c r="P43" s="777">
        <v>240</v>
      </c>
      <c r="Q43" s="777">
        <v>390</v>
      </c>
      <c r="R43" s="777">
        <v>360</v>
      </c>
      <c r="S43" s="777">
        <v>515</v>
      </c>
      <c r="T43" s="777">
        <v>390</v>
      </c>
      <c r="U43" s="777">
        <v>560</v>
      </c>
      <c r="V43" s="777">
        <v>420</v>
      </c>
      <c r="W43" s="777">
        <v>600</v>
      </c>
      <c r="X43" s="777">
        <v>575</v>
      </c>
      <c r="Y43" s="777">
        <v>810</v>
      </c>
      <c r="Z43" s="777" t="s">
        <v>352</v>
      </c>
      <c r="AA43" s="777" t="s">
        <v>646</v>
      </c>
      <c r="AB43" s="777">
        <v>515</v>
      </c>
      <c r="AC43" s="777" t="s">
        <v>647</v>
      </c>
      <c r="AD43" s="777">
        <v>1385</v>
      </c>
      <c r="AE43" s="777">
        <v>1022</v>
      </c>
      <c r="AF43" s="777">
        <v>0.63585523</v>
      </c>
      <c r="AG43" s="777">
        <v>0.58045405</v>
      </c>
      <c r="AH43" s="777">
        <v>0.48019237</v>
      </c>
      <c r="AI43" s="777">
        <v>1550</v>
      </c>
      <c r="AJ43" s="777">
        <v>110000</v>
      </c>
      <c r="AK43" s="777">
        <v>110000</v>
      </c>
      <c r="AL43" s="778">
        <v>0.005</v>
      </c>
    </row>
    <row r="44" spans="1:38" ht="15" customHeight="1">
      <c r="A44" s="775">
        <v>340</v>
      </c>
      <c r="B44" s="776" t="s">
        <v>246</v>
      </c>
      <c r="C44" s="777" t="s">
        <v>352</v>
      </c>
      <c r="D44" s="777" t="s">
        <v>352</v>
      </c>
      <c r="E44" s="777">
        <v>4800</v>
      </c>
      <c r="F44" s="777" t="s">
        <v>352</v>
      </c>
      <c r="G44" s="777">
        <v>3083.59</v>
      </c>
      <c r="H44" s="777">
        <v>4372.06</v>
      </c>
      <c r="I44" s="777">
        <v>4513.12</v>
      </c>
      <c r="J44" s="777">
        <v>583</v>
      </c>
      <c r="K44" s="777">
        <v>155.41</v>
      </c>
      <c r="L44" s="777">
        <v>195.8975</v>
      </c>
      <c r="M44" s="777">
        <v>100</v>
      </c>
      <c r="N44" s="777">
        <v>117.4985445129993</v>
      </c>
      <c r="O44" s="777">
        <v>163.34537124507736</v>
      </c>
      <c r="P44" s="777">
        <v>119.2654399192095</v>
      </c>
      <c r="Q44" s="777">
        <v>218.8484868250506</v>
      </c>
      <c r="R44" s="777">
        <v>138.34614928096079</v>
      </c>
      <c r="S44" s="777">
        <v>329.39391635912517</v>
      </c>
      <c r="T44" s="777">
        <v>158.62617242408172</v>
      </c>
      <c r="U44" s="777">
        <v>392.54512261417443</v>
      </c>
      <c r="V44" s="777">
        <v>223.72592989953151</v>
      </c>
      <c r="W44" s="777">
        <v>437.98107567687532</v>
      </c>
      <c r="X44" s="777">
        <v>280.67544379681158</v>
      </c>
      <c r="Y44" s="777">
        <v>629.863817361849</v>
      </c>
      <c r="Z44" s="777">
        <v>0</v>
      </c>
      <c r="AA44" s="777" t="s">
        <v>646</v>
      </c>
      <c r="AB44" s="777">
        <v>284.1</v>
      </c>
      <c r="AC44" s="777" t="s">
        <v>647</v>
      </c>
      <c r="AD44" s="777">
        <v>284.1</v>
      </c>
      <c r="AE44" s="777">
        <v>631.47</v>
      </c>
      <c r="AF44" s="777">
        <v>0.63585523</v>
      </c>
      <c r="AG44" s="777">
        <v>0.58045405</v>
      </c>
      <c r="AH44" s="777">
        <v>0.48019237</v>
      </c>
      <c r="AI44" s="777">
        <v>1292.26</v>
      </c>
      <c r="AJ44" s="777">
        <v>135000</v>
      </c>
      <c r="AK44" s="777">
        <v>110000</v>
      </c>
      <c r="AL44" s="778">
        <v>0</v>
      </c>
    </row>
    <row r="45" spans="1:38" ht="15" customHeight="1">
      <c r="A45" s="775">
        <v>341</v>
      </c>
      <c r="B45" s="776" t="s">
        <v>254</v>
      </c>
      <c r="C45" s="777" t="s">
        <v>352</v>
      </c>
      <c r="D45" s="777" t="s">
        <v>352</v>
      </c>
      <c r="E45" s="777" t="s">
        <v>352</v>
      </c>
      <c r="F45" s="777" t="s">
        <v>352</v>
      </c>
      <c r="G45" s="777">
        <v>2595.8157431848704</v>
      </c>
      <c r="H45" s="777">
        <v>3650.0779691273151</v>
      </c>
      <c r="I45" s="777">
        <v>4144.44706555818</v>
      </c>
      <c r="J45" s="777">
        <v>440</v>
      </c>
      <c r="K45" s="777">
        <v>440</v>
      </c>
      <c r="L45" s="777">
        <v>540</v>
      </c>
      <c r="M45" s="777">
        <v>785</v>
      </c>
      <c r="N45" s="777">
        <v>200</v>
      </c>
      <c r="O45" s="777">
        <v>290</v>
      </c>
      <c r="P45" s="777">
        <v>240</v>
      </c>
      <c r="Q45" s="777">
        <v>390</v>
      </c>
      <c r="R45" s="777">
        <v>360</v>
      </c>
      <c r="S45" s="777">
        <v>515</v>
      </c>
      <c r="T45" s="777">
        <v>390</v>
      </c>
      <c r="U45" s="777">
        <v>560</v>
      </c>
      <c r="V45" s="777">
        <v>420</v>
      </c>
      <c r="W45" s="777">
        <v>600</v>
      </c>
      <c r="X45" s="777">
        <v>575</v>
      </c>
      <c r="Y45" s="777">
        <v>810</v>
      </c>
      <c r="Z45" s="777">
        <v>0</v>
      </c>
      <c r="AA45" s="777" t="s">
        <v>646</v>
      </c>
      <c r="AB45" s="777">
        <v>515</v>
      </c>
      <c r="AC45" s="777" t="s">
        <v>647</v>
      </c>
      <c r="AD45" s="777">
        <v>1385</v>
      </c>
      <c r="AE45" s="777">
        <v>1022</v>
      </c>
      <c r="AF45" s="777">
        <v>0.63585523</v>
      </c>
      <c r="AG45" s="777">
        <v>0.58045405</v>
      </c>
      <c r="AH45" s="777">
        <v>0.48019237</v>
      </c>
      <c r="AI45" s="777">
        <v>1550</v>
      </c>
      <c r="AJ45" s="777">
        <v>110000</v>
      </c>
      <c r="AK45" s="777">
        <v>110000</v>
      </c>
      <c r="AL45" s="778">
        <v>0.0035</v>
      </c>
    </row>
    <row r="46" spans="1:38" ht="15" customHeight="1">
      <c r="A46" s="775">
        <v>342</v>
      </c>
      <c r="B46" s="776" t="s">
        <v>298</v>
      </c>
      <c r="C46" s="777" t="s">
        <v>352</v>
      </c>
      <c r="D46" s="777" t="s">
        <v>352</v>
      </c>
      <c r="E46" s="777" t="s">
        <v>352</v>
      </c>
      <c r="F46" s="777" t="s">
        <v>352</v>
      </c>
      <c r="G46" s="777">
        <v>2996.61</v>
      </c>
      <c r="H46" s="777">
        <v>3924.2000000000003</v>
      </c>
      <c r="I46" s="777">
        <v>4826.2800000000007</v>
      </c>
      <c r="J46" s="777" t="s">
        <v>352</v>
      </c>
      <c r="K46" s="777" t="s">
        <v>352</v>
      </c>
      <c r="L46" s="777">
        <v>1305.29</v>
      </c>
      <c r="M46" s="777">
        <v>2060.46</v>
      </c>
      <c r="N46" s="777" t="s">
        <v>352</v>
      </c>
      <c r="O46" s="777" t="s">
        <v>352</v>
      </c>
      <c r="P46" s="777" t="s">
        <v>352</v>
      </c>
      <c r="Q46" s="777" t="s">
        <v>352</v>
      </c>
      <c r="R46" s="777" t="s">
        <v>352</v>
      </c>
      <c r="S46" s="777" t="s">
        <v>352</v>
      </c>
      <c r="T46" s="777">
        <v>99.24</v>
      </c>
      <c r="U46" s="777" t="s">
        <v>352</v>
      </c>
      <c r="V46" s="777">
        <v>184.82</v>
      </c>
      <c r="W46" s="777" t="s">
        <v>352</v>
      </c>
      <c r="X46" s="777">
        <v>650.78</v>
      </c>
      <c r="Y46" s="777">
        <v>307.5</v>
      </c>
      <c r="Z46" s="777" t="s">
        <v>352</v>
      </c>
      <c r="AA46" s="777" t="s">
        <v>645</v>
      </c>
      <c r="AB46" s="777" t="s">
        <v>352</v>
      </c>
      <c r="AC46" s="777" t="s">
        <v>645</v>
      </c>
      <c r="AD46" s="777" t="s">
        <v>352</v>
      </c>
      <c r="AE46" s="777">
        <v>278.47</v>
      </c>
      <c r="AF46" s="777">
        <v>0.63585523</v>
      </c>
      <c r="AG46" s="777">
        <v>0.58045405</v>
      </c>
      <c r="AH46" s="777">
        <v>0.48019237</v>
      </c>
      <c r="AI46" s="777">
        <v>590.6</v>
      </c>
      <c r="AJ46" s="777">
        <v>100000</v>
      </c>
      <c r="AK46" s="777">
        <v>100000</v>
      </c>
      <c r="AL46" s="778">
        <v>0.005</v>
      </c>
    </row>
    <row r="47" spans="1:38" ht="15" customHeight="1">
      <c r="A47" s="775">
        <v>343</v>
      </c>
      <c r="B47" s="776" t="s">
        <v>287</v>
      </c>
      <c r="C47" s="777">
        <v>3500</v>
      </c>
      <c r="D47" s="777" t="s">
        <v>352</v>
      </c>
      <c r="E47" s="777" t="s">
        <v>352</v>
      </c>
      <c r="F47" s="777">
        <v>4800</v>
      </c>
      <c r="G47" s="777">
        <v>3060.2</v>
      </c>
      <c r="H47" s="777">
        <v>4317.75</v>
      </c>
      <c r="I47" s="777">
        <v>4346.75</v>
      </c>
      <c r="J47" s="777">
        <v>325</v>
      </c>
      <c r="K47" s="777">
        <v>1525</v>
      </c>
      <c r="L47" s="777">
        <v>25</v>
      </c>
      <c r="M47" s="777">
        <v>125</v>
      </c>
      <c r="N47" s="777">
        <v>50</v>
      </c>
      <c r="O47" s="777">
        <v>100</v>
      </c>
      <c r="P47" s="777">
        <v>118</v>
      </c>
      <c r="Q47" s="777">
        <v>160</v>
      </c>
      <c r="R47" s="777">
        <v>250</v>
      </c>
      <c r="S47" s="777">
        <v>350</v>
      </c>
      <c r="T47" s="777">
        <v>300</v>
      </c>
      <c r="U47" s="777">
        <v>460</v>
      </c>
      <c r="V47" s="777">
        <v>400</v>
      </c>
      <c r="W47" s="777">
        <v>500</v>
      </c>
      <c r="X47" s="777">
        <v>500</v>
      </c>
      <c r="Y47" s="777">
        <v>795</v>
      </c>
      <c r="Z47" s="777">
        <v>0</v>
      </c>
      <c r="AA47" s="777" t="s">
        <v>646</v>
      </c>
      <c r="AB47" s="777">
        <v>1000</v>
      </c>
      <c r="AC47" s="777" t="s">
        <v>647</v>
      </c>
      <c r="AD47" s="777">
        <v>1000</v>
      </c>
      <c r="AE47" s="777">
        <v>809</v>
      </c>
      <c r="AF47" s="777">
        <v>0.63585523</v>
      </c>
      <c r="AG47" s="777">
        <v>0.58045405</v>
      </c>
      <c r="AH47" s="777">
        <v>0.48019237</v>
      </c>
      <c r="AI47" s="777">
        <v>1040</v>
      </c>
      <c r="AJ47" s="777">
        <v>117500</v>
      </c>
      <c r="AK47" s="777">
        <v>117500</v>
      </c>
      <c r="AL47" s="778">
        <v>-0.015</v>
      </c>
    </row>
    <row r="48" spans="1:38" ht="15" customHeight="1">
      <c r="A48" s="775">
        <v>344</v>
      </c>
      <c r="B48" s="776" t="s">
        <v>326</v>
      </c>
      <c r="C48" s="777">
        <v>3500</v>
      </c>
      <c r="D48" s="777" t="s">
        <v>352</v>
      </c>
      <c r="E48" s="777" t="s">
        <v>352</v>
      </c>
      <c r="F48" s="777">
        <v>4800</v>
      </c>
      <c r="G48" s="777">
        <v>2804.14</v>
      </c>
      <c r="H48" s="777">
        <v>3977.79</v>
      </c>
      <c r="I48" s="777">
        <v>5116.28</v>
      </c>
      <c r="J48" s="777">
        <v>1782.1555644976017</v>
      </c>
      <c r="K48" s="777">
        <v>2065.7893649681682</v>
      </c>
      <c r="L48" s="777" t="s">
        <v>352</v>
      </c>
      <c r="M48" s="777" t="s">
        <v>352</v>
      </c>
      <c r="N48" s="777">
        <v>36.78</v>
      </c>
      <c r="O48" s="777">
        <v>38.32</v>
      </c>
      <c r="P48" s="777">
        <v>65.28</v>
      </c>
      <c r="Q48" s="777">
        <v>73.83</v>
      </c>
      <c r="R48" s="777">
        <v>111.25</v>
      </c>
      <c r="S48" s="777">
        <v>118.7</v>
      </c>
      <c r="T48" s="777">
        <v>166.41</v>
      </c>
      <c r="U48" s="777">
        <v>175.71</v>
      </c>
      <c r="V48" s="777">
        <v>221.58</v>
      </c>
      <c r="W48" s="777">
        <v>231.78</v>
      </c>
      <c r="X48" s="777">
        <v>276.74</v>
      </c>
      <c r="Y48" s="777">
        <v>287.86</v>
      </c>
      <c r="Z48" s="777">
        <v>1068.7019332115797</v>
      </c>
      <c r="AA48" s="777" t="s">
        <v>646</v>
      </c>
      <c r="AB48" s="777">
        <v>444.45</v>
      </c>
      <c r="AC48" s="777" t="s">
        <v>647</v>
      </c>
      <c r="AD48" s="777">
        <v>286.71</v>
      </c>
      <c r="AE48" s="777">
        <v>1022</v>
      </c>
      <c r="AF48" s="777">
        <v>0.63585523</v>
      </c>
      <c r="AG48" s="777">
        <v>0.58045405</v>
      </c>
      <c r="AH48" s="777">
        <v>0.48019237</v>
      </c>
      <c r="AI48" s="777">
        <v>1550</v>
      </c>
      <c r="AJ48" s="777">
        <v>100000</v>
      </c>
      <c r="AK48" s="777">
        <v>100000</v>
      </c>
      <c r="AL48" s="778">
        <v>0</v>
      </c>
    </row>
    <row r="49" spans="1:38" ht="15" customHeight="1">
      <c r="A49" s="775">
        <v>350</v>
      </c>
      <c r="B49" s="776" t="s">
        <v>187</v>
      </c>
      <c r="C49" s="777">
        <v>3500</v>
      </c>
      <c r="D49" s="777">
        <v>4600</v>
      </c>
      <c r="E49" s="777">
        <v>5100</v>
      </c>
      <c r="F49" s="777">
        <v>4800</v>
      </c>
      <c r="G49" s="777">
        <v>2746.99</v>
      </c>
      <c r="H49" s="777">
        <v>3862.65</v>
      </c>
      <c r="I49" s="777">
        <v>4385.81</v>
      </c>
      <c r="J49" s="777">
        <v>440</v>
      </c>
      <c r="K49" s="777">
        <v>440</v>
      </c>
      <c r="L49" s="777">
        <v>540</v>
      </c>
      <c r="M49" s="777">
        <v>785</v>
      </c>
      <c r="N49" s="777">
        <v>200</v>
      </c>
      <c r="O49" s="777">
        <v>290</v>
      </c>
      <c r="P49" s="777">
        <v>240</v>
      </c>
      <c r="Q49" s="777">
        <v>390</v>
      </c>
      <c r="R49" s="777">
        <v>360</v>
      </c>
      <c r="S49" s="777">
        <v>515</v>
      </c>
      <c r="T49" s="777">
        <v>390</v>
      </c>
      <c r="U49" s="777">
        <v>560</v>
      </c>
      <c r="V49" s="777">
        <v>420</v>
      </c>
      <c r="W49" s="777">
        <v>600</v>
      </c>
      <c r="X49" s="777">
        <v>575</v>
      </c>
      <c r="Y49" s="777">
        <v>810</v>
      </c>
      <c r="Z49" s="777" t="s">
        <v>352</v>
      </c>
      <c r="AA49" s="777" t="s">
        <v>646</v>
      </c>
      <c r="AB49" s="777">
        <v>515</v>
      </c>
      <c r="AC49" s="777" t="s">
        <v>647</v>
      </c>
      <c r="AD49" s="777">
        <v>1385</v>
      </c>
      <c r="AE49" s="777">
        <v>573.65</v>
      </c>
      <c r="AF49" s="777">
        <v>0.63585523</v>
      </c>
      <c r="AG49" s="777">
        <v>0.58045405</v>
      </c>
      <c r="AH49" s="777">
        <v>0.48019237</v>
      </c>
      <c r="AI49" s="777">
        <v>1550</v>
      </c>
      <c r="AJ49" s="777">
        <v>110000</v>
      </c>
      <c r="AK49" s="777">
        <v>110000</v>
      </c>
      <c r="AL49" s="778">
        <v>0.005</v>
      </c>
    </row>
    <row r="50" spans="1:38" ht="15" customHeight="1">
      <c r="A50" s="775">
        <v>351</v>
      </c>
      <c r="B50" s="776" t="s">
        <v>196</v>
      </c>
      <c r="C50" s="777">
        <v>3500</v>
      </c>
      <c r="D50" s="777" t="s">
        <v>352</v>
      </c>
      <c r="E50" s="777" t="s">
        <v>352</v>
      </c>
      <c r="F50" s="777">
        <v>4800</v>
      </c>
      <c r="G50" s="777">
        <v>2858</v>
      </c>
      <c r="H50" s="777">
        <v>3860</v>
      </c>
      <c r="I50" s="777">
        <v>4380</v>
      </c>
      <c r="J50" s="777">
        <v>315</v>
      </c>
      <c r="K50" s="777">
        <v>440</v>
      </c>
      <c r="L50" s="777">
        <v>395</v>
      </c>
      <c r="M50" s="777">
        <v>785</v>
      </c>
      <c r="N50" s="777">
        <v>200</v>
      </c>
      <c r="O50" s="777">
        <v>290</v>
      </c>
      <c r="P50" s="777">
        <v>260</v>
      </c>
      <c r="Q50" s="777">
        <v>390</v>
      </c>
      <c r="R50" s="777">
        <v>373</v>
      </c>
      <c r="S50" s="777">
        <v>515</v>
      </c>
      <c r="T50" s="777">
        <v>460</v>
      </c>
      <c r="U50" s="777">
        <v>560</v>
      </c>
      <c r="V50" s="777">
        <v>547</v>
      </c>
      <c r="W50" s="777">
        <v>600</v>
      </c>
      <c r="X50" s="777">
        <v>718</v>
      </c>
      <c r="Y50" s="777">
        <v>810</v>
      </c>
      <c r="Z50" s="777">
        <v>0</v>
      </c>
      <c r="AA50" s="777" t="s">
        <v>646</v>
      </c>
      <c r="AB50" s="777">
        <v>365</v>
      </c>
      <c r="AC50" s="777" t="s">
        <v>647</v>
      </c>
      <c r="AD50" s="777">
        <v>1385</v>
      </c>
      <c r="AE50" s="777">
        <v>726</v>
      </c>
      <c r="AF50" s="777">
        <v>0.63585523</v>
      </c>
      <c r="AG50" s="777">
        <v>0.58045405</v>
      </c>
      <c r="AH50" s="777">
        <v>0.48019237</v>
      </c>
      <c r="AI50" s="777">
        <v>1550</v>
      </c>
      <c r="AJ50" s="777">
        <v>125000</v>
      </c>
      <c r="AK50" s="777">
        <v>110000</v>
      </c>
      <c r="AL50" s="778">
        <v>0.005</v>
      </c>
    </row>
    <row r="51" spans="1:38" ht="15" customHeight="1">
      <c r="A51" s="775">
        <v>352</v>
      </c>
      <c r="B51" s="776" t="s">
        <v>256</v>
      </c>
      <c r="C51" s="777" t="s">
        <v>352</v>
      </c>
      <c r="D51" s="777" t="s">
        <v>352</v>
      </c>
      <c r="E51" s="777" t="s">
        <v>352</v>
      </c>
      <c r="F51" s="777" t="s">
        <v>352</v>
      </c>
      <c r="G51" s="777">
        <v>3151.278</v>
      </c>
      <c r="H51" s="777">
        <v>4171.4032499999994</v>
      </c>
      <c r="I51" s="777">
        <v>4792.5736499999994</v>
      </c>
      <c r="J51" s="777" t="s">
        <v>352</v>
      </c>
      <c r="K51" s="777" t="s">
        <v>352</v>
      </c>
      <c r="L51" s="777">
        <v>497.94735</v>
      </c>
      <c r="M51" s="777">
        <v>477.74684999999994</v>
      </c>
      <c r="N51" s="777">
        <v>298.9674</v>
      </c>
      <c r="O51" s="777">
        <v>143.42355</v>
      </c>
      <c r="P51" s="777">
        <v>356.54384999999996</v>
      </c>
      <c r="Q51" s="777">
        <v>200.99999999999997</v>
      </c>
      <c r="R51" s="777">
        <v>386.84459999999996</v>
      </c>
      <c r="S51" s="777">
        <v>237.3609</v>
      </c>
      <c r="T51" s="777">
        <v>439.36589999999995</v>
      </c>
      <c r="U51" s="777">
        <v>378.76439999999997</v>
      </c>
      <c r="V51" s="777">
        <v>492.89219999999995</v>
      </c>
      <c r="W51" s="777">
        <v>443.40599999999995</v>
      </c>
      <c r="X51" s="777">
        <v>575.71425</v>
      </c>
      <c r="Y51" s="777">
        <v>504.00749999999994</v>
      </c>
      <c r="Z51" s="777" t="s">
        <v>352</v>
      </c>
      <c r="AA51" s="777" t="s">
        <v>646</v>
      </c>
      <c r="AB51" s="777">
        <v>383.80949999999996</v>
      </c>
      <c r="AC51" s="777" t="s">
        <v>647</v>
      </c>
      <c r="AD51" s="777">
        <v>2084.6916</v>
      </c>
      <c r="AE51" s="777">
        <v>660.55635</v>
      </c>
      <c r="AF51" s="777">
        <v>0.63585523</v>
      </c>
      <c r="AG51" s="777">
        <v>0.58045405</v>
      </c>
      <c r="AH51" s="777">
        <v>0.48019237</v>
      </c>
      <c r="AI51" s="777">
        <v>2829.08505</v>
      </c>
      <c r="AJ51" s="777">
        <v>155000</v>
      </c>
      <c r="AK51" s="777">
        <v>155000</v>
      </c>
      <c r="AL51" s="778">
        <v>0.005</v>
      </c>
    </row>
    <row r="52" spans="1:38" ht="15" customHeight="1">
      <c r="A52" s="775">
        <v>353</v>
      </c>
      <c r="B52" s="776" t="s">
        <v>273</v>
      </c>
      <c r="C52" s="777">
        <v>3500</v>
      </c>
      <c r="D52" s="777">
        <v>4600</v>
      </c>
      <c r="E52" s="777" t="s">
        <v>352</v>
      </c>
      <c r="F52" s="777">
        <v>4800</v>
      </c>
      <c r="G52" s="777">
        <v>2787.29</v>
      </c>
      <c r="H52" s="777">
        <v>3916.26</v>
      </c>
      <c r="I52" s="777">
        <v>4400.71</v>
      </c>
      <c r="J52" s="777">
        <v>440</v>
      </c>
      <c r="K52" s="777">
        <v>440</v>
      </c>
      <c r="L52" s="777">
        <v>540</v>
      </c>
      <c r="M52" s="777">
        <v>785</v>
      </c>
      <c r="N52" s="777">
        <v>0</v>
      </c>
      <c r="O52" s="777">
        <v>29</v>
      </c>
      <c r="P52" s="777">
        <v>0</v>
      </c>
      <c r="Q52" s="777">
        <v>39</v>
      </c>
      <c r="R52" s="777">
        <v>360</v>
      </c>
      <c r="S52" s="777">
        <v>515</v>
      </c>
      <c r="T52" s="777">
        <v>390</v>
      </c>
      <c r="U52" s="777">
        <v>560</v>
      </c>
      <c r="V52" s="777">
        <v>420</v>
      </c>
      <c r="W52" s="777">
        <v>600</v>
      </c>
      <c r="X52" s="777">
        <v>575</v>
      </c>
      <c r="Y52" s="777">
        <v>810</v>
      </c>
      <c r="Z52" s="777">
        <v>0</v>
      </c>
      <c r="AA52" s="777" t="s">
        <v>646</v>
      </c>
      <c r="AB52" s="777">
        <v>515</v>
      </c>
      <c r="AC52" s="777" t="s">
        <v>647</v>
      </c>
      <c r="AD52" s="777">
        <v>1385</v>
      </c>
      <c r="AE52" s="777">
        <v>983.02</v>
      </c>
      <c r="AF52" s="777">
        <v>0.63585523</v>
      </c>
      <c r="AG52" s="777">
        <v>0.58045405</v>
      </c>
      <c r="AH52" s="777">
        <v>0.48019237</v>
      </c>
      <c r="AI52" s="777">
        <v>1436.69</v>
      </c>
      <c r="AJ52" s="777">
        <v>108864</v>
      </c>
      <c r="AK52" s="777">
        <v>108864</v>
      </c>
      <c r="AL52" s="778">
        <v>0.001</v>
      </c>
    </row>
    <row r="53" spans="1:38" ht="15" customHeight="1">
      <c r="A53" s="775">
        <v>354</v>
      </c>
      <c r="B53" s="776" t="s">
        <v>282</v>
      </c>
      <c r="C53" s="777" t="s">
        <v>352</v>
      </c>
      <c r="D53" s="777" t="s">
        <v>352</v>
      </c>
      <c r="E53" s="777" t="s">
        <v>352</v>
      </c>
      <c r="F53" s="777" t="s">
        <v>352</v>
      </c>
      <c r="G53" s="777">
        <v>2896.02885</v>
      </c>
      <c r="H53" s="777">
        <v>4150.2705750000005</v>
      </c>
      <c r="I53" s="777">
        <v>4770.131575</v>
      </c>
      <c r="J53" s="777">
        <v>343.8804</v>
      </c>
      <c r="K53" s="777">
        <v>343.8804</v>
      </c>
      <c r="L53" s="777">
        <v>422.7754</v>
      </c>
      <c r="M53" s="777">
        <v>614.8211</v>
      </c>
      <c r="N53" s="777">
        <v>156.263</v>
      </c>
      <c r="O53" s="777">
        <v>226.81040000000002</v>
      </c>
      <c r="P53" s="777">
        <v>187.6174</v>
      </c>
      <c r="Q53" s="777">
        <v>305.19640000000004</v>
      </c>
      <c r="R53" s="777">
        <v>281.68059999999997</v>
      </c>
      <c r="S53" s="777">
        <v>403.1789</v>
      </c>
      <c r="T53" s="777">
        <v>305.19640000000004</v>
      </c>
      <c r="U53" s="777">
        <v>438.4526</v>
      </c>
      <c r="V53" s="777">
        <v>328.7122</v>
      </c>
      <c r="W53" s="777">
        <v>469.807</v>
      </c>
      <c r="X53" s="777">
        <v>450.23261249999996</v>
      </c>
      <c r="Y53" s="777">
        <v>634.41760000000011</v>
      </c>
      <c r="Z53" s="777" t="s">
        <v>352</v>
      </c>
      <c r="AA53" s="777" t="s">
        <v>646</v>
      </c>
      <c r="AB53" s="777">
        <v>515</v>
      </c>
      <c r="AC53" s="777" t="s">
        <v>647</v>
      </c>
      <c r="AD53" s="777">
        <v>1385</v>
      </c>
      <c r="AE53" s="777">
        <v>1022</v>
      </c>
      <c r="AF53" s="777">
        <v>0.63585523</v>
      </c>
      <c r="AG53" s="777">
        <v>0.58045405</v>
      </c>
      <c r="AH53" s="777">
        <v>0.48019237</v>
      </c>
      <c r="AI53" s="777">
        <v>1550</v>
      </c>
      <c r="AJ53" s="777">
        <v>120000</v>
      </c>
      <c r="AK53" s="777">
        <v>160000</v>
      </c>
      <c r="AL53" s="778">
        <v>0.005</v>
      </c>
    </row>
    <row r="54" spans="1:38" ht="15" customHeight="1">
      <c r="A54" s="775">
        <v>355</v>
      </c>
      <c r="B54" s="776" t="s">
        <v>285</v>
      </c>
      <c r="C54" s="777">
        <v>3500</v>
      </c>
      <c r="D54" s="777" t="s">
        <v>352</v>
      </c>
      <c r="E54" s="777" t="s">
        <v>352</v>
      </c>
      <c r="F54" s="777">
        <v>4800</v>
      </c>
      <c r="G54" s="777">
        <v>2746.99</v>
      </c>
      <c r="H54" s="777">
        <v>3862.65</v>
      </c>
      <c r="I54" s="777">
        <v>4150</v>
      </c>
      <c r="J54" s="777">
        <v>440</v>
      </c>
      <c r="K54" s="777">
        <v>440</v>
      </c>
      <c r="L54" s="777">
        <v>540</v>
      </c>
      <c r="M54" s="777">
        <v>785</v>
      </c>
      <c r="N54" s="777">
        <v>200</v>
      </c>
      <c r="O54" s="777">
        <v>290</v>
      </c>
      <c r="P54" s="777">
        <v>240</v>
      </c>
      <c r="Q54" s="777">
        <v>390</v>
      </c>
      <c r="R54" s="777">
        <v>360</v>
      </c>
      <c r="S54" s="777">
        <v>515</v>
      </c>
      <c r="T54" s="777">
        <v>390</v>
      </c>
      <c r="U54" s="777">
        <v>560</v>
      </c>
      <c r="V54" s="777">
        <v>420</v>
      </c>
      <c r="W54" s="777">
        <v>600</v>
      </c>
      <c r="X54" s="777">
        <v>575</v>
      </c>
      <c r="Y54" s="777">
        <v>810</v>
      </c>
      <c r="Z54" s="777" t="s">
        <v>352</v>
      </c>
      <c r="AA54" s="777" t="s">
        <v>646</v>
      </c>
      <c r="AB54" s="777">
        <v>515</v>
      </c>
      <c r="AC54" s="777" t="s">
        <v>647</v>
      </c>
      <c r="AD54" s="777">
        <v>1385</v>
      </c>
      <c r="AE54" s="777">
        <v>634.52</v>
      </c>
      <c r="AF54" s="777">
        <v>0.63585523</v>
      </c>
      <c r="AG54" s="777">
        <v>0.58045405</v>
      </c>
      <c r="AH54" s="777">
        <v>0.48019237</v>
      </c>
      <c r="AI54" s="777">
        <v>1550</v>
      </c>
      <c r="AJ54" s="777">
        <v>110000</v>
      </c>
      <c r="AK54" s="777">
        <v>110000</v>
      </c>
      <c r="AL54" s="778">
        <v>0</v>
      </c>
    </row>
    <row r="55" spans="1:38" ht="15" customHeight="1">
      <c r="A55" s="775">
        <v>356</v>
      </c>
      <c r="B55" s="776" t="s">
        <v>300</v>
      </c>
      <c r="C55" s="777">
        <v>3500</v>
      </c>
      <c r="D55" s="777">
        <v>4600</v>
      </c>
      <c r="E55" s="777" t="s">
        <v>352</v>
      </c>
      <c r="F55" s="777">
        <v>4800</v>
      </c>
      <c r="G55" s="777">
        <v>2906.5</v>
      </c>
      <c r="H55" s="777">
        <v>3873</v>
      </c>
      <c r="I55" s="777">
        <v>4397</v>
      </c>
      <c r="J55" s="777">
        <v>0</v>
      </c>
      <c r="K55" s="777">
        <v>440.99</v>
      </c>
      <c r="L55" s="777">
        <v>943.92</v>
      </c>
      <c r="M55" s="777">
        <v>786.77</v>
      </c>
      <c r="N55" s="777">
        <v>107.36</v>
      </c>
      <c r="O55" s="777">
        <v>290.65</v>
      </c>
      <c r="P55" s="777">
        <v>107.36</v>
      </c>
      <c r="Q55" s="777">
        <v>390.88</v>
      </c>
      <c r="R55" s="777">
        <v>160.02</v>
      </c>
      <c r="S55" s="777">
        <v>516.16</v>
      </c>
      <c r="T55" s="777">
        <v>213.7</v>
      </c>
      <c r="U55" s="777">
        <v>561.26</v>
      </c>
      <c r="V55" s="777">
        <v>219.77</v>
      </c>
      <c r="W55" s="777">
        <v>601.35</v>
      </c>
      <c r="X55" s="777">
        <v>328.14</v>
      </c>
      <c r="Y55" s="777">
        <v>811.83</v>
      </c>
      <c r="Z55" s="777">
        <v>0</v>
      </c>
      <c r="AA55" s="777" t="s">
        <v>646</v>
      </c>
      <c r="AB55" s="777">
        <v>622</v>
      </c>
      <c r="AC55" s="777" t="s">
        <v>647</v>
      </c>
      <c r="AD55" s="777">
        <v>1388.12</v>
      </c>
      <c r="AE55" s="777">
        <v>383</v>
      </c>
      <c r="AF55" s="777">
        <v>0.63585523</v>
      </c>
      <c r="AG55" s="777">
        <v>0.58045405</v>
      </c>
      <c r="AH55" s="777">
        <v>0.48019237</v>
      </c>
      <c r="AI55" s="777">
        <v>1553.5</v>
      </c>
      <c r="AJ55" s="777">
        <v>132990</v>
      </c>
      <c r="AK55" s="777">
        <v>110000</v>
      </c>
      <c r="AL55" s="778">
        <v>0</v>
      </c>
    </row>
    <row r="56" spans="1:38" ht="15" customHeight="1">
      <c r="A56" s="775">
        <v>357</v>
      </c>
      <c r="B56" s="776" t="s">
        <v>308</v>
      </c>
      <c r="C56" s="777">
        <v>3500</v>
      </c>
      <c r="D56" s="777" t="s">
        <v>352</v>
      </c>
      <c r="E56" s="777" t="s">
        <v>352</v>
      </c>
      <c r="F56" s="777">
        <v>4800</v>
      </c>
      <c r="G56" s="777">
        <v>2761.7</v>
      </c>
      <c r="H56" s="777">
        <v>3883.67</v>
      </c>
      <c r="I56" s="777">
        <v>4409.47</v>
      </c>
      <c r="J56" s="777">
        <v>442.35</v>
      </c>
      <c r="K56" s="777">
        <v>442.35</v>
      </c>
      <c r="L56" s="777">
        <v>542.89</v>
      </c>
      <c r="M56" s="777">
        <v>789.2</v>
      </c>
      <c r="N56" s="777">
        <v>201.07</v>
      </c>
      <c r="O56" s="777">
        <v>291.55</v>
      </c>
      <c r="P56" s="777">
        <v>241.28</v>
      </c>
      <c r="Q56" s="777">
        <v>392.09</v>
      </c>
      <c r="R56" s="777">
        <v>361.93</v>
      </c>
      <c r="S56" s="777">
        <v>517.76</v>
      </c>
      <c r="T56" s="777">
        <v>392.09</v>
      </c>
      <c r="U56" s="777">
        <v>563</v>
      </c>
      <c r="V56" s="777">
        <v>422.25</v>
      </c>
      <c r="W56" s="777">
        <v>603.21</v>
      </c>
      <c r="X56" s="777">
        <v>578.08</v>
      </c>
      <c r="Y56" s="777">
        <v>814.33</v>
      </c>
      <c r="Z56" s="777">
        <v>0</v>
      </c>
      <c r="AA56" s="777" t="s">
        <v>646</v>
      </c>
      <c r="AB56" s="777">
        <v>517.76</v>
      </c>
      <c r="AC56" s="777" t="s">
        <v>647</v>
      </c>
      <c r="AD56" s="777">
        <v>1392.41</v>
      </c>
      <c r="AE56" s="777">
        <v>1027.47</v>
      </c>
      <c r="AF56" s="777">
        <v>0.63585523</v>
      </c>
      <c r="AG56" s="777">
        <v>0.58045405</v>
      </c>
      <c r="AH56" s="777">
        <v>0.48019237</v>
      </c>
      <c r="AI56" s="777">
        <v>1558.29</v>
      </c>
      <c r="AJ56" s="777">
        <v>110588.5</v>
      </c>
      <c r="AK56" s="777">
        <v>110588.5</v>
      </c>
      <c r="AL56" s="778">
        <v>0.005</v>
      </c>
    </row>
    <row r="57" spans="1:38" ht="15" customHeight="1">
      <c r="A57" s="775">
        <v>358</v>
      </c>
      <c r="B57" s="776" t="s">
        <v>313</v>
      </c>
      <c r="C57" s="777">
        <v>3478.89</v>
      </c>
      <c r="D57" s="777" t="s">
        <v>352</v>
      </c>
      <c r="E57" s="777" t="s">
        <v>352</v>
      </c>
      <c r="F57" s="777">
        <v>4778.89</v>
      </c>
      <c r="G57" s="777">
        <v>2740.6</v>
      </c>
      <c r="H57" s="777">
        <v>3862.5699999999997</v>
      </c>
      <c r="I57" s="777">
        <v>4388.37</v>
      </c>
      <c r="J57" s="777">
        <v>442.36</v>
      </c>
      <c r="K57" s="777">
        <v>442.36</v>
      </c>
      <c r="L57" s="777">
        <v>542.89</v>
      </c>
      <c r="M57" s="777">
        <v>789.2</v>
      </c>
      <c r="N57" s="777">
        <v>201.07</v>
      </c>
      <c r="O57" s="777">
        <v>291.55</v>
      </c>
      <c r="P57" s="777">
        <v>241.27</v>
      </c>
      <c r="Q57" s="777">
        <v>392.09</v>
      </c>
      <c r="R57" s="777">
        <v>361.93</v>
      </c>
      <c r="S57" s="777">
        <v>517.76</v>
      </c>
      <c r="T57" s="777">
        <v>392.09</v>
      </c>
      <c r="U57" s="777">
        <v>563</v>
      </c>
      <c r="V57" s="777">
        <v>422.25</v>
      </c>
      <c r="W57" s="777">
        <v>603.21</v>
      </c>
      <c r="X57" s="777">
        <v>578.08</v>
      </c>
      <c r="Y57" s="777">
        <v>814.34</v>
      </c>
      <c r="Z57" s="777" t="s">
        <v>352</v>
      </c>
      <c r="AA57" s="777" t="s">
        <v>646</v>
      </c>
      <c r="AB57" s="777">
        <v>517.76</v>
      </c>
      <c r="AC57" s="777" t="s">
        <v>647</v>
      </c>
      <c r="AD57" s="777">
        <v>1392.42</v>
      </c>
      <c r="AE57" s="777">
        <v>1055.62</v>
      </c>
      <c r="AF57" s="777">
        <v>0.63585523</v>
      </c>
      <c r="AG57" s="777">
        <v>0.58045405</v>
      </c>
      <c r="AH57" s="777">
        <v>0.48019237</v>
      </c>
      <c r="AI57" s="777">
        <v>1558.3</v>
      </c>
      <c r="AJ57" s="777">
        <v>110589</v>
      </c>
      <c r="AK57" s="777">
        <v>110589</v>
      </c>
      <c r="AL57" s="778">
        <v>0.005</v>
      </c>
    </row>
    <row r="58" spans="1:38" ht="15" customHeight="1">
      <c r="A58" s="775">
        <v>359</v>
      </c>
      <c r="B58" s="776" t="s">
        <v>323</v>
      </c>
      <c r="C58" s="777">
        <v>3500</v>
      </c>
      <c r="D58" s="777" t="s">
        <v>352</v>
      </c>
      <c r="E58" s="777" t="s">
        <v>352</v>
      </c>
      <c r="F58" s="777">
        <v>4800</v>
      </c>
      <c r="G58" s="777">
        <v>2761.6864</v>
      </c>
      <c r="H58" s="777">
        <v>3883.75958432</v>
      </c>
      <c r="I58" s="777">
        <v>4409.6206320369283</v>
      </c>
      <c r="J58" s="777">
        <v>442.35</v>
      </c>
      <c r="K58" s="777">
        <v>442.35</v>
      </c>
      <c r="L58" s="777">
        <v>542.89</v>
      </c>
      <c r="M58" s="777">
        <v>789.2</v>
      </c>
      <c r="N58" s="777">
        <v>201.07</v>
      </c>
      <c r="O58" s="777">
        <v>291.55</v>
      </c>
      <c r="P58" s="777">
        <v>241.28</v>
      </c>
      <c r="Q58" s="777">
        <v>392.09</v>
      </c>
      <c r="R58" s="777">
        <v>361.93</v>
      </c>
      <c r="S58" s="777">
        <v>517.76</v>
      </c>
      <c r="T58" s="777">
        <v>392.09</v>
      </c>
      <c r="U58" s="777">
        <v>563</v>
      </c>
      <c r="V58" s="777">
        <v>422.25</v>
      </c>
      <c r="W58" s="777">
        <v>603.21</v>
      </c>
      <c r="X58" s="777">
        <v>578.08</v>
      </c>
      <c r="Y58" s="777">
        <v>814.33</v>
      </c>
      <c r="Z58" s="777" t="s">
        <v>352</v>
      </c>
      <c r="AA58" s="777" t="s">
        <v>650</v>
      </c>
      <c r="AB58" s="777">
        <v>517.76</v>
      </c>
      <c r="AC58" s="777" t="s">
        <v>651</v>
      </c>
      <c r="AD58" s="777">
        <v>1392.41</v>
      </c>
      <c r="AE58" s="777">
        <v>1027.47</v>
      </c>
      <c r="AF58" s="777">
        <v>0.63585523</v>
      </c>
      <c r="AG58" s="777">
        <v>0.58045405</v>
      </c>
      <c r="AH58" s="777">
        <v>0.48019237</v>
      </c>
      <c r="AI58" s="777">
        <v>1558.29</v>
      </c>
      <c r="AJ58" s="777">
        <v>110588.5</v>
      </c>
      <c r="AK58" s="777">
        <v>110588.5</v>
      </c>
      <c r="AL58" s="778">
        <v>0.0029223643657206992</v>
      </c>
    </row>
    <row r="59" spans="1:38" ht="15" customHeight="1">
      <c r="A59" s="775">
        <v>370</v>
      </c>
      <c r="B59" s="776" t="s">
        <v>175</v>
      </c>
      <c r="C59" s="777">
        <v>3500</v>
      </c>
      <c r="D59" s="777" t="s">
        <v>352</v>
      </c>
      <c r="E59" s="777" t="s">
        <v>352</v>
      </c>
      <c r="F59" s="777">
        <v>4800</v>
      </c>
      <c r="G59" s="777">
        <v>2832.14</v>
      </c>
      <c r="H59" s="777">
        <v>3863</v>
      </c>
      <c r="I59" s="777">
        <v>4386</v>
      </c>
      <c r="J59" s="777">
        <v>0</v>
      </c>
      <c r="K59" s="777">
        <v>0</v>
      </c>
      <c r="L59" s="777">
        <v>540</v>
      </c>
      <c r="M59" s="777">
        <v>540</v>
      </c>
      <c r="N59" s="777">
        <v>220</v>
      </c>
      <c r="O59" s="777">
        <v>220</v>
      </c>
      <c r="P59" s="777">
        <v>250</v>
      </c>
      <c r="Q59" s="777">
        <v>250</v>
      </c>
      <c r="R59" s="777">
        <v>320</v>
      </c>
      <c r="S59" s="777">
        <v>320</v>
      </c>
      <c r="T59" s="777">
        <v>400</v>
      </c>
      <c r="U59" s="777">
        <v>400</v>
      </c>
      <c r="V59" s="777">
        <v>530</v>
      </c>
      <c r="W59" s="777">
        <v>530</v>
      </c>
      <c r="X59" s="777">
        <v>600</v>
      </c>
      <c r="Y59" s="777">
        <v>600</v>
      </c>
      <c r="Z59" s="777" t="s">
        <v>352</v>
      </c>
      <c r="AA59" s="777" t="s">
        <v>646</v>
      </c>
      <c r="AB59" s="777">
        <v>515</v>
      </c>
      <c r="AC59" s="777" t="s">
        <v>647</v>
      </c>
      <c r="AD59" s="777">
        <v>1385</v>
      </c>
      <c r="AE59" s="777">
        <v>962.385</v>
      </c>
      <c r="AF59" s="777">
        <v>0.63585523</v>
      </c>
      <c r="AG59" s="777">
        <v>0.58045405</v>
      </c>
      <c r="AH59" s="777">
        <v>0.48019237</v>
      </c>
      <c r="AI59" s="777">
        <v>1052</v>
      </c>
      <c r="AJ59" s="777">
        <v>100000</v>
      </c>
      <c r="AK59" s="777">
        <v>100000</v>
      </c>
      <c r="AL59" s="778">
        <v>0.005</v>
      </c>
    </row>
    <row r="60" spans="1:38" ht="15" customHeight="1">
      <c r="A60" s="775">
        <v>371</v>
      </c>
      <c r="B60" s="776" t="s">
        <v>214</v>
      </c>
      <c r="C60" s="777">
        <v>3500</v>
      </c>
      <c r="D60" s="777">
        <v>4600</v>
      </c>
      <c r="E60" s="777">
        <v>4800</v>
      </c>
      <c r="F60" s="777">
        <v>4600</v>
      </c>
      <c r="G60" s="777">
        <v>2747</v>
      </c>
      <c r="H60" s="777">
        <v>3863</v>
      </c>
      <c r="I60" s="777">
        <v>4386</v>
      </c>
      <c r="J60" s="777">
        <v>427.5</v>
      </c>
      <c r="K60" s="777">
        <v>427.5</v>
      </c>
      <c r="L60" s="777">
        <v>540</v>
      </c>
      <c r="M60" s="777">
        <v>785</v>
      </c>
      <c r="N60" s="777">
        <v>200</v>
      </c>
      <c r="O60" s="777">
        <v>290</v>
      </c>
      <c r="P60" s="777">
        <v>240</v>
      </c>
      <c r="Q60" s="777">
        <v>390</v>
      </c>
      <c r="R60" s="777">
        <v>360</v>
      </c>
      <c r="S60" s="777">
        <v>515</v>
      </c>
      <c r="T60" s="777">
        <v>390</v>
      </c>
      <c r="U60" s="777">
        <v>560</v>
      </c>
      <c r="V60" s="777">
        <v>420</v>
      </c>
      <c r="W60" s="777">
        <v>600</v>
      </c>
      <c r="X60" s="777">
        <v>575</v>
      </c>
      <c r="Y60" s="777">
        <v>810</v>
      </c>
      <c r="Z60" s="777">
        <v>300</v>
      </c>
      <c r="AA60" s="777" t="s">
        <v>646</v>
      </c>
      <c r="AB60" s="777">
        <v>515</v>
      </c>
      <c r="AC60" s="777" t="s">
        <v>647</v>
      </c>
      <c r="AD60" s="777">
        <v>1385</v>
      </c>
      <c r="AE60" s="777">
        <v>1020.1</v>
      </c>
      <c r="AF60" s="777">
        <v>0.63585523</v>
      </c>
      <c r="AG60" s="777">
        <v>0.58045405</v>
      </c>
      <c r="AH60" s="777">
        <v>0.48019237</v>
      </c>
      <c r="AI60" s="777">
        <v>1505.9</v>
      </c>
      <c r="AJ60" s="777">
        <v>110000</v>
      </c>
      <c r="AK60" s="777">
        <v>110000</v>
      </c>
      <c r="AL60" s="778">
        <v>0.005</v>
      </c>
    </row>
    <row r="61" spans="1:38" ht="15" customHeight="1">
      <c r="A61" s="775">
        <v>372</v>
      </c>
      <c r="B61" s="776" t="s">
        <v>283</v>
      </c>
      <c r="C61" s="777">
        <v>3500</v>
      </c>
      <c r="D61" s="777">
        <v>4600</v>
      </c>
      <c r="E61" s="777">
        <v>5100</v>
      </c>
      <c r="F61" s="777">
        <v>4800</v>
      </c>
      <c r="G61" s="777">
        <v>2985</v>
      </c>
      <c r="H61" s="777">
        <v>4550</v>
      </c>
      <c r="I61" s="777">
        <v>4750</v>
      </c>
      <c r="J61" s="777">
        <v>320</v>
      </c>
      <c r="K61" s="777">
        <v>320</v>
      </c>
      <c r="L61" s="777">
        <v>540</v>
      </c>
      <c r="M61" s="777">
        <v>785</v>
      </c>
      <c r="N61" s="777">
        <v>135</v>
      </c>
      <c r="O61" s="777">
        <v>195</v>
      </c>
      <c r="P61" s="777">
        <v>160</v>
      </c>
      <c r="Q61" s="777">
        <v>260</v>
      </c>
      <c r="R61" s="777">
        <v>240</v>
      </c>
      <c r="S61" s="777">
        <v>345</v>
      </c>
      <c r="T61" s="777">
        <v>260</v>
      </c>
      <c r="U61" s="777">
        <v>375</v>
      </c>
      <c r="V61" s="777">
        <v>280</v>
      </c>
      <c r="W61" s="777">
        <v>400</v>
      </c>
      <c r="X61" s="777">
        <v>390</v>
      </c>
      <c r="Y61" s="777">
        <v>540</v>
      </c>
      <c r="Z61" s="777" t="s">
        <v>352</v>
      </c>
      <c r="AA61" s="777" t="s">
        <v>646</v>
      </c>
      <c r="AB61" s="777">
        <v>515</v>
      </c>
      <c r="AC61" s="777" t="s">
        <v>647</v>
      </c>
      <c r="AD61" s="777">
        <v>1385</v>
      </c>
      <c r="AE61" s="777">
        <v>645</v>
      </c>
      <c r="AF61" s="777">
        <v>0.63585523</v>
      </c>
      <c r="AG61" s="777">
        <v>0.58045405</v>
      </c>
      <c r="AH61" s="777">
        <v>0.48019237</v>
      </c>
      <c r="AI61" s="777">
        <v>920</v>
      </c>
      <c r="AJ61" s="777">
        <v>114000</v>
      </c>
      <c r="AK61" s="777">
        <v>114000</v>
      </c>
      <c r="AL61" s="778">
        <v>0.0005</v>
      </c>
    </row>
    <row r="62" spans="1:38" ht="15" customHeight="1">
      <c r="A62" s="775">
        <v>373</v>
      </c>
      <c r="B62" s="776" t="s">
        <v>288</v>
      </c>
      <c r="C62" s="777">
        <v>3500</v>
      </c>
      <c r="D62" s="777" t="s">
        <v>352</v>
      </c>
      <c r="E62" s="777" t="s">
        <v>352</v>
      </c>
      <c r="F62" s="777">
        <v>4800</v>
      </c>
      <c r="G62" s="777">
        <v>2939.7585893924097</v>
      </c>
      <c r="H62" s="777">
        <v>3673.2713856832925</v>
      </c>
      <c r="I62" s="777">
        <v>4478.1543038184127</v>
      </c>
      <c r="J62" s="777">
        <v>615.771641092802</v>
      </c>
      <c r="K62" s="777">
        <v>790.02599964926412</v>
      </c>
      <c r="L62" s="777" t="s">
        <v>352</v>
      </c>
      <c r="M62" s="777" t="s">
        <v>352</v>
      </c>
      <c r="N62" s="777">
        <v>126.84863178103188</v>
      </c>
      <c r="O62" s="777">
        <v>162.66017815554829</v>
      </c>
      <c r="P62" s="777">
        <v>126.8486317810319</v>
      </c>
      <c r="Q62" s="777">
        <v>162.66017815554829</v>
      </c>
      <c r="R62" s="777">
        <v>190.27294767154785</v>
      </c>
      <c r="S62" s="777">
        <v>243.99026723332247</v>
      </c>
      <c r="T62" s="777">
        <v>253.6972635620638</v>
      </c>
      <c r="U62" s="777">
        <v>325.32035631109665</v>
      </c>
      <c r="V62" s="777">
        <v>317.12157945257968</v>
      </c>
      <c r="W62" s="777">
        <v>406.65044538887076</v>
      </c>
      <c r="X62" s="777">
        <v>380.54589534309565</v>
      </c>
      <c r="Y62" s="777">
        <v>487.980534466645</v>
      </c>
      <c r="Z62" s="777" t="s">
        <v>352</v>
      </c>
      <c r="AA62" s="777" t="s">
        <v>646</v>
      </c>
      <c r="AB62" s="777">
        <v>344.65067452797842</v>
      </c>
      <c r="AC62" s="777" t="s">
        <v>647</v>
      </c>
      <c r="AD62" s="777">
        <v>961.67410385167909</v>
      </c>
      <c r="AE62" s="777">
        <v>1095.0371179390472</v>
      </c>
      <c r="AF62" s="777">
        <v>0.63585523</v>
      </c>
      <c r="AG62" s="777">
        <v>0.58045405</v>
      </c>
      <c r="AH62" s="777">
        <v>0.48019237</v>
      </c>
      <c r="AI62" s="777">
        <v>1776.3730527823993</v>
      </c>
      <c r="AJ62" s="777">
        <v>130000</v>
      </c>
      <c r="AK62" s="777">
        <v>130000</v>
      </c>
      <c r="AL62" s="778">
        <v>0.005</v>
      </c>
    </row>
    <row r="63" spans="1:38" ht="15" customHeight="1">
      <c r="A63" s="775">
        <v>380</v>
      </c>
      <c r="B63" s="776" t="s">
        <v>190</v>
      </c>
      <c r="C63" s="777">
        <v>3500</v>
      </c>
      <c r="D63" s="777">
        <v>0</v>
      </c>
      <c r="E63" s="777">
        <v>0</v>
      </c>
      <c r="F63" s="777">
        <v>4800</v>
      </c>
      <c r="G63" s="777">
        <v>2747.43952235709</v>
      </c>
      <c r="H63" s="777">
        <v>3863.61807725861</v>
      </c>
      <c r="I63" s="777">
        <v>4386.7017559198</v>
      </c>
      <c r="J63" s="777">
        <v>440.07039999938087</v>
      </c>
      <c r="K63" s="777">
        <v>440.07039999971238</v>
      </c>
      <c r="L63" s="777">
        <v>540.08640000014464</v>
      </c>
      <c r="M63" s="777">
        <v>785.1255999999114</v>
      </c>
      <c r="N63" s="777">
        <v>200.03199999999998</v>
      </c>
      <c r="O63" s="777">
        <v>290.0464</v>
      </c>
      <c r="P63" s="777">
        <v>240.0384</v>
      </c>
      <c r="Q63" s="777">
        <v>390.06239999999997</v>
      </c>
      <c r="R63" s="777">
        <v>360.0576</v>
      </c>
      <c r="S63" s="777">
        <v>515.0824</v>
      </c>
      <c r="T63" s="777">
        <v>390.06239999999997</v>
      </c>
      <c r="U63" s="777">
        <v>560.0896</v>
      </c>
      <c r="V63" s="777">
        <v>420.0671999999999</v>
      </c>
      <c r="W63" s="777">
        <v>600.096</v>
      </c>
      <c r="X63" s="777">
        <v>575.092</v>
      </c>
      <c r="Y63" s="777">
        <v>810.1296000000001</v>
      </c>
      <c r="Z63" s="777" t="s">
        <v>352</v>
      </c>
      <c r="AA63" s="777" t="s">
        <v>646</v>
      </c>
      <c r="AB63" s="777">
        <v>515.08240000063779</v>
      </c>
      <c r="AC63" s="777" t="s">
        <v>647</v>
      </c>
      <c r="AD63" s="777">
        <v>1385.2215999949694</v>
      </c>
      <c r="AE63" s="777">
        <v>1022.1635200000723</v>
      </c>
      <c r="AF63" s="777">
        <v>0.63585523</v>
      </c>
      <c r="AG63" s="777">
        <v>0.58045405</v>
      </c>
      <c r="AH63" s="777">
        <v>0.48019237</v>
      </c>
      <c r="AI63" s="777">
        <v>1550.2479999999521</v>
      </c>
      <c r="AJ63" s="777">
        <v>110017.59999999999</v>
      </c>
      <c r="AK63" s="777">
        <v>110017.59999999999</v>
      </c>
      <c r="AL63" s="778">
        <v>0</v>
      </c>
    </row>
    <row r="64" spans="1:38" ht="15" customHeight="1">
      <c r="A64" s="775">
        <v>381</v>
      </c>
      <c r="B64" s="776" t="s">
        <v>197</v>
      </c>
      <c r="C64" s="777">
        <v>3500</v>
      </c>
      <c r="D64" s="777" t="s">
        <v>352</v>
      </c>
      <c r="E64" s="777" t="s">
        <v>352</v>
      </c>
      <c r="F64" s="777">
        <v>4800</v>
      </c>
      <c r="G64" s="777">
        <v>2822</v>
      </c>
      <c r="H64" s="777">
        <v>3922</v>
      </c>
      <c r="I64" s="777">
        <v>4430</v>
      </c>
      <c r="J64" s="777">
        <v>440</v>
      </c>
      <c r="K64" s="777">
        <v>440</v>
      </c>
      <c r="L64" s="777">
        <v>540</v>
      </c>
      <c r="M64" s="777">
        <v>785</v>
      </c>
      <c r="N64" s="777">
        <v>200</v>
      </c>
      <c r="O64" s="777">
        <v>290</v>
      </c>
      <c r="P64" s="777">
        <v>240</v>
      </c>
      <c r="Q64" s="777">
        <v>390</v>
      </c>
      <c r="R64" s="777">
        <v>360</v>
      </c>
      <c r="S64" s="777">
        <v>515</v>
      </c>
      <c r="T64" s="777">
        <v>390</v>
      </c>
      <c r="U64" s="777">
        <v>560</v>
      </c>
      <c r="V64" s="777">
        <v>420</v>
      </c>
      <c r="W64" s="777">
        <v>600</v>
      </c>
      <c r="X64" s="777">
        <v>575</v>
      </c>
      <c r="Y64" s="777">
        <v>810</v>
      </c>
      <c r="Z64" s="777">
        <v>0</v>
      </c>
      <c r="AA64" s="777" t="s">
        <v>646</v>
      </c>
      <c r="AB64" s="777">
        <v>515</v>
      </c>
      <c r="AC64" s="777" t="s">
        <v>647</v>
      </c>
      <c r="AD64" s="777">
        <v>1385</v>
      </c>
      <c r="AE64" s="777">
        <v>702.184</v>
      </c>
      <c r="AF64" s="777">
        <v>0.63585523</v>
      </c>
      <c r="AG64" s="777">
        <v>0.58045405</v>
      </c>
      <c r="AH64" s="777">
        <v>0.48019237</v>
      </c>
      <c r="AI64" s="777">
        <v>1550</v>
      </c>
      <c r="AJ64" s="777">
        <v>110000</v>
      </c>
      <c r="AK64" s="777">
        <v>110000</v>
      </c>
      <c r="AL64" s="778">
        <v>0</v>
      </c>
    </row>
    <row r="65" spans="1:38" ht="15" customHeight="1">
      <c r="A65" s="775">
        <v>382</v>
      </c>
      <c r="B65" s="776" t="s">
        <v>245</v>
      </c>
      <c r="C65" s="777">
        <v>3500</v>
      </c>
      <c r="D65" s="777">
        <v>4600</v>
      </c>
      <c r="E65" s="777">
        <v>5100</v>
      </c>
      <c r="F65" s="777">
        <v>4800</v>
      </c>
      <c r="G65" s="777">
        <v>2747</v>
      </c>
      <c r="H65" s="777">
        <v>3863</v>
      </c>
      <c r="I65" s="777">
        <v>4386</v>
      </c>
      <c r="J65" s="777">
        <v>440</v>
      </c>
      <c r="K65" s="777">
        <v>440</v>
      </c>
      <c r="L65" s="777">
        <v>540</v>
      </c>
      <c r="M65" s="777">
        <v>785</v>
      </c>
      <c r="N65" s="777">
        <v>200</v>
      </c>
      <c r="O65" s="777">
        <v>290</v>
      </c>
      <c r="P65" s="777">
        <v>240</v>
      </c>
      <c r="Q65" s="777">
        <v>390</v>
      </c>
      <c r="R65" s="777">
        <v>360</v>
      </c>
      <c r="S65" s="777">
        <v>515</v>
      </c>
      <c r="T65" s="777">
        <v>390</v>
      </c>
      <c r="U65" s="777">
        <v>560</v>
      </c>
      <c r="V65" s="777">
        <v>420</v>
      </c>
      <c r="W65" s="777">
        <v>600</v>
      </c>
      <c r="X65" s="777">
        <v>575</v>
      </c>
      <c r="Y65" s="777">
        <v>810</v>
      </c>
      <c r="Z65" s="777">
        <v>0</v>
      </c>
      <c r="AA65" s="777" t="s">
        <v>646</v>
      </c>
      <c r="AB65" s="777">
        <v>515</v>
      </c>
      <c r="AC65" s="777" t="s">
        <v>647</v>
      </c>
      <c r="AD65" s="777">
        <v>1385</v>
      </c>
      <c r="AE65" s="777">
        <v>1022</v>
      </c>
      <c r="AF65" s="777">
        <v>0.63585523</v>
      </c>
      <c r="AG65" s="777">
        <v>0.58045405</v>
      </c>
      <c r="AH65" s="777">
        <v>0.48019237</v>
      </c>
      <c r="AI65" s="777">
        <v>1550</v>
      </c>
      <c r="AJ65" s="777">
        <v>120814</v>
      </c>
      <c r="AK65" s="777">
        <v>120814</v>
      </c>
      <c r="AL65" s="778">
        <v>0.00499956</v>
      </c>
    </row>
    <row r="66" spans="1:38" ht="15" customHeight="1">
      <c r="A66" s="775">
        <v>383</v>
      </c>
      <c r="B66" s="776" t="s">
        <v>249</v>
      </c>
      <c r="C66" s="777">
        <v>3400</v>
      </c>
      <c r="D66" s="777">
        <v>4600</v>
      </c>
      <c r="E66" s="777">
        <v>5100</v>
      </c>
      <c r="F66" s="777">
        <v>4700</v>
      </c>
      <c r="G66" s="777">
        <v>2747.4252368414955</v>
      </c>
      <c r="H66" s="777">
        <v>3863.26200353325</v>
      </c>
      <c r="I66" s="777">
        <v>4386.50489371705</v>
      </c>
      <c r="J66" s="777">
        <v>440.0697142</v>
      </c>
      <c r="K66" s="777">
        <v>440.0697142</v>
      </c>
      <c r="L66" s="777">
        <v>540.08555833636365</v>
      </c>
      <c r="M66" s="777">
        <v>785.12437647045454</v>
      </c>
      <c r="N66" s="777">
        <v>200.03168827272728</v>
      </c>
      <c r="O66" s="777">
        <v>290.04594799545458</v>
      </c>
      <c r="P66" s="777">
        <v>240.03802592727274</v>
      </c>
      <c r="Q66" s="777">
        <v>390.06179213181821</v>
      </c>
      <c r="R66" s="777">
        <v>360.0570388909091</v>
      </c>
      <c r="S66" s="777">
        <v>515.08159730227271</v>
      </c>
      <c r="T66" s="777">
        <v>390.06179213181821</v>
      </c>
      <c r="U66" s="777">
        <v>560.08872716363635</v>
      </c>
      <c r="V66" s="777">
        <v>420.06654537272732</v>
      </c>
      <c r="W66" s="777">
        <v>600.09506481818187</v>
      </c>
      <c r="X66" s="777">
        <v>575.09110378409093</v>
      </c>
      <c r="Y66" s="777">
        <v>810.12833750454547</v>
      </c>
      <c r="Z66" s="777">
        <v>0</v>
      </c>
      <c r="AA66" s="777" t="s">
        <v>646</v>
      </c>
      <c r="AB66" s="777">
        <v>515.08159730227271</v>
      </c>
      <c r="AC66" s="777" t="s">
        <v>647</v>
      </c>
      <c r="AD66" s="777">
        <v>1385.2194412886365</v>
      </c>
      <c r="AE66" s="777">
        <v>1022.1619270736364</v>
      </c>
      <c r="AF66" s="777">
        <v>0.63585523</v>
      </c>
      <c r="AG66" s="777">
        <v>0.58045405</v>
      </c>
      <c r="AH66" s="777">
        <v>0.48019237</v>
      </c>
      <c r="AI66" s="777">
        <v>1550.2455841136364</v>
      </c>
      <c r="AJ66" s="777">
        <v>110017.42855000001</v>
      </c>
      <c r="AK66" s="777">
        <v>110017.42855000001</v>
      </c>
      <c r="AL66" s="778">
        <v>0.005</v>
      </c>
    </row>
    <row r="67" spans="1:38" ht="15" customHeight="1">
      <c r="A67" s="775">
        <v>384</v>
      </c>
      <c r="B67" s="776" t="s">
        <v>314</v>
      </c>
      <c r="C67" s="777" t="s">
        <v>352</v>
      </c>
      <c r="D67" s="777" t="s">
        <v>352</v>
      </c>
      <c r="E67" s="777" t="s">
        <v>352</v>
      </c>
      <c r="F67" s="777" t="s">
        <v>352</v>
      </c>
      <c r="G67" s="777">
        <v>2867.22</v>
      </c>
      <c r="H67" s="777">
        <v>4000.05</v>
      </c>
      <c r="I67" s="777">
        <v>4385.81</v>
      </c>
      <c r="J67" s="777">
        <v>440</v>
      </c>
      <c r="K67" s="777">
        <v>440</v>
      </c>
      <c r="L67" s="777">
        <v>540</v>
      </c>
      <c r="M67" s="777">
        <v>785</v>
      </c>
      <c r="N67" s="777">
        <v>200</v>
      </c>
      <c r="O67" s="777">
        <v>290</v>
      </c>
      <c r="P67" s="777">
        <v>240</v>
      </c>
      <c r="Q67" s="777">
        <v>390</v>
      </c>
      <c r="R67" s="777">
        <v>360</v>
      </c>
      <c r="S67" s="777">
        <v>515</v>
      </c>
      <c r="T67" s="777">
        <v>390</v>
      </c>
      <c r="U67" s="777">
        <v>560</v>
      </c>
      <c r="V67" s="777">
        <v>420</v>
      </c>
      <c r="W67" s="777">
        <v>600</v>
      </c>
      <c r="X67" s="777">
        <v>575</v>
      </c>
      <c r="Y67" s="777">
        <v>810</v>
      </c>
      <c r="Z67" s="777" t="s">
        <v>352</v>
      </c>
      <c r="AA67" s="777" t="s">
        <v>646</v>
      </c>
      <c r="AB67" s="777">
        <v>515</v>
      </c>
      <c r="AC67" s="777" t="s">
        <v>647</v>
      </c>
      <c r="AD67" s="777">
        <v>1385</v>
      </c>
      <c r="AE67" s="777">
        <v>1022</v>
      </c>
      <c r="AF67" s="777">
        <v>0.63585523</v>
      </c>
      <c r="AG67" s="777">
        <v>0.58045405</v>
      </c>
      <c r="AH67" s="777">
        <v>0.48019237</v>
      </c>
      <c r="AI67" s="777">
        <v>1550</v>
      </c>
      <c r="AJ67" s="777">
        <v>112000</v>
      </c>
      <c r="AK67" s="777">
        <v>112000</v>
      </c>
      <c r="AL67" s="778">
        <v>8.88E-05</v>
      </c>
    </row>
    <row r="68" spans="1:38" ht="15" customHeight="1">
      <c r="A68" s="775">
        <v>390</v>
      </c>
      <c r="B68" s="776" t="s">
        <v>223</v>
      </c>
      <c r="C68" s="777">
        <v>3500</v>
      </c>
      <c r="D68" s="777">
        <v>4600</v>
      </c>
      <c r="E68" s="777">
        <v>5100</v>
      </c>
      <c r="F68" s="777">
        <v>4800</v>
      </c>
      <c r="G68" s="777">
        <v>2817.22</v>
      </c>
      <c r="H68" s="777">
        <v>3841.81</v>
      </c>
      <c r="I68" s="777">
        <v>4385.81</v>
      </c>
      <c r="J68" s="777">
        <v>440</v>
      </c>
      <c r="K68" s="777">
        <v>440</v>
      </c>
      <c r="L68" s="777">
        <v>677.78</v>
      </c>
      <c r="M68" s="777">
        <v>1058.33</v>
      </c>
      <c r="N68" s="777">
        <v>200</v>
      </c>
      <c r="O68" s="777">
        <v>225.55</v>
      </c>
      <c r="P68" s="777">
        <v>186.67</v>
      </c>
      <c r="Q68" s="777">
        <v>303.33</v>
      </c>
      <c r="R68" s="777">
        <v>357.28</v>
      </c>
      <c r="S68" s="777">
        <v>493.05</v>
      </c>
      <c r="T68" s="777">
        <v>395</v>
      </c>
      <c r="U68" s="777">
        <v>542.29</v>
      </c>
      <c r="V68" s="777">
        <v>447.33</v>
      </c>
      <c r="W68" s="777">
        <v>600</v>
      </c>
      <c r="X68" s="777">
        <v>676.11</v>
      </c>
      <c r="Y68" s="777">
        <v>876.91</v>
      </c>
      <c r="Z68" s="777">
        <v>500</v>
      </c>
      <c r="AA68" s="777" t="s">
        <v>646</v>
      </c>
      <c r="AB68" s="777">
        <v>515</v>
      </c>
      <c r="AC68" s="777" t="s">
        <v>647</v>
      </c>
      <c r="AD68" s="777">
        <v>1385</v>
      </c>
      <c r="AE68" s="777">
        <v>716.22</v>
      </c>
      <c r="AF68" s="777">
        <v>0.63585523</v>
      </c>
      <c r="AG68" s="777">
        <v>0.58045405</v>
      </c>
      <c r="AH68" s="777">
        <v>0.48019237</v>
      </c>
      <c r="AI68" s="777">
        <v>1068.89</v>
      </c>
      <c r="AJ68" s="777">
        <v>112222</v>
      </c>
      <c r="AK68" s="777">
        <v>123333</v>
      </c>
      <c r="AL68" s="778">
        <v>0.0021</v>
      </c>
    </row>
    <row r="69" spans="1:38" ht="15" customHeight="1">
      <c r="A69" s="775">
        <v>391</v>
      </c>
      <c r="B69" s="776" t="s">
        <v>261</v>
      </c>
      <c r="C69" s="777">
        <v>3500</v>
      </c>
      <c r="D69" s="777">
        <v>4600</v>
      </c>
      <c r="E69" s="777">
        <v>5100</v>
      </c>
      <c r="F69" s="777">
        <v>4800</v>
      </c>
      <c r="G69" s="777">
        <v>2783.3528724251842</v>
      </c>
      <c r="H69" s="777">
        <v>3914.121640399886</v>
      </c>
      <c r="I69" s="777">
        <v>4444.0428461801448</v>
      </c>
      <c r="J69" s="777">
        <v>459.00237672280264</v>
      </c>
      <c r="K69" s="777">
        <v>459.00237672280264</v>
      </c>
      <c r="L69" s="777">
        <v>563.32109870525778</v>
      </c>
      <c r="M69" s="777">
        <v>818.90196756227283</v>
      </c>
      <c r="N69" s="777">
        <v>208.63744396491029</v>
      </c>
      <c r="O69" s="777">
        <v>302.52429374911992</v>
      </c>
      <c r="P69" s="777">
        <v>250.36493275789235</v>
      </c>
      <c r="Q69" s="777">
        <v>406.84301573157506</v>
      </c>
      <c r="R69" s="777">
        <v>375.54739913683852</v>
      </c>
      <c r="S69" s="777">
        <v>537.24141820964394</v>
      </c>
      <c r="T69" s="777">
        <v>406.84301573157506</v>
      </c>
      <c r="U69" s="777">
        <v>584.18484310174881</v>
      </c>
      <c r="V69" s="777">
        <v>438.13863232631161</v>
      </c>
      <c r="W69" s="777">
        <v>625.91233189473087</v>
      </c>
      <c r="X69" s="777">
        <v>599.832651399117</v>
      </c>
      <c r="Y69" s="777">
        <v>844.98164805788667</v>
      </c>
      <c r="Z69" s="777" t="s">
        <v>352</v>
      </c>
      <c r="AA69" s="777" t="s">
        <v>646</v>
      </c>
      <c r="AB69" s="777">
        <v>515</v>
      </c>
      <c r="AC69" s="777" t="s">
        <v>647</v>
      </c>
      <c r="AD69" s="777">
        <v>1385</v>
      </c>
      <c r="AE69" s="777">
        <v>640</v>
      </c>
      <c r="AF69" s="777">
        <v>0.63585523</v>
      </c>
      <c r="AG69" s="777">
        <v>0.58045405</v>
      </c>
      <c r="AH69" s="777">
        <v>0.48019237</v>
      </c>
      <c r="AI69" s="777">
        <v>1550</v>
      </c>
      <c r="AJ69" s="777">
        <v>110000</v>
      </c>
      <c r="AK69" s="777">
        <v>110000</v>
      </c>
      <c r="AL69" s="778">
        <v>0.005</v>
      </c>
    </row>
    <row r="70" spans="1:38" ht="15" customHeight="1">
      <c r="A70" s="775">
        <v>392</v>
      </c>
      <c r="B70" s="776" t="s">
        <v>267</v>
      </c>
      <c r="C70" s="777">
        <v>3500</v>
      </c>
      <c r="D70" s="777">
        <v>4600</v>
      </c>
      <c r="E70" s="777">
        <v>5100</v>
      </c>
      <c r="F70" s="777">
        <v>4800</v>
      </c>
      <c r="G70" s="777">
        <v>2853.8599999999997</v>
      </c>
      <c r="H70" s="777">
        <v>4171.27</v>
      </c>
      <c r="I70" s="777">
        <v>5313.88</v>
      </c>
      <c r="J70" s="777">
        <v>0</v>
      </c>
      <c r="K70" s="777">
        <v>0</v>
      </c>
      <c r="L70" s="777">
        <v>562.08</v>
      </c>
      <c r="M70" s="777">
        <v>866.1</v>
      </c>
      <c r="N70" s="777">
        <v>0</v>
      </c>
      <c r="O70" s="777">
        <v>0</v>
      </c>
      <c r="P70" s="777">
        <v>220.75</v>
      </c>
      <c r="Q70" s="777">
        <v>327.03</v>
      </c>
      <c r="R70" s="777">
        <v>295.75</v>
      </c>
      <c r="S70" s="777">
        <v>437.03</v>
      </c>
      <c r="T70" s="777">
        <v>370.75</v>
      </c>
      <c r="U70" s="777">
        <v>547.03</v>
      </c>
      <c r="V70" s="777">
        <v>445.75</v>
      </c>
      <c r="W70" s="777">
        <v>657.03</v>
      </c>
      <c r="X70" s="777">
        <v>520.75</v>
      </c>
      <c r="Y70" s="777">
        <v>767.03</v>
      </c>
      <c r="Z70" s="777" t="s">
        <v>352</v>
      </c>
      <c r="AA70" s="777" t="s">
        <v>650</v>
      </c>
      <c r="AB70" s="777">
        <v>1212</v>
      </c>
      <c r="AC70" s="777" t="s">
        <v>651</v>
      </c>
      <c r="AD70" s="777">
        <v>1212</v>
      </c>
      <c r="AE70" s="777">
        <v>286.945</v>
      </c>
      <c r="AF70" s="777">
        <v>0.63585523</v>
      </c>
      <c r="AG70" s="777">
        <v>0.58045405</v>
      </c>
      <c r="AH70" s="777">
        <v>0.48019237</v>
      </c>
      <c r="AI70" s="777">
        <v>647.34</v>
      </c>
      <c r="AJ70" s="777">
        <v>150000</v>
      </c>
      <c r="AK70" s="777">
        <v>170000</v>
      </c>
      <c r="AL70" s="778">
        <v>-0.015</v>
      </c>
    </row>
    <row r="71" spans="1:38" ht="15" customHeight="1">
      <c r="A71" s="775">
        <v>393</v>
      </c>
      <c r="B71" s="776" t="s">
        <v>294</v>
      </c>
      <c r="C71" s="777">
        <v>3500</v>
      </c>
      <c r="D71" s="777">
        <v>4600</v>
      </c>
      <c r="E71" s="777">
        <v>5100</v>
      </c>
      <c r="F71" s="777">
        <v>4800</v>
      </c>
      <c r="G71" s="777">
        <v>2746.99</v>
      </c>
      <c r="H71" s="777">
        <v>3862.65</v>
      </c>
      <c r="I71" s="777">
        <v>4385.81</v>
      </c>
      <c r="J71" s="777">
        <v>440</v>
      </c>
      <c r="K71" s="777">
        <v>440</v>
      </c>
      <c r="L71" s="777">
        <v>540</v>
      </c>
      <c r="M71" s="777">
        <v>785</v>
      </c>
      <c r="N71" s="777">
        <v>200</v>
      </c>
      <c r="O71" s="777">
        <v>290</v>
      </c>
      <c r="P71" s="777">
        <v>240</v>
      </c>
      <c r="Q71" s="777">
        <v>390</v>
      </c>
      <c r="R71" s="777">
        <v>360</v>
      </c>
      <c r="S71" s="777">
        <v>515</v>
      </c>
      <c r="T71" s="777">
        <v>390</v>
      </c>
      <c r="U71" s="777">
        <v>560</v>
      </c>
      <c r="V71" s="777">
        <v>420</v>
      </c>
      <c r="W71" s="777">
        <v>600</v>
      </c>
      <c r="X71" s="777">
        <v>575</v>
      </c>
      <c r="Y71" s="777">
        <v>810</v>
      </c>
      <c r="Z71" s="777">
        <v>0</v>
      </c>
      <c r="AA71" s="777" t="s">
        <v>646</v>
      </c>
      <c r="AB71" s="777">
        <v>515</v>
      </c>
      <c r="AC71" s="777" t="s">
        <v>647</v>
      </c>
      <c r="AD71" s="777">
        <v>1385</v>
      </c>
      <c r="AE71" s="777">
        <v>1022</v>
      </c>
      <c r="AF71" s="777">
        <v>0.63585523</v>
      </c>
      <c r="AG71" s="777">
        <v>0.58045405</v>
      </c>
      <c r="AH71" s="777">
        <v>0.48019237</v>
      </c>
      <c r="AI71" s="777">
        <v>1550</v>
      </c>
      <c r="AJ71" s="777">
        <v>110000</v>
      </c>
      <c r="AK71" s="777">
        <v>110000</v>
      </c>
      <c r="AL71" s="778">
        <v>-0.015</v>
      </c>
    </row>
    <row r="72" spans="1:38" ht="15" customHeight="1">
      <c r="A72" s="775">
        <v>394</v>
      </c>
      <c r="B72" s="776" t="s">
        <v>304</v>
      </c>
      <c r="C72" s="777">
        <v>3500</v>
      </c>
      <c r="D72" s="777">
        <v>4600</v>
      </c>
      <c r="E72" s="777">
        <v>5100</v>
      </c>
      <c r="F72" s="777">
        <v>4800</v>
      </c>
      <c r="G72" s="777">
        <v>2746.99</v>
      </c>
      <c r="H72" s="777">
        <v>3862.65</v>
      </c>
      <c r="I72" s="777">
        <v>4385.81</v>
      </c>
      <c r="J72" s="777">
        <v>210</v>
      </c>
      <c r="K72" s="777">
        <v>210</v>
      </c>
      <c r="L72" s="777">
        <v>540</v>
      </c>
      <c r="M72" s="777">
        <v>785</v>
      </c>
      <c r="N72" s="777">
        <v>200</v>
      </c>
      <c r="O72" s="777">
        <v>290</v>
      </c>
      <c r="P72" s="777">
        <v>240</v>
      </c>
      <c r="Q72" s="777">
        <v>390</v>
      </c>
      <c r="R72" s="777">
        <v>360</v>
      </c>
      <c r="S72" s="777">
        <v>515</v>
      </c>
      <c r="T72" s="777">
        <v>390</v>
      </c>
      <c r="U72" s="777">
        <v>560</v>
      </c>
      <c r="V72" s="777">
        <v>420</v>
      </c>
      <c r="W72" s="777">
        <v>600</v>
      </c>
      <c r="X72" s="777">
        <v>575</v>
      </c>
      <c r="Y72" s="777">
        <v>810</v>
      </c>
      <c r="Z72" s="777" t="s">
        <v>352</v>
      </c>
      <c r="AA72" s="777" t="s">
        <v>646</v>
      </c>
      <c r="AB72" s="777">
        <v>515</v>
      </c>
      <c r="AC72" s="777" t="s">
        <v>647</v>
      </c>
      <c r="AD72" s="777">
        <v>1385</v>
      </c>
      <c r="AE72" s="777">
        <v>1022</v>
      </c>
      <c r="AF72" s="777">
        <v>0.63585523</v>
      </c>
      <c r="AG72" s="777">
        <v>0.58045405</v>
      </c>
      <c r="AH72" s="777">
        <v>0.48019237</v>
      </c>
      <c r="AI72" s="777">
        <v>1550</v>
      </c>
      <c r="AJ72" s="777">
        <v>130000</v>
      </c>
      <c r="AK72" s="777">
        <v>130000</v>
      </c>
      <c r="AL72" s="778">
        <v>0.00181965434</v>
      </c>
    </row>
    <row r="73" spans="1:38" ht="15" customHeight="1">
      <c r="A73" s="775">
        <v>420</v>
      </c>
      <c r="B73" s="776" t="s">
        <v>239</v>
      </c>
      <c r="C73" s="777">
        <v>3500</v>
      </c>
      <c r="D73" s="777">
        <v>0</v>
      </c>
      <c r="E73" s="777">
        <v>0</v>
      </c>
      <c r="F73" s="777">
        <v>4800</v>
      </c>
      <c r="G73" s="777">
        <v>4571.5453860977977</v>
      </c>
      <c r="H73" s="777">
        <v>8000.5606419848946</v>
      </c>
      <c r="I73" s="777">
        <v>11245.912691996826</v>
      </c>
      <c r="J73" s="777">
        <v>440</v>
      </c>
      <c r="K73" s="777">
        <v>440</v>
      </c>
      <c r="L73" s="777">
        <v>540</v>
      </c>
      <c r="M73" s="777">
        <v>785</v>
      </c>
      <c r="N73" s="777">
        <v>200</v>
      </c>
      <c r="O73" s="777">
        <v>290</v>
      </c>
      <c r="P73" s="777">
        <v>240</v>
      </c>
      <c r="Q73" s="777">
        <v>390</v>
      </c>
      <c r="R73" s="777">
        <v>360</v>
      </c>
      <c r="S73" s="777">
        <v>515</v>
      </c>
      <c r="T73" s="777">
        <v>390</v>
      </c>
      <c r="U73" s="777">
        <v>560</v>
      </c>
      <c r="V73" s="777">
        <v>420</v>
      </c>
      <c r="W73" s="777">
        <v>600</v>
      </c>
      <c r="X73" s="777">
        <v>575</v>
      </c>
      <c r="Y73" s="777">
        <v>810</v>
      </c>
      <c r="Z73" s="777" t="s">
        <v>352</v>
      </c>
      <c r="AA73" s="777" t="s">
        <v>646</v>
      </c>
      <c r="AB73" s="777">
        <v>515</v>
      </c>
      <c r="AC73" s="777" t="s">
        <v>647</v>
      </c>
      <c r="AD73" s="777">
        <v>1385</v>
      </c>
      <c r="AE73" s="777">
        <v>1050</v>
      </c>
      <c r="AF73" s="777">
        <v>0.63585523</v>
      </c>
      <c r="AG73" s="777">
        <v>0.58045405</v>
      </c>
      <c r="AH73" s="777">
        <v>0.48019237</v>
      </c>
      <c r="AI73" s="777">
        <v>1550</v>
      </c>
      <c r="AJ73" s="777">
        <v>110000</v>
      </c>
      <c r="AK73" s="777">
        <v>110000</v>
      </c>
      <c r="AL73" s="778">
        <v>0.005</v>
      </c>
    </row>
    <row r="74" spans="1:38" ht="15" customHeight="1">
      <c r="A74" s="775">
        <v>800</v>
      </c>
      <c r="B74" s="776" t="s">
        <v>177</v>
      </c>
      <c r="C74" s="777">
        <v>3482.5</v>
      </c>
      <c r="D74" s="777">
        <v>0</v>
      </c>
      <c r="E74" s="777">
        <v>5005.65</v>
      </c>
      <c r="F74" s="777">
        <v>4711.2</v>
      </c>
      <c r="G74" s="777">
        <v>2698</v>
      </c>
      <c r="H74" s="777">
        <v>3811.51</v>
      </c>
      <c r="I74" s="777">
        <v>4325.66</v>
      </c>
      <c r="J74" s="777">
        <v>437.8</v>
      </c>
      <c r="K74" s="777">
        <v>437.8</v>
      </c>
      <c r="L74" s="777">
        <v>537.3</v>
      </c>
      <c r="M74" s="777">
        <v>781.075</v>
      </c>
      <c r="N74" s="777">
        <v>199</v>
      </c>
      <c r="O74" s="777">
        <v>288.55</v>
      </c>
      <c r="P74" s="777">
        <v>238.8</v>
      </c>
      <c r="Q74" s="777">
        <v>388.05</v>
      </c>
      <c r="R74" s="777">
        <v>358.2</v>
      </c>
      <c r="S74" s="777">
        <v>512.425</v>
      </c>
      <c r="T74" s="777">
        <v>388.05</v>
      </c>
      <c r="U74" s="777">
        <v>557.2</v>
      </c>
      <c r="V74" s="777">
        <v>417.9</v>
      </c>
      <c r="W74" s="777">
        <v>597</v>
      </c>
      <c r="X74" s="777">
        <v>572.125</v>
      </c>
      <c r="Y74" s="777">
        <v>805.95</v>
      </c>
      <c r="Z74" s="777" t="s">
        <v>352</v>
      </c>
      <c r="AA74" s="777" t="s">
        <v>646</v>
      </c>
      <c r="AB74" s="777">
        <v>512.425</v>
      </c>
      <c r="AC74" s="777" t="s">
        <v>647</v>
      </c>
      <c r="AD74" s="777">
        <v>1378.075</v>
      </c>
      <c r="AE74" s="777">
        <v>1016.89</v>
      </c>
      <c r="AF74" s="777">
        <v>0.63585523</v>
      </c>
      <c r="AG74" s="777">
        <v>0.58045405</v>
      </c>
      <c r="AH74" s="777">
        <v>0.48019237</v>
      </c>
      <c r="AI74" s="777">
        <v>1542.25</v>
      </c>
      <c r="AJ74" s="777">
        <v>109450</v>
      </c>
      <c r="AK74" s="777">
        <v>109450</v>
      </c>
      <c r="AL74" s="778">
        <v>0</v>
      </c>
    </row>
    <row r="75" spans="1:38" ht="15" customHeight="1">
      <c r="A75" s="775">
        <v>801</v>
      </c>
      <c r="B75" s="776" t="s">
        <v>193</v>
      </c>
      <c r="C75" s="777" t="s">
        <v>352</v>
      </c>
      <c r="D75" s="777" t="s">
        <v>352</v>
      </c>
      <c r="E75" s="777" t="s">
        <v>352</v>
      </c>
      <c r="F75" s="777" t="s">
        <v>352</v>
      </c>
      <c r="G75" s="777">
        <v>2868.2467910755795</v>
      </c>
      <c r="H75" s="777">
        <v>4091.9325334439518</v>
      </c>
      <c r="I75" s="777">
        <v>4315.3339142695031</v>
      </c>
      <c r="J75" s="777">
        <v>375.51659299140857</v>
      </c>
      <c r="K75" s="777">
        <v>384.26164361779638</v>
      </c>
      <c r="L75" s="777">
        <v>360.74408914597291</v>
      </c>
      <c r="M75" s="777">
        <v>524.41501848071994</v>
      </c>
      <c r="N75" s="777">
        <v>250.45538402462347</v>
      </c>
      <c r="O75" s="777">
        <v>310.5793988822856</v>
      </c>
      <c r="P75" s="777">
        <v>300.54646082954804</v>
      </c>
      <c r="Q75" s="777">
        <v>400.75315225898493</v>
      </c>
      <c r="R75" s="777">
        <v>427.45039882058069</v>
      </c>
      <c r="S75" s="777">
        <v>530.99731329766553</v>
      </c>
      <c r="T75" s="777">
        <v>494.23032195395115</v>
      </c>
      <c r="U75" s="777">
        <v>607.79790557397973</v>
      </c>
      <c r="V75" s="777">
        <v>561.01024508732121</v>
      </c>
      <c r="W75" s="777">
        <v>681.25827480264559</v>
      </c>
      <c r="X75" s="777">
        <v>851.51149895433912</v>
      </c>
      <c r="Y75" s="777">
        <v>1008.5019821937904</v>
      </c>
      <c r="Z75" s="777" t="s">
        <v>352</v>
      </c>
      <c r="AA75" s="777" t="s">
        <v>646</v>
      </c>
      <c r="AB75" s="777">
        <v>525.37758920604563</v>
      </c>
      <c r="AC75" s="777" t="s">
        <v>647</v>
      </c>
      <c r="AD75" s="777">
        <v>1197.2437071459358</v>
      </c>
      <c r="AE75" s="777">
        <v>916.90713589465577</v>
      </c>
      <c r="AF75" s="777">
        <v>0.63585523</v>
      </c>
      <c r="AG75" s="777">
        <v>0.58045405</v>
      </c>
      <c r="AH75" s="777">
        <v>0.48019237</v>
      </c>
      <c r="AI75" s="777">
        <v>1369.9913518500275</v>
      </c>
      <c r="AJ75" s="777">
        <v>125000</v>
      </c>
      <c r="AK75" s="777">
        <v>125000</v>
      </c>
      <c r="AL75" s="778">
        <v>0</v>
      </c>
    </row>
    <row r="76" spans="1:38" ht="15" customHeight="1">
      <c r="A76" s="775">
        <v>802</v>
      </c>
      <c r="B76" s="776" t="s">
        <v>266</v>
      </c>
      <c r="C76" s="777">
        <v>3276.4</v>
      </c>
      <c r="D76" s="777">
        <v>0</v>
      </c>
      <c r="E76" s="777">
        <v>0</v>
      </c>
      <c r="F76" s="777">
        <v>4556.4</v>
      </c>
      <c r="G76" s="777">
        <v>2794.47</v>
      </c>
      <c r="H76" s="777">
        <v>3926.12</v>
      </c>
      <c r="I76" s="777">
        <v>4456.78</v>
      </c>
      <c r="J76" s="777">
        <v>446.31</v>
      </c>
      <c r="K76" s="777">
        <v>446.31</v>
      </c>
      <c r="L76" s="777">
        <v>547.74</v>
      </c>
      <c r="M76" s="777">
        <v>796.25</v>
      </c>
      <c r="N76" s="777">
        <v>202.87</v>
      </c>
      <c r="O76" s="777">
        <v>294.16</v>
      </c>
      <c r="P76" s="777">
        <v>243.44</v>
      </c>
      <c r="Q76" s="777">
        <v>395.59</v>
      </c>
      <c r="R76" s="777">
        <v>365.16</v>
      </c>
      <c r="S76" s="777">
        <v>522.38</v>
      </c>
      <c r="T76" s="777">
        <v>395.59</v>
      </c>
      <c r="U76" s="777">
        <v>568.02</v>
      </c>
      <c r="V76" s="777">
        <v>426.02</v>
      </c>
      <c r="W76" s="777">
        <v>608.6</v>
      </c>
      <c r="X76" s="777">
        <v>583.24</v>
      </c>
      <c r="Y76" s="777">
        <v>821.61</v>
      </c>
      <c r="Z76" s="777" t="s">
        <v>352</v>
      </c>
      <c r="AA76" s="777" t="s">
        <v>646</v>
      </c>
      <c r="AB76" s="777">
        <v>522.38</v>
      </c>
      <c r="AC76" s="777" t="s">
        <v>647</v>
      </c>
      <c r="AD76" s="777">
        <v>1404.85</v>
      </c>
      <c r="AE76" s="777">
        <v>1036.65</v>
      </c>
      <c r="AF76" s="777">
        <v>0.63585523</v>
      </c>
      <c r="AG76" s="777">
        <v>0.58045405</v>
      </c>
      <c r="AH76" s="777">
        <v>0.48019237</v>
      </c>
      <c r="AI76" s="777">
        <v>1572.2115</v>
      </c>
      <c r="AJ76" s="777">
        <v>111576.3</v>
      </c>
      <c r="AK76" s="777">
        <v>111576.3</v>
      </c>
      <c r="AL76" s="778">
        <v>0</v>
      </c>
    </row>
    <row r="77" spans="1:38" ht="15" customHeight="1">
      <c r="A77" s="775">
        <v>803</v>
      </c>
      <c r="B77" s="776" t="s">
        <v>293</v>
      </c>
      <c r="C77" s="777">
        <v>0</v>
      </c>
      <c r="D77" s="777">
        <v>0</v>
      </c>
      <c r="E77" s="777">
        <v>0</v>
      </c>
      <c r="F77" s="777">
        <v>0</v>
      </c>
      <c r="G77" s="777">
        <v>2718.32</v>
      </c>
      <c r="H77" s="777">
        <v>3822.34</v>
      </c>
      <c r="I77" s="777">
        <v>4340.04</v>
      </c>
      <c r="J77" s="777">
        <v>435.41</v>
      </c>
      <c r="K77" s="777">
        <v>435.41</v>
      </c>
      <c r="L77" s="777">
        <v>534.36456</v>
      </c>
      <c r="M77" s="777">
        <v>776.81</v>
      </c>
      <c r="N77" s="777">
        <v>197.91</v>
      </c>
      <c r="O77" s="777">
        <v>286.97</v>
      </c>
      <c r="P77" s="777">
        <v>237.5</v>
      </c>
      <c r="Q77" s="777">
        <v>385.93</v>
      </c>
      <c r="R77" s="777">
        <v>356.24</v>
      </c>
      <c r="S77" s="777">
        <v>509.63</v>
      </c>
      <c r="T77" s="777">
        <v>385.93</v>
      </c>
      <c r="U77" s="777">
        <v>554.16</v>
      </c>
      <c r="V77" s="777">
        <v>415.62</v>
      </c>
      <c r="W77" s="777">
        <v>593.74</v>
      </c>
      <c r="X77" s="777">
        <v>569</v>
      </c>
      <c r="Y77" s="777">
        <v>801.55</v>
      </c>
      <c r="Z77" s="777">
        <v>0</v>
      </c>
      <c r="AA77" s="777" t="s">
        <v>646</v>
      </c>
      <c r="AB77" s="777">
        <v>509.63</v>
      </c>
      <c r="AC77" s="777" t="s">
        <v>647</v>
      </c>
      <c r="AD77" s="777">
        <v>1370.55</v>
      </c>
      <c r="AE77" s="777">
        <v>1011.33</v>
      </c>
      <c r="AF77" s="777">
        <v>0.63585523</v>
      </c>
      <c r="AG77" s="777">
        <v>0.58045405</v>
      </c>
      <c r="AH77" s="777">
        <v>0.48019237</v>
      </c>
      <c r="AI77" s="777">
        <v>1533.82</v>
      </c>
      <c r="AJ77" s="777">
        <v>108852.04</v>
      </c>
      <c r="AK77" s="777">
        <v>108852.04</v>
      </c>
      <c r="AL77" s="778">
        <v>-0.015</v>
      </c>
    </row>
    <row r="78" spans="1:38" ht="15" customHeight="1">
      <c r="A78" s="775">
        <v>805</v>
      </c>
      <c r="B78" s="776" t="s">
        <v>232</v>
      </c>
      <c r="C78" s="777">
        <v>3500</v>
      </c>
      <c r="D78" s="777">
        <v>4600</v>
      </c>
      <c r="E78" s="777">
        <v>5100</v>
      </c>
      <c r="F78" s="777">
        <v>4800</v>
      </c>
      <c r="G78" s="777">
        <v>2731.183</v>
      </c>
      <c r="H78" s="777">
        <v>3840.42311</v>
      </c>
      <c r="I78" s="777">
        <v>4360.5727300000008</v>
      </c>
      <c r="J78" s="777">
        <v>440</v>
      </c>
      <c r="K78" s="777">
        <v>440</v>
      </c>
      <c r="L78" s="777">
        <v>540</v>
      </c>
      <c r="M78" s="777">
        <v>785</v>
      </c>
      <c r="N78" s="777">
        <v>200</v>
      </c>
      <c r="O78" s="777">
        <v>290</v>
      </c>
      <c r="P78" s="777">
        <v>240</v>
      </c>
      <c r="Q78" s="777">
        <v>390</v>
      </c>
      <c r="R78" s="777">
        <v>360</v>
      </c>
      <c r="S78" s="777">
        <v>515</v>
      </c>
      <c r="T78" s="777">
        <v>390</v>
      </c>
      <c r="U78" s="777">
        <v>560</v>
      </c>
      <c r="V78" s="777">
        <v>420</v>
      </c>
      <c r="W78" s="777">
        <v>600</v>
      </c>
      <c r="X78" s="777">
        <v>575</v>
      </c>
      <c r="Y78" s="777">
        <v>810</v>
      </c>
      <c r="Z78" s="777">
        <v>0</v>
      </c>
      <c r="AA78" s="777" t="s">
        <v>646</v>
      </c>
      <c r="AB78" s="777">
        <v>515</v>
      </c>
      <c r="AC78" s="777" t="s">
        <v>647</v>
      </c>
      <c r="AD78" s="777">
        <v>1385</v>
      </c>
      <c r="AE78" s="777">
        <v>1022</v>
      </c>
      <c r="AF78" s="777">
        <v>0.63585523</v>
      </c>
      <c r="AG78" s="777">
        <v>0.58045405</v>
      </c>
      <c r="AH78" s="777">
        <v>0.48019237</v>
      </c>
      <c r="AI78" s="777">
        <v>1550</v>
      </c>
      <c r="AJ78" s="777">
        <v>110000</v>
      </c>
      <c r="AK78" s="777">
        <v>110000</v>
      </c>
      <c r="AL78" s="778">
        <v>0.003514</v>
      </c>
    </row>
    <row r="79" spans="1:38" ht="15" customHeight="1">
      <c r="A79" s="775">
        <v>806</v>
      </c>
      <c r="B79" s="776" t="s">
        <v>259</v>
      </c>
      <c r="C79" s="777">
        <v>3500</v>
      </c>
      <c r="D79" s="777" t="s">
        <v>352</v>
      </c>
      <c r="E79" s="777" t="s">
        <v>352</v>
      </c>
      <c r="F79" s="777">
        <v>4800</v>
      </c>
      <c r="G79" s="777">
        <v>2745.97</v>
      </c>
      <c r="H79" s="777">
        <v>3861.63</v>
      </c>
      <c r="I79" s="777">
        <v>4384.79</v>
      </c>
      <c r="J79" s="777">
        <v>440</v>
      </c>
      <c r="K79" s="777">
        <v>440</v>
      </c>
      <c r="L79" s="777">
        <v>540</v>
      </c>
      <c r="M79" s="777">
        <v>785</v>
      </c>
      <c r="N79" s="777">
        <v>200</v>
      </c>
      <c r="O79" s="777">
        <v>290</v>
      </c>
      <c r="P79" s="777">
        <v>240</v>
      </c>
      <c r="Q79" s="777">
        <v>390</v>
      </c>
      <c r="R79" s="777">
        <v>360</v>
      </c>
      <c r="S79" s="777">
        <v>515</v>
      </c>
      <c r="T79" s="777">
        <v>390</v>
      </c>
      <c r="U79" s="777">
        <v>560</v>
      </c>
      <c r="V79" s="777">
        <v>420</v>
      </c>
      <c r="W79" s="777">
        <v>600</v>
      </c>
      <c r="X79" s="777">
        <v>575</v>
      </c>
      <c r="Y79" s="777">
        <v>810</v>
      </c>
      <c r="Z79" s="777" t="s">
        <v>352</v>
      </c>
      <c r="AA79" s="777" t="s">
        <v>646</v>
      </c>
      <c r="AB79" s="777">
        <v>515</v>
      </c>
      <c r="AC79" s="777" t="s">
        <v>647</v>
      </c>
      <c r="AD79" s="777">
        <v>1385</v>
      </c>
      <c r="AE79" s="777">
        <v>1022</v>
      </c>
      <c r="AF79" s="777">
        <v>0.63585523</v>
      </c>
      <c r="AG79" s="777">
        <v>0.58045405</v>
      </c>
      <c r="AH79" s="777">
        <v>0.48019237</v>
      </c>
      <c r="AI79" s="777">
        <v>1550</v>
      </c>
      <c r="AJ79" s="777">
        <v>110000</v>
      </c>
      <c r="AK79" s="777">
        <v>110000</v>
      </c>
      <c r="AL79" s="778">
        <v>0.0045</v>
      </c>
    </row>
    <row r="80" spans="1:38" ht="15" customHeight="1">
      <c r="A80" s="775">
        <v>807</v>
      </c>
      <c r="B80" s="776" t="s">
        <v>280</v>
      </c>
      <c r="C80" s="777">
        <v>3500</v>
      </c>
      <c r="D80" s="777">
        <v>4600</v>
      </c>
      <c r="E80" s="777">
        <v>5100</v>
      </c>
      <c r="F80" s="777">
        <v>4800</v>
      </c>
      <c r="G80" s="777">
        <v>2747</v>
      </c>
      <c r="H80" s="777">
        <v>3863</v>
      </c>
      <c r="I80" s="777">
        <v>4386</v>
      </c>
      <c r="J80" s="777">
        <v>440</v>
      </c>
      <c r="K80" s="777">
        <v>440</v>
      </c>
      <c r="L80" s="777">
        <v>540</v>
      </c>
      <c r="M80" s="777">
        <v>785</v>
      </c>
      <c r="N80" s="777">
        <v>200</v>
      </c>
      <c r="O80" s="777">
        <v>290</v>
      </c>
      <c r="P80" s="777">
        <v>240</v>
      </c>
      <c r="Q80" s="777">
        <v>390</v>
      </c>
      <c r="R80" s="777">
        <v>360</v>
      </c>
      <c r="S80" s="777">
        <v>515</v>
      </c>
      <c r="T80" s="777">
        <v>390</v>
      </c>
      <c r="U80" s="777">
        <v>560</v>
      </c>
      <c r="V80" s="777">
        <v>420</v>
      </c>
      <c r="W80" s="777">
        <v>600</v>
      </c>
      <c r="X80" s="777">
        <v>575</v>
      </c>
      <c r="Y80" s="777">
        <v>810</v>
      </c>
      <c r="Z80" s="777" t="s">
        <v>352</v>
      </c>
      <c r="AA80" s="777" t="s">
        <v>646</v>
      </c>
      <c r="AB80" s="777">
        <v>515</v>
      </c>
      <c r="AC80" s="777" t="s">
        <v>647</v>
      </c>
      <c r="AD80" s="777">
        <v>1385</v>
      </c>
      <c r="AE80" s="777">
        <v>1022</v>
      </c>
      <c r="AF80" s="777">
        <v>0.63585523</v>
      </c>
      <c r="AG80" s="777">
        <v>0.58045405</v>
      </c>
      <c r="AH80" s="777">
        <v>0.48019237</v>
      </c>
      <c r="AI80" s="777">
        <v>1550</v>
      </c>
      <c r="AJ80" s="777">
        <v>110000</v>
      </c>
      <c r="AK80" s="777">
        <v>110000</v>
      </c>
      <c r="AL80" s="778">
        <v>0.005</v>
      </c>
    </row>
    <row r="81" spans="1:38" ht="15" customHeight="1">
      <c r="A81" s="775">
        <v>808</v>
      </c>
      <c r="B81" s="776" t="s">
        <v>301</v>
      </c>
      <c r="C81" s="777">
        <v>3500</v>
      </c>
      <c r="D81" s="777" t="s">
        <v>352</v>
      </c>
      <c r="E81" s="777" t="s">
        <v>352</v>
      </c>
      <c r="F81" s="777">
        <v>4800</v>
      </c>
      <c r="G81" s="777">
        <v>2747</v>
      </c>
      <c r="H81" s="777">
        <v>3863</v>
      </c>
      <c r="I81" s="777">
        <v>4386</v>
      </c>
      <c r="J81" s="777">
        <v>440</v>
      </c>
      <c r="K81" s="777">
        <v>440</v>
      </c>
      <c r="L81" s="777">
        <v>540</v>
      </c>
      <c r="M81" s="777">
        <v>785</v>
      </c>
      <c r="N81" s="777">
        <v>200</v>
      </c>
      <c r="O81" s="777">
        <v>290</v>
      </c>
      <c r="P81" s="777">
        <v>240</v>
      </c>
      <c r="Q81" s="777">
        <v>390</v>
      </c>
      <c r="R81" s="777">
        <v>360</v>
      </c>
      <c r="S81" s="777">
        <v>515</v>
      </c>
      <c r="T81" s="777">
        <v>390</v>
      </c>
      <c r="U81" s="777">
        <v>560</v>
      </c>
      <c r="V81" s="777">
        <v>420</v>
      </c>
      <c r="W81" s="777">
        <v>600</v>
      </c>
      <c r="X81" s="777">
        <v>575</v>
      </c>
      <c r="Y81" s="777">
        <v>810</v>
      </c>
      <c r="Z81" s="777">
        <v>0</v>
      </c>
      <c r="AA81" s="777" t="s">
        <v>646</v>
      </c>
      <c r="AB81" s="777">
        <v>515</v>
      </c>
      <c r="AC81" s="777" t="s">
        <v>647</v>
      </c>
      <c r="AD81" s="777">
        <v>1385</v>
      </c>
      <c r="AE81" s="777">
        <v>1022</v>
      </c>
      <c r="AF81" s="777">
        <v>0.63585523</v>
      </c>
      <c r="AG81" s="777">
        <v>0.58045405</v>
      </c>
      <c r="AH81" s="777">
        <v>0.48019237</v>
      </c>
      <c r="AI81" s="777">
        <v>1550</v>
      </c>
      <c r="AJ81" s="777">
        <v>110000</v>
      </c>
      <c r="AK81" s="777">
        <v>110000</v>
      </c>
      <c r="AL81" s="778">
        <v>0.005</v>
      </c>
    </row>
    <row r="82" spans="1:38" ht="15" customHeight="1">
      <c r="A82" s="775">
        <v>810</v>
      </c>
      <c r="B82" s="776" t="s">
        <v>243</v>
      </c>
      <c r="C82" s="777" t="s">
        <v>352</v>
      </c>
      <c r="D82" s="777" t="s">
        <v>352</v>
      </c>
      <c r="E82" s="777" t="s">
        <v>352</v>
      </c>
      <c r="F82" s="777" t="s">
        <v>352</v>
      </c>
      <c r="G82" s="777">
        <v>2758</v>
      </c>
      <c r="H82" s="777">
        <v>3875</v>
      </c>
      <c r="I82" s="777">
        <v>4400</v>
      </c>
      <c r="J82" s="777">
        <v>440</v>
      </c>
      <c r="K82" s="777">
        <v>440</v>
      </c>
      <c r="L82" s="777">
        <v>540</v>
      </c>
      <c r="M82" s="777">
        <v>785</v>
      </c>
      <c r="N82" s="777">
        <v>200</v>
      </c>
      <c r="O82" s="777">
        <v>290</v>
      </c>
      <c r="P82" s="777">
        <v>240</v>
      </c>
      <c r="Q82" s="777">
        <v>390</v>
      </c>
      <c r="R82" s="777">
        <v>360</v>
      </c>
      <c r="S82" s="777">
        <v>515</v>
      </c>
      <c r="T82" s="777">
        <v>390</v>
      </c>
      <c r="U82" s="777">
        <v>560</v>
      </c>
      <c r="V82" s="777">
        <v>420</v>
      </c>
      <c r="W82" s="777">
        <v>600</v>
      </c>
      <c r="X82" s="777">
        <v>575</v>
      </c>
      <c r="Y82" s="777">
        <v>810</v>
      </c>
      <c r="Z82" s="777">
        <v>0</v>
      </c>
      <c r="AA82" s="777" t="s">
        <v>646</v>
      </c>
      <c r="AB82" s="777">
        <v>515</v>
      </c>
      <c r="AC82" s="777" t="s">
        <v>647</v>
      </c>
      <c r="AD82" s="777">
        <v>1385</v>
      </c>
      <c r="AE82" s="777">
        <v>1022</v>
      </c>
      <c r="AF82" s="777">
        <v>0.63585523</v>
      </c>
      <c r="AG82" s="777">
        <v>0.58045405</v>
      </c>
      <c r="AH82" s="777">
        <v>0.48019237</v>
      </c>
      <c r="AI82" s="777">
        <v>1550</v>
      </c>
      <c r="AJ82" s="777">
        <v>110000</v>
      </c>
      <c r="AK82" s="777">
        <v>110000</v>
      </c>
      <c r="AL82" s="778">
        <v>0.005</v>
      </c>
    </row>
    <row r="83" spans="1:38" ht="15" customHeight="1">
      <c r="A83" s="775">
        <v>811</v>
      </c>
      <c r="B83" s="776" t="s">
        <v>219</v>
      </c>
      <c r="C83" s="777" t="s">
        <v>352</v>
      </c>
      <c r="D83" s="777" t="s">
        <v>352</v>
      </c>
      <c r="E83" s="777" t="s">
        <v>352</v>
      </c>
      <c r="F83" s="777" t="s">
        <v>352</v>
      </c>
      <c r="G83" s="777">
        <v>2887</v>
      </c>
      <c r="H83" s="777">
        <v>3757</v>
      </c>
      <c r="I83" s="777">
        <v>5206</v>
      </c>
      <c r="J83" s="777">
        <v>440</v>
      </c>
      <c r="K83" s="777">
        <v>440</v>
      </c>
      <c r="L83" s="777">
        <v>540</v>
      </c>
      <c r="M83" s="777">
        <v>785</v>
      </c>
      <c r="N83" s="777">
        <v>200</v>
      </c>
      <c r="O83" s="777">
        <v>290</v>
      </c>
      <c r="P83" s="777">
        <v>240</v>
      </c>
      <c r="Q83" s="777">
        <v>390</v>
      </c>
      <c r="R83" s="777">
        <v>360</v>
      </c>
      <c r="S83" s="777">
        <v>515</v>
      </c>
      <c r="T83" s="777">
        <v>390</v>
      </c>
      <c r="U83" s="777">
        <v>560</v>
      </c>
      <c r="V83" s="777">
        <v>420</v>
      </c>
      <c r="W83" s="777">
        <v>600</v>
      </c>
      <c r="X83" s="777">
        <v>575</v>
      </c>
      <c r="Y83" s="777">
        <v>810</v>
      </c>
      <c r="Z83" s="777">
        <v>865.89</v>
      </c>
      <c r="AA83" s="777" t="s">
        <v>646</v>
      </c>
      <c r="AB83" s="777">
        <v>463.7</v>
      </c>
      <c r="AC83" s="777" t="s">
        <v>647</v>
      </c>
      <c r="AD83" s="777">
        <v>187</v>
      </c>
      <c r="AE83" s="777">
        <v>463.77</v>
      </c>
      <c r="AF83" s="777">
        <v>0.63585523</v>
      </c>
      <c r="AG83" s="777">
        <v>0.58045405</v>
      </c>
      <c r="AH83" s="777">
        <v>0.48019237</v>
      </c>
      <c r="AI83" s="777">
        <v>421.18</v>
      </c>
      <c r="AJ83" s="777">
        <v>130000</v>
      </c>
      <c r="AK83" s="777">
        <v>175000</v>
      </c>
      <c r="AL83" s="778">
        <v>0.005</v>
      </c>
    </row>
    <row r="84" spans="1:38" ht="15" customHeight="1">
      <c r="A84" s="775">
        <v>812</v>
      </c>
      <c r="B84" s="776" t="s">
        <v>264</v>
      </c>
      <c r="C84" s="777">
        <v>3500</v>
      </c>
      <c r="D84" s="777">
        <v>4600</v>
      </c>
      <c r="E84" s="777">
        <v>5100</v>
      </c>
      <c r="F84" s="777">
        <v>4800</v>
      </c>
      <c r="G84" s="777">
        <v>3050</v>
      </c>
      <c r="H84" s="777">
        <v>3880</v>
      </c>
      <c r="I84" s="777">
        <v>4600</v>
      </c>
      <c r="J84" s="777" t="s">
        <v>352</v>
      </c>
      <c r="K84" s="777" t="s">
        <v>352</v>
      </c>
      <c r="L84" s="777">
        <v>540</v>
      </c>
      <c r="M84" s="777">
        <v>785</v>
      </c>
      <c r="N84" s="777">
        <v>200</v>
      </c>
      <c r="O84" s="777">
        <v>290</v>
      </c>
      <c r="P84" s="777">
        <v>240</v>
      </c>
      <c r="Q84" s="777">
        <v>390</v>
      </c>
      <c r="R84" s="777">
        <v>360</v>
      </c>
      <c r="S84" s="777">
        <v>515</v>
      </c>
      <c r="T84" s="777">
        <v>390</v>
      </c>
      <c r="U84" s="777">
        <v>560</v>
      </c>
      <c r="V84" s="777">
        <v>420</v>
      </c>
      <c r="W84" s="777">
        <v>600</v>
      </c>
      <c r="X84" s="777">
        <v>575</v>
      </c>
      <c r="Y84" s="777">
        <v>810</v>
      </c>
      <c r="Z84" s="777" t="s">
        <v>352</v>
      </c>
      <c r="AA84" s="777" t="s">
        <v>646</v>
      </c>
      <c r="AB84" s="777">
        <v>515</v>
      </c>
      <c r="AC84" s="777" t="s">
        <v>647</v>
      </c>
      <c r="AD84" s="777">
        <v>1385</v>
      </c>
      <c r="AE84" s="777">
        <v>700</v>
      </c>
      <c r="AF84" s="777">
        <v>0.63585523</v>
      </c>
      <c r="AG84" s="777">
        <v>0.58045405</v>
      </c>
      <c r="AH84" s="777">
        <v>0.48019237</v>
      </c>
      <c r="AI84" s="777">
        <v>1550</v>
      </c>
      <c r="AJ84" s="777">
        <v>110000</v>
      </c>
      <c r="AK84" s="777">
        <v>110000</v>
      </c>
      <c r="AL84" s="778">
        <v>0.002</v>
      </c>
    </row>
    <row r="85" spans="1:38" ht="15" customHeight="1">
      <c r="A85" s="775">
        <v>813</v>
      </c>
      <c r="B85" s="776" t="s">
        <v>265</v>
      </c>
      <c r="C85" s="777">
        <v>3500</v>
      </c>
      <c r="D85" s="777" t="s">
        <v>352</v>
      </c>
      <c r="E85" s="777" t="s">
        <v>352</v>
      </c>
      <c r="F85" s="777">
        <v>4800</v>
      </c>
      <c r="G85" s="777">
        <v>2860</v>
      </c>
      <c r="H85" s="777">
        <v>3990</v>
      </c>
      <c r="I85" s="777">
        <v>4440</v>
      </c>
      <c r="J85" s="777">
        <v>290</v>
      </c>
      <c r="K85" s="777">
        <v>290</v>
      </c>
      <c r="L85" s="777">
        <v>440</v>
      </c>
      <c r="M85" s="777">
        <v>785</v>
      </c>
      <c r="N85" s="777">
        <v>140</v>
      </c>
      <c r="O85" s="777">
        <v>200</v>
      </c>
      <c r="P85" s="777">
        <v>170</v>
      </c>
      <c r="Q85" s="777">
        <v>270</v>
      </c>
      <c r="R85" s="777">
        <v>315</v>
      </c>
      <c r="S85" s="777">
        <v>410</v>
      </c>
      <c r="T85" s="777">
        <v>340</v>
      </c>
      <c r="U85" s="777">
        <v>460</v>
      </c>
      <c r="V85" s="777">
        <v>410</v>
      </c>
      <c r="W85" s="777">
        <v>530</v>
      </c>
      <c r="X85" s="777">
        <v>520</v>
      </c>
      <c r="Y85" s="777">
        <v>670</v>
      </c>
      <c r="Z85" s="777">
        <v>0</v>
      </c>
      <c r="AA85" s="777" t="s">
        <v>646</v>
      </c>
      <c r="AB85" s="777">
        <v>430</v>
      </c>
      <c r="AC85" s="777" t="s">
        <v>647</v>
      </c>
      <c r="AD85" s="777">
        <v>1050</v>
      </c>
      <c r="AE85" s="777">
        <v>840</v>
      </c>
      <c r="AF85" s="777">
        <v>0.63585523</v>
      </c>
      <c r="AG85" s="777">
        <v>0.58045405</v>
      </c>
      <c r="AH85" s="777">
        <v>0.48019237</v>
      </c>
      <c r="AI85" s="777">
        <v>1550</v>
      </c>
      <c r="AJ85" s="777">
        <v>113000</v>
      </c>
      <c r="AK85" s="777">
        <v>127500</v>
      </c>
      <c r="AL85" s="778">
        <v>0.005</v>
      </c>
    </row>
    <row r="86" spans="1:38" ht="15" customHeight="1">
      <c r="A86" s="775">
        <v>815</v>
      </c>
      <c r="B86" s="776" t="s">
        <v>268</v>
      </c>
      <c r="C86" s="777">
        <v>3500</v>
      </c>
      <c r="D86" s="777" t="s">
        <v>352</v>
      </c>
      <c r="E86" s="777" t="s">
        <v>352</v>
      </c>
      <c r="F86" s="777">
        <v>4800</v>
      </c>
      <c r="G86" s="777">
        <v>2706.09</v>
      </c>
      <c r="H86" s="777">
        <v>3805.14</v>
      </c>
      <c r="I86" s="777">
        <v>4320.51</v>
      </c>
      <c r="J86" s="777">
        <v>433.46</v>
      </c>
      <c r="K86" s="777">
        <v>433.46</v>
      </c>
      <c r="L86" s="777">
        <v>531.96</v>
      </c>
      <c r="M86" s="777">
        <v>773.32</v>
      </c>
      <c r="N86" s="777">
        <v>197.02</v>
      </c>
      <c r="O86" s="777">
        <v>285.69</v>
      </c>
      <c r="P86" s="777">
        <v>236.42</v>
      </c>
      <c r="Q86" s="777">
        <v>384.2</v>
      </c>
      <c r="R86" s="777">
        <v>354.64</v>
      </c>
      <c r="S86" s="777">
        <v>507.34</v>
      </c>
      <c r="T86" s="777">
        <v>384.2</v>
      </c>
      <c r="U86" s="777">
        <v>551.67</v>
      </c>
      <c r="V86" s="777">
        <v>413.75</v>
      </c>
      <c r="W86" s="777">
        <v>591.07</v>
      </c>
      <c r="X86" s="777">
        <v>566.44</v>
      </c>
      <c r="Y86" s="777">
        <v>797.95</v>
      </c>
      <c r="Z86" s="777">
        <v>0</v>
      </c>
      <c r="AA86" s="777" t="s">
        <v>646</v>
      </c>
      <c r="AB86" s="777">
        <v>507.34</v>
      </c>
      <c r="AC86" s="777" t="s">
        <v>647</v>
      </c>
      <c r="AD86" s="777">
        <v>1364.38</v>
      </c>
      <c r="AE86" s="777">
        <v>1034.37</v>
      </c>
      <c r="AF86" s="777">
        <v>0.63585523</v>
      </c>
      <c r="AG86" s="777">
        <v>0.58045405</v>
      </c>
      <c r="AH86" s="777">
        <v>0.48019237</v>
      </c>
      <c r="AI86" s="777">
        <v>1526.93</v>
      </c>
      <c r="AJ86" s="777">
        <v>108361.34</v>
      </c>
      <c r="AK86" s="777">
        <v>108361.34</v>
      </c>
      <c r="AL86" s="778">
        <v>-0.015</v>
      </c>
    </row>
    <row r="87" spans="1:38" ht="15" customHeight="1">
      <c r="A87" s="775">
        <v>816</v>
      </c>
      <c r="B87" s="776" t="s">
        <v>330</v>
      </c>
      <c r="C87" s="777">
        <v>3500</v>
      </c>
      <c r="D87" s="777">
        <v>4600</v>
      </c>
      <c r="E87" s="777">
        <v>5100</v>
      </c>
      <c r="F87" s="777">
        <v>4800</v>
      </c>
      <c r="G87" s="777">
        <v>2812.99</v>
      </c>
      <c r="H87" s="777">
        <v>3928.65</v>
      </c>
      <c r="I87" s="777">
        <v>4451.81</v>
      </c>
      <c r="J87" s="777">
        <v>440</v>
      </c>
      <c r="K87" s="777">
        <v>440</v>
      </c>
      <c r="L87" s="777">
        <v>540</v>
      </c>
      <c r="M87" s="777">
        <v>785</v>
      </c>
      <c r="N87" s="777">
        <v>200</v>
      </c>
      <c r="O87" s="777">
        <v>290</v>
      </c>
      <c r="P87" s="777">
        <v>240</v>
      </c>
      <c r="Q87" s="777">
        <v>390</v>
      </c>
      <c r="R87" s="777">
        <v>360</v>
      </c>
      <c r="S87" s="777">
        <v>515</v>
      </c>
      <c r="T87" s="777">
        <v>390</v>
      </c>
      <c r="U87" s="777">
        <v>560</v>
      </c>
      <c r="V87" s="777">
        <v>420</v>
      </c>
      <c r="W87" s="777">
        <v>600</v>
      </c>
      <c r="X87" s="777">
        <v>575</v>
      </c>
      <c r="Y87" s="777">
        <v>810</v>
      </c>
      <c r="Z87" s="777">
        <v>0</v>
      </c>
      <c r="AA87" s="777" t="s">
        <v>646</v>
      </c>
      <c r="AB87" s="777">
        <v>515</v>
      </c>
      <c r="AC87" s="777" t="s">
        <v>647</v>
      </c>
      <c r="AD87" s="777">
        <v>1385</v>
      </c>
      <c r="AE87" s="777">
        <v>1022</v>
      </c>
      <c r="AF87" s="777">
        <v>0.63585523</v>
      </c>
      <c r="AG87" s="777">
        <v>0.58045405</v>
      </c>
      <c r="AH87" s="777">
        <v>0.48019237</v>
      </c>
      <c r="AI87" s="777">
        <v>1550</v>
      </c>
      <c r="AJ87" s="777">
        <v>110000</v>
      </c>
      <c r="AK87" s="777">
        <v>110000</v>
      </c>
      <c r="AL87" s="778">
        <v>0.005</v>
      </c>
    </row>
    <row r="88" spans="1:38" ht="15" customHeight="1">
      <c r="A88" s="775">
        <v>821</v>
      </c>
      <c r="B88" s="776" t="s">
        <v>255</v>
      </c>
      <c r="C88" s="777" t="s">
        <v>352</v>
      </c>
      <c r="D88" s="777" t="s">
        <v>352</v>
      </c>
      <c r="E88" s="777" t="s">
        <v>352</v>
      </c>
      <c r="F88" s="777" t="s">
        <v>352</v>
      </c>
      <c r="G88" s="777">
        <v>2789.21</v>
      </c>
      <c r="H88" s="777">
        <v>3922.02</v>
      </c>
      <c r="I88" s="777">
        <v>4453.22</v>
      </c>
      <c r="J88" s="777">
        <v>446.76</v>
      </c>
      <c r="K88" s="777">
        <v>446.76</v>
      </c>
      <c r="L88" s="777">
        <v>548.3</v>
      </c>
      <c r="M88" s="777">
        <v>797.07</v>
      </c>
      <c r="N88" s="777">
        <v>203.07</v>
      </c>
      <c r="O88" s="777">
        <v>294.46</v>
      </c>
      <c r="P88" s="777">
        <v>243.69</v>
      </c>
      <c r="Q88" s="777">
        <v>395.99</v>
      </c>
      <c r="R88" s="777">
        <v>365.53</v>
      </c>
      <c r="S88" s="777">
        <v>522.92</v>
      </c>
      <c r="T88" s="777">
        <v>395.99</v>
      </c>
      <c r="U88" s="777">
        <v>568.61</v>
      </c>
      <c r="V88" s="777">
        <v>426.46</v>
      </c>
      <c r="W88" s="777">
        <v>609.22</v>
      </c>
      <c r="X88" s="777">
        <v>583.84</v>
      </c>
      <c r="Y88" s="777">
        <v>822.45</v>
      </c>
      <c r="Z88" s="777" t="s">
        <v>352</v>
      </c>
      <c r="AA88" s="777" t="s">
        <v>646</v>
      </c>
      <c r="AB88" s="777">
        <v>522.92</v>
      </c>
      <c r="AC88" s="777" t="s">
        <v>647</v>
      </c>
      <c r="AD88" s="777">
        <v>1406.29</v>
      </c>
      <c r="AE88" s="777">
        <v>1037.71</v>
      </c>
      <c r="AF88" s="777">
        <v>0.63585523</v>
      </c>
      <c r="AG88" s="777">
        <v>0.58045405</v>
      </c>
      <c r="AH88" s="777">
        <v>0.48019237</v>
      </c>
      <c r="AI88" s="777">
        <v>1573.82</v>
      </c>
      <c r="AJ88" s="777">
        <v>111691</v>
      </c>
      <c r="AK88" s="777">
        <v>111691</v>
      </c>
      <c r="AL88" s="778">
        <v>0.0038907632339148391</v>
      </c>
    </row>
    <row r="89" spans="1:38" ht="15" customHeight="1">
      <c r="A89" s="775">
        <v>822</v>
      </c>
      <c r="B89" s="776" t="s">
        <v>179</v>
      </c>
      <c r="C89" s="777" t="s">
        <v>352</v>
      </c>
      <c r="D89" s="777" t="s">
        <v>352</v>
      </c>
      <c r="E89" s="777" t="s">
        <v>352</v>
      </c>
      <c r="F89" s="777" t="s">
        <v>352</v>
      </c>
      <c r="G89" s="777">
        <v>2827.0179238293717</v>
      </c>
      <c r="H89" s="777">
        <v>3974.820570646079</v>
      </c>
      <c r="I89" s="777">
        <v>5117.24891119136</v>
      </c>
      <c r="J89" s="777" t="s">
        <v>352</v>
      </c>
      <c r="K89" s="777" t="s">
        <v>352</v>
      </c>
      <c r="L89" s="777" t="s">
        <v>352</v>
      </c>
      <c r="M89" s="777" t="s">
        <v>352</v>
      </c>
      <c r="N89" s="777">
        <v>458.25667410584117</v>
      </c>
      <c r="O89" s="777">
        <v>458.25667410584117</v>
      </c>
      <c r="P89" s="777">
        <v>549.701619218487</v>
      </c>
      <c r="Q89" s="777">
        <v>549.701619218487</v>
      </c>
      <c r="R89" s="777">
        <v>733.64389261099689</v>
      </c>
      <c r="S89" s="777">
        <v>733.64389261099689</v>
      </c>
      <c r="T89" s="777">
        <v>916.52356552398544</v>
      </c>
      <c r="U89" s="777">
        <v>916.52356552398544</v>
      </c>
      <c r="V89" s="777">
        <v>1099.3930211246709</v>
      </c>
      <c r="W89" s="777">
        <v>1099.3930211246709</v>
      </c>
      <c r="X89" s="777">
        <v>1833.0471310479709</v>
      </c>
      <c r="Y89" s="777">
        <v>1833.0471310479709</v>
      </c>
      <c r="Z89" s="777" t="s">
        <v>352</v>
      </c>
      <c r="AA89" s="777" t="s">
        <v>646</v>
      </c>
      <c r="AB89" s="777">
        <v>302.4222268591289</v>
      </c>
      <c r="AC89" s="777" t="s">
        <v>647</v>
      </c>
      <c r="AD89" s="777">
        <v>302.4222268591289</v>
      </c>
      <c r="AE89" s="777">
        <v>469.77279232580173</v>
      </c>
      <c r="AF89" s="777">
        <v>0.63585523</v>
      </c>
      <c r="AG89" s="777">
        <v>0.58045405</v>
      </c>
      <c r="AH89" s="777">
        <v>0.48019237</v>
      </c>
      <c r="AI89" s="777">
        <v>1116.2720210493737</v>
      </c>
      <c r="AJ89" s="777">
        <v>150000</v>
      </c>
      <c r="AK89" s="777">
        <v>150000</v>
      </c>
      <c r="AL89" s="778">
        <v>0</v>
      </c>
    </row>
    <row r="90" spans="1:38" ht="15" customHeight="1">
      <c r="A90" s="775">
        <v>823</v>
      </c>
      <c r="B90" s="776" t="s">
        <v>201</v>
      </c>
      <c r="C90" s="777" t="s">
        <v>352</v>
      </c>
      <c r="D90" s="777" t="s">
        <v>352</v>
      </c>
      <c r="E90" s="777" t="s">
        <v>352</v>
      </c>
      <c r="F90" s="777" t="s">
        <v>352</v>
      </c>
      <c r="G90" s="777">
        <v>3005</v>
      </c>
      <c r="H90" s="777">
        <v>4267</v>
      </c>
      <c r="I90" s="777">
        <v>4976</v>
      </c>
      <c r="J90" s="777">
        <v>440</v>
      </c>
      <c r="K90" s="777">
        <v>440</v>
      </c>
      <c r="L90" s="777">
        <v>540</v>
      </c>
      <c r="M90" s="777">
        <v>785</v>
      </c>
      <c r="N90" s="777">
        <v>200</v>
      </c>
      <c r="O90" s="777">
        <v>290</v>
      </c>
      <c r="P90" s="777">
        <v>240</v>
      </c>
      <c r="Q90" s="777">
        <v>390</v>
      </c>
      <c r="R90" s="777">
        <v>360</v>
      </c>
      <c r="S90" s="777">
        <v>515</v>
      </c>
      <c r="T90" s="777">
        <v>390</v>
      </c>
      <c r="U90" s="777">
        <v>560</v>
      </c>
      <c r="V90" s="777">
        <v>420</v>
      </c>
      <c r="W90" s="777">
        <v>600</v>
      </c>
      <c r="X90" s="777">
        <v>575</v>
      </c>
      <c r="Y90" s="777">
        <v>810</v>
      </c>
      <c r="Z90" s="777">
        <v>0</v>
      </c>
      <c r="AA90" s="777" t="s">
        <v>645</v>
      </c>
      <c r="AB90" s="777" t="s">
        <v>352</v>
      </c>
      <c r="AC90" s="777" t="s">
        <v>645</v>
      </c>
      <c r="AD90" s="777" t="s">
        <v>352</v>
      </c>
      <c r="AE90" s="777">
        <v>511</v>
      </c>
      <c r="AF90" s="777">
        <v>0.63585523</v>
      </c>
      <c r="AG90" s="777">
        <v>0.58045405</v>
      </c>
      <c r="AH90" s="777">
        <v>0.48019237</v>
      </c>
      <c r="AI90" s="777">
        <v>775</v>
      </c>
      <c r="AJ90" s="777">
        <v>110000</v>
      </c>
      <c r="AK90" s="777">
        <v>110000</v>
      </c>
      <c r="AL90" s="778">
        <v>-0.01</v>
      </c>
    </row>
    <row r="91" spans="1:38" ht="15" customHeight="1">
      <c r="A91" s="775">
        <v>825</v>
      </c>
      <c r="B91" s="776" t="s">
        <v>195</v>
      </c>
      <c r="C91" s="777">
        <v>3470.99</v>
      </c>
      <c r="D91" s="777">
        <v>0</v>
      </c>
      <c r="E91" s="777">
        <v>0</v>
      </c>
      <c r="F91" s="777">
        <v>4760.22</v>
      </c>
      <c r="G91" s="777">
        <v>2800.83</v>
      </c>
      <c r="H91" s="777">
        <v>3938.35</v>
      </c>
      <c r="I91" s="777">
        <v>4471.77</v>
      </c>
      <c r="J91" s="777">
        <v>448.62</v>
      </c>
      <c r="K91" s="777">
        <v>448.62</v>
      </c>
      <c r="L91" s="777">
        <v>550.58</v>
      </c>
      <c r="M91" s="777">
        <v>800.39</v>
      </c>
      <c r="N91" s="777">
        <v>203.92</v>
      </c>
      <c r="O91" s="777">
        <v>295.68</v>
      </c>
      <c r="P91" s="777">
        <v>244.7</v>
      </c>
      <c r="Q91" s="777">
        <v>397.64</v>
      </c>
      <c r="R91" s="777">
        <v>367.06</v>
      </c>
      <c r="S91" s="777">
        <v>525.09</v>
      </c>
      <c r="T91" s="777">
        <v>397.64</v>
      </c>
      <c r="U91" s="777">
        <v>570.98</v>
      </c>
      <c r="V91" s="777">
        <v>428.23</v>
      </c>
      <c r="W91" s="777">
        <v>611.76</v>
      </c>
      <c r="X91" s="777">
        <v>586.27</v>
      </c>
      <c r="Y91" s="777">
        <v>825.88</v>
      </c>
      <c r="Z91" s="777">
        <v>0</v>
      </c>
      <c r="AA91" s="777" t="s">
        <v>646</v>
      </c>
      <c r="AB91" s="777">
        <v>525.09</v>
      </c>
      <c r="AC91" s="777" t="s">
        <v>647</v>
      </c>
      <c r="AD91" s="777">
        <v>1412.14</v>
      </c>
      <c r="AE91" s="777">
        <v>1042.03</v>
      </c>
      <c r="AF91" s="777">
        <v>0.63585523</v>
      </c>
      <c r="AG91" s="777">
        <v>0.58045405</v>
      </c>
      <c r="AH91" s="777">
        <v>0.48019237</v>
      </c>
      <c r="AI91" s="777">
        <v>1580.38</v>
      </c>
      <c r="AJ91" s="777">
        <v>112155.88</v>
      </c>
      <c r="AK91" s="777">
        <v>112155.88</v>
      </c>
      <c r="AL91" s="778">
        <v>-0.015</v>
      </c>
    </row>
    <row r="92" spans="1:38" ht="15" customHeight="1">
      <c r="A92" s="775">
        <v>826</v>
      </c>
      <c r="B92" s="776" t="s">
        <v>260</v>
      </c>
      <c r="C92" s="777">
        <v>3300</v>
      </c>
      <c r="D92" s="777" t="s">
        <v>352</v>
      </c>
      <c r="E92" s="777" t="s">
        <v>352</v>
      </c>
      <c r="F92" s="777">
        <v>4600</v>
      </c>
      <c r="G92" s="777">
        <v>2824.25</v>
      </c>
      <c r="H92" s="777">
        <v>3971.63</v>
      </c>
      <c r="I92" s="777">
        <v>4509.33</v>
      </c>
      <c r="J92" s="777">
        <v>452.37</v>
      </c>
      <c r="K92" s="777">
        <v>452.37</v>
      </c>
      <c r="L92" s="777">
        <v>555.18</v>
      </c>
      <c r="M92" s="777">
        <v>807.07</v>
      </c>
      <c r="N92" s="777">
        <v>205.62</v>
      </c>
      <c r="O92" s="777">
        <v>298.15</v>
      </c>
      <c r="P92" s="777">
        <v>246.75</v>
      </c>
      <c r="Q92" s="777">
        <v>400.97</v>
      </c>
      <c r="R92" s="777">
        <v>370.12</v>
      </c>
      <c r="S92" s="777">
        <v>529.48</v>
      </c>
      <c r="T92" s="777">
        <v>400.97</v>
      </c>
      <c r="U92" s="777">
        <v>575.75</v>
      </c>
      <c r="V92" s="777">
        <v>431.81</v>
      </c>
      <c r="W92" s="777">
        <v>616.87</v>
      </c>
      <c r="X92" s="777">
        <v>591.17</v>
      </c>
      <c r="Y92" s="777">
        <v>832.78</v>
      </c>
      <c r="Z92" s="777" t="s">
        <v>352</v>
      </c>
      <c r="AA92" s="777" t="s">
        <v>646</v>
      </c>
      <c r="AB92" s="777">
        <v>529.48</v>
      </c>
      <c r="AC92" s="777" t="s">
        <v>647</v>
      </c>
      <c r="AD92" s="777">
        <v>1423.95</v>
      </c>
      <c r="AE92" s="777">
        <v>1050.74</v>
      </c>
      <c r="AF92" s="777">
        <v>0.63585523</v>
      </c>
      <c r="AG92" s="777">
        <v>0.58045405</v>
      </c>
      <c r="AH92" s="777">
        <v>0.48019237</v>
      </c>
      <c r="AI92" s="777">
        <v>1593.59</v>
      </c>
      <c r="AJ92" s="777">
        <v>110000</v>
      </c>
      <c r="AK92" s="777">
        <v>110000</v>
      </c>
      <c r="AL92" s="778">
        <v>-0.005</v>
      </c>
    </row>
    <row r="93" spans="1:38" ht="15" customHeight="1">
      <c r="A93" s="775">
        <v>830</v>
      </c>
      <c r="B93" s="776" t="s">
        <v>212</v>
      </c>
      <c r="C93" s="777">
        <v>3500</v>
      </c>
      <c r="D93" s="777" t="s">
        <v>352</v>
      </c>
      <c r="E93" s="777" t="s">
        <v>352</v>
      </c>
      <c r="F93" s="777">
        <v>4800</v>
      </c>
      <c r="G93" s="777">
        <v>2746.99</v>
      </c>
      <c r="H93" s="777">
        <v>3862.65</v>
      </c>
      <c r="I93" s="777">
        <v>4385.81</v>
      </c>
      <c r="J93" s="777">
        <v>440</v>
      </c>
      <c r="K93" s="777">
        <v>440</v>
      </c>
      <c r="L93" s="777">
        <v>540</v>
      </c>
      <c r="M93" s="777">
        <v>785</v>
      </c>
      <c r="N93" s="777">
        <v>200</v>
      </c>
      <c r="O93" s="777">
        <v>290</v>
      </c>
      <c r="P93" s="777">
        <v>240</v>
      </c>
      <c r="Q93" s="777">
        <v>390</v>
      </c>
      <c r="R93" s="777">
        <v>360</v>
      </c>
      <c r="S93" s="777">
        <v>515</v>
      </c>
      <c r="T93" s="777">
        <v>390</v>
      </c>
      <c r="U93" s="777">
        <v>560</v>
      </c>
      <c r="V93" s="777">
        <v>420</v>
      </c>
      <c r="W93" s="777">
        <v>600</v>
      </c>
      <c r="X93" s="777">
        <v>575</v>
      </c>
      <c r="Y93" s="777">
        <v>810</v>
      </c>
      <c r="Z93" s="777" t="s">
        <v>352</v>
      </c>
      <c r="AA93" s="777" t="s">
        <v>646</v>
      </c>
      <c r="AB93" s="777">
        <v>515</v>
      </c>
      <c r="AC93" s="777" t="s">
        <v>647</v>
      </c>
      <c r="AD93" s="777">
        <v>1385</v>
      </c>
      <c r="AE93" s="777">
        <v>750</v>
      </c>
      <c r="AF93" s="777">
        <v>0.63585523</v>
      </c>
      <c r="AG93" s="777">
        <v>0.58045405</v>
      </c>
      <c r="AH93" s="777">
        <v>0.48019237</v>
      </c>
      <c r="AI93" s="777">
        <v>1550</v>
      </c>
      <c r="AJ93" s="777">
        <v>110000</v>
      </c>
      <c r="AK93" s="777">
        <v>110000</v>
      </c>
      <c r="AL93" s="778">
        <v>0</v>
      </c>
    </row>
    <row r="94" spans="1:38" ht="15" customHeight="1">
      <c r="A94" s="775">
        <v>831</v>
      </c>
      <c r="B94" s="776" t="s">
        <v>210</v>
      </c>
      <c r="C94" s="777">
        <v>3300</v>
      </c>
      <c r="D94" s="777" t="s">
        <v>352</v>
      </c>
      <c r="E94" s="777" t="s">
        <v>352</v>
      </c>
      <c r="F94" s="777">
        <v>4500</v>
      </c>
      <c r="G94" s="777">
        <v>2735.8059749999998</v>
      </c>
      <c r="H94" s="777">
        <v>3847.2582749999997</v>
      </c>
      <c r="I94" s="777">
        <v>4368.12705</v>
      </c>
      <c r="J94" s="777">
        <v>437.8</v>
      </c>
      <c r="K94" s="777">
        <v>437.8</v>
      </c>
      <c r="L94" s="777">
        <v>537.3</v>
      </c>
      <c r="M94" s="777">
        <v>781.075</v>
      </c>
      <c r="N94" s="777">
        <v>199</v>
      </c>
      <c r="O94" s="777">
        <v>288.55</v>
      </c>
      <c r="P94" s="777">
        <v>238.8</v>
      </c>
      <c r="Q94" s="777">
        <v>388.05</v>
      </c>
      <c r="R94" s="777">
        <v>358.2</v>
      </c>
      <c r="S94" s="777">
        <v>512.425</v>
      </c>
      <c r="T94" s="777">
        <v>388.05</v>
      </c>
      <c r="U94" s="777">
        <v>557.2</v>
      </c>
      <c r="V94" s="777">
        <v>417.9</v>
      </c>
      <c r="W94" s="777">
        <v>597</v>
      </c>
      <c r="X94" s="777">
        <v>572.125</v>
      </c>
      <c r="Y94" s="777">
        <v>805.95</v>
      </c>
      <c r="Z94" s="777">
        <v>0</v>
      </c>
      <c r="AA94" s="777" t="s">
        <v>646</v>
      </c>
      <c r="AB94" s="777">
        <v>512.425</v>
      </c>
      <c r="AC94" s="777" t="s">
        <v>647</v>
      </c>
      <c r="AD94" s="777">
        <v>1378.075</v>
      </c>
      <c r="AE94" s="777">
        <v>508.445</v>
      </c>
      <c r="AF94" s="777">
        <v>0.63585523</v>
      </c>
      <c r="AG94" s="777">
        <v>0.58045405</v>
      </c>
      <c r="AH94" s="777">
        <v>0.48019237</v>
      </c>
      <c r="AI94" s="777">
        <v>1542.25</v>
      </c>
      <c r="AJ94" s="777">
        <v>110000</v>
      </c>
      <c r="AK94" s="777">
        <v>110000</v>
      </c>
      <c r="AL94" s="778">
        <v>0</v>
      </c>
    </row>
    <row r="95" spans="1:38" ht="15" customHeight="1">
      <c r="A95" s="775">
        <v>838</v>
      </c>
      <c r="B95" s="776" t="s">
        <v>215</v>
      </c>
      <c r="C95" s="777">
        <v>3350</v>
      </c>
      <c r="D95" s="777">
        <v>4450</v>
      </c>
      <c r="E95" s="777" t="s">
        <v>352</v>
      </c>
      <c r="F95" s="777">
        <v>4650</v>
      </c>
      <c r="G95" s="777">
        <v>2746.99</v>
      </c>
      <c r="H95" s="777">
        <v>3862.65</v>
      </c>
      <c r="I95" s="777">
        <v>4385.81</v>
      </c>
      <c r="J95" s="777">
        <v>440</v>
      </c>
      <c r="K95" s="777">
        <v>440</v>
      </c>
      <c r="L95" s="777">
        <v>540</v>
      </c>
      <c r="M95" s="777">
        <v>785</v>
      </c>
      <c r="N95" s="777">
        <v>150</v>
      </c>
      <c r="O95" s="777">
        <v>217.5</v>
      </c>
      <c r="P95" s="777">
        <v>180</v>
      </c>
      <c r="Q95" s="777">
        <v>292.5</v>
      </c>
      <c r="R95" s="777">
        <v>270</v>
      </c>
      <c r="S95" s="777">
        <v>386.25</v>
      </c>
      <c r="T95" s="777">
        <v>292.5</v>
      </c>
      <c r="U95" s="777">
        <v>420</v>
      </c>
      <c r="V95" s="777">
        <v>315</v>
      </c>
      <c r="W95" s="777">
        <v>450</v>
      </c>
      <c r="X95" s="777">
        <v>431.25</v>
      </c>
      <c r="Y95" s="777">
        <v>607.5</v>
      </c>
      <c r="Z95" s="777" t="s">
        <v>352</v>
      </c>
      <c r="AA95" s="777" t="s">
        <v>646</v>
      </c>
      <c r="AB95" s="777">
        <v>627</v>
      </c>
      <c r="AC95" s="777" t="s">
        <v>647</v>
      </c>
      <c r="AD95" s="777">
        <v>1385</v>
      </c>
      <c r="AE95" s="777">
        <v>861.55</v>
      </c>
      <c r="AF95" s="777">
        <v>0.63585523</v>
      </c>
      <c r="AG95" s="777">
        <v>0.58045405</v>
      </c>
      <c r="AH95" s="777">
        <v>0.48019237</v>
      </c>
      <c r="AI95" s="777">
        <v>1299.37</v>
      </c>
      <c r="AJ95" s="777">
        <v>110000</v>
      </c>
      <c r="AK95" s="777">
        <v>110000</v>
      </c>
      <c r="AL95" s="778">
        <v>0</v>
      </c>
    </row>
    <row r="96" spans="1:38" ht="15" customHeight="1">
      <c r="A96" s="775">
        <v>839</v>
      </c>
      <c r="B96" s="776" t="s">
        <v>1105</v>
      </c>
      <c r="C96" s="777">
        <v>3472</v>
      </c>
      <c r="D96" s="777">
        <v>4572</v>
      </c>
      <c r="E96" s="777">
        <v>5072</v>
      </c>
      <c r="F96" s="777">
        <v>4772</v>
      </c>
      <c r="G96" s="777">
        <v>2718.5995125309482</v>
      </c>
      <c r="H96" s="777">
        <v>3822.7290259803162</v>
      </c>
      <c r="I96" s="777">
        <v>4340.482101519613</v>
      </c>
      <c r="J96" s="777">
        <v>440</v>
      </c>
      <c r="K96" s="777">
        <v>440</v>
      </c>
      <c r="L96" s="777">
        <v>540</v>
      </c>
      <c r="M96" s="777">
        <v>785</v>
      </c>
      <c r="N96" s="777">
        <v>200</v>
      </c>
      <c r="O96" s="777">
        <v>290</v>
      </c>
      <c r="P96" s="777">
        <v>240</v>
      </c>
      <c r="Q96" s="777">
        <v>390</v>
      </c>
      <c r="R96" s="777">
        <v>360</v>
      </c>
      <c r="S96" s="777">
        <v>515</v>
      </c>
      <c r="T96" s="777">
        <v>390</v>
      </c>
      <c r="U96" s="777">
        <v>560</v>
      </c>
      <c r="V96" s="777">
        <v>420</v>
      </c>
      <c r="W96" s="777">
        <v>600</v>
      </c>
      <c r="X96" s="777">
        <v>575</v>
      </c>
      <c r="Y96" s="777">
        <v>810</v>
      </c>
      <c r="Z96" s="777">
        <v>0</v>
      </c>
      <c r="AA96" s="777" t="s">
        <v>646</v>
      </c>
      <c r="AB96" s="777">
        <v>515</v>
      </c>
      <c r="AC96" s="777" t="s">
        <v>647</v>
      </c>
      <c r="AD96" s="777">
        <v>1385</v>
      </c>
      <c r="AE96" s="777">
        <v>1022</v>
      </c>
      <c r="AF96" s="777">
        <v>0.63585523</v>
      </c>
      <c r="AG96" s="777">
        <v>0.58045405</v>
      </c>
      <c r="AH96" s="777">
        <v>0.48019237</v>
      </c>
      <c r="AI96" s="777">
        <v>1550</v>
      </c>
      <c r="AJ96" s="777">
        <v>110000</v>
      </c>
      <c r="AK96" s="777">
        <v>110000</v>
      </c>
      <c r="AL96" s="778">
        <v>-0.005</v>
      </c>
    </row>
    <row r="97" spans="1:38" ht="15" customHeight="1">
      <c r="A97" s="775">
        <v>840</v>
      </c>
      <c r="B97" s="776" t="s">
        <v>217</v>
      </c>
      <c r="C97" s="777">
        <v>3300</v>
      </c>
      <c r="D97" s="777" t="s">
        <v>352</v>
      </c>
      <c r="E97" s="777" t="s">
        <v>352</v>
      </c>
      <c r="F97" s="777">
        <v>4600</v>
      </c>
      <c r="G97" s="777">
        <v>2803.14437577093</v>
      </c>
      <c r="H97" s="777">
        <v>3812.18797657081</v>
      </c>
      <c r="I97" s="777">
        <v>4716.09786006976</v>
      </c>
      <c r="J97" s="777">
        <v>247.68896623277422</v>
      </c>
      <c r="K97" s="777">
        <v>1630.2266075845484</v>
      </c>
      <c r="L97" s="777">
        <v>303.98191310385931</v>
      </c>
      <c r="M97" s="777">
        <v>441.8996329380177</v>
      </c>
      <c r="N97" s="777">
        <v>309.40106858171094</v>
      </c>
      <c r="O97" s="777">
        <v>333.52494909931937</v>
      </c>
      <c r="P97" s="777">
        <v>375.654952850043</v>
      </c>
      <c r="Q97" s="777">
        <v>427.65687445333168</v>
      </c>
      <c r="R97" s="777">
        <v>486.94319461524293</v>
      </c>
      <c r="S97" s="777">
        <v>535.86203652511529</v>
      </c>
      <c r="T97" s="777">
        <v>547.5677841964665</v>
      </c>
      <c r="U97" s="777">
        <v>599.03284110003074</v>
      </c>
      <c r="V97" s="777">
        <v>630.060726537639</v>
      </c>
      <c r="W97" s="777">
        <v>678.3084875728556</v>
      </c>
      <c r="X97" s="777">
        <v>979.7350273072085</v>
      </c>
      <c r="Y97" s="777">
        <v>1023.5575468996979</v>
      </c>
      <c r="Z97" s="777" t="s">
        <v>352</v>
      </c>
      <c r="AA97" s="777" t="s">
        <v>646</v>
      </c>
      <c r="AB97" s="777">
        <v>289.90867638608808</v>
      </c>
      <c r="AC97" s="777" t="s">
        <v>647</v>
      </c>
      <c r="AD97" s="777">
        <v>779.6573141645282</v>
      </c>
      <c r="AE97" s="777">
        <v>700.11250137289494</v>
      </c>
      <c r="AF97" s="777">
        <v>0.63585523</v>
      </c>
      <c r="AG97" s="777">
        <v>0.58045405</v>
      </c>
      <c r="AH97" s="777">
        <v>0.48019237</v>
      </c>
      <c r="AI97" s="777">
        <v>1032.30761061377</v>
      </c>
      <c r="AJ97" s="777">
        <v>132222.22222222222</v>
      </c>
      <c r="AK97" s="777">
        <v>138888.88888888891</v>
      </c>
      <c r="AL97" s="778">
        <v>-0.015</v>
      </c>
    </row>
    <row r="98" spans="1:38" ht="15" customHeight="1">
      <c r="A98" s="775">
        <v>841</v>
      </c>
      <c r="B98" s="776" t="s">
        <v>208</v>
      </c>
      <c r="C98" s="777" t="s">
        <v>352</v>
      </c>
      <c r="D98" s="777" t="s">
        <v>352</v>
      </c>
      <c r="E98" s="777" t="s">
        <v>352</v>
      </c>
      <c r="F98" s="777" t="s">
        <v>352</v>
      </c>
      <c r="G98" s="777">
        <v>2662</v>
      </c>
      <c r="H98" s="777">
        <v>4020</v>
      </c>
      <c r="I98" s="777">
        <v>4353</v>
      </c>
      <c r="J98" s="777">
        <v>293</v>
      </c>
      <c r="K98" s="777">
        <v>293</v>
      </c>
      <c r="L98" s="777">
        <v>630</v>
      </c>
      <c r="M98" s="777">
        <v>855</v>
      </c>
      <c r="N98" s="777">
        <v>133</v>
      </c>
      <c r="O98" s="777">
        <v>193</v>
      </c>
      <c r="P98" s="777">
        <v>286</v>
      </c>
      <c r="Q98" s="777">
        <v>398</v>
      </c>
      <c r="R98" s="777">
        <v>470</v>
      </c>
      <c r="S98" s="777">
        <v>529</v>
      </c>
      <c r="T98" s="777">
        <v>490</v>
      </c>
      <c r="U98" s="777">
        <v>559</v>
      </c>
      <c r="V98" s="777">
        <v>510</v>
      </c>
      <c r="W98" s="777">
        <v>585</v>
      </c>
      <c r="X98" s="777">
        <v>613</v>
      </c>
      <c r="Y98" s="777">
        <v>725</v>
      </c>
      <c r="Z98" s="777">
        <v>0</v>
      </c>
      <c r="AA98" s="777" t="s">
        <v>646</v>
      </c>
      <c r="AB98" s="777">
        <v>436</v>
      </c>
      <c r="AC98" s="777" t="s">
        <v>647</v>
      </c>
      <c r="AD98" s="777">
        <v>1004</v>
      </c>
      <c r="AE98" s="777">
        <v>478</v>
      </c>
      <c r="AF98" s="777">
        <v>0.63585523</v>
      </c>
      <c r="AG98" s="777">
        <v>0.58045405</v>
      </c>
      <c r="AH98" s="777">
        <v>0.48019237</v>
      </c>
      <c r="AI98" s="777">
        <v>1047</v>
      </c>
      <c r="AJ98" s="777">
        <v>131667</v>
      </c>
      <c r="AK98" s="777">
        <v>131667</v>
      </c>
      <c r="AL98" s="778">
        <v>0.003</v>
      </c>
    </row>
    <row r="99" spans="1:38" ht="15" customHeight="1">
      <c r="A99" s="775">
        <v>845</v>
      </c>
      <c r="B99" s="776" t="s">
        <v>220</v>
      </c>
      <c r="C99" s="777">
        <v>3435</v>
      </c>
      <c r="D99" s="777" t="s">
        <v>352</v>
      </c>
      <c r="E99" s="777" t="s">
        <v>352</v>
      </c>
      <c r="F99" s="777">
        <v>4711</v>
      </c>
      <c r="G99" s="777">
        <v>2810.6393941227948</v>
      </c>
      <c r="H99" s="777">
        <v>3926.2984379393079</v>
      </c>
      <c r="I99" s="777">
        <v>4449.4562118509248</v>
      </c>
      <c r="J99" s="777">
        <v>440</v>
      </c>
      <c r="K99" s="777">
        <v>440</v>
      </c>
      <c r="L99" s="777">
        <v>540</v>
      </c>
      <c r="M99" s="777">
        <v>785</v>
      </c>
      <c r="N99" s="777">
        <v>200</v>
      </c>
      <c r="O99" s="777">
        <v>290</v>
      </c>
      <c r="P99" s="777">
        <v>240</v>
      </c>
      <c r="Q99" s="777">
        <v>390</v>
      </c>
      <c r="R99" s="777">
        <v>360</v>
      </c>
      <c r="S99" s="777">
        <v>515</v>
      </c>
      <c r="T99" s="777">
        <v>390</v>
      </c>
      <c r="U99" s="777">
        <v>560</v>
      </c>
      <c r="V99" s="777">
        <v>420</v>
      </c>
      <c r="W99" s="777">
        <v>600</v>
      </c>
      <c r="X99" s="777">
        <v>575</v>
      </c>
      <c r="Y99" s="777">
        <v>810</v>
      </c>
      <c r="Z99" s="777" t="s">
        <v>352</v>
      </c>
      <c r="AA99" s="777" t="s">
        <v>646</v>
      </c>
      <c r="AB99" s="777">
        <v>515</v>
      </c>
      <c r="AC99" s="777" t="s">
        <v>647</v>
      </c>
      <c r="AD99" s="777">
        <v>1385</v>
      </c>
      <c r="AE99" s="777">
        <v>1022</v>
      </c>
      <c r="AF99" s="777">
        <v>0.63585523</v>
      </c>
      <c r="AG99" s="777">
        <v>0.58045405</v>
      </c>
      <c r="AH99" s="777">
        <v>0.48019237</v>
      </c>
      <c r="AI99" s="777">
        <v>1550</v>
      </c>
      <c r="AJ99" s="777">
        <v>120000</v>
      </c>
      <c r="AK99" s="777">
        <v>110000</v>
      </c>
      <c r="AL99" s="778">
        <v>0.0049999999999998934</v>
      </c>
    </row>
    <row r="100" spans="1:38" ht="15" customHeight="1">
      <c r="A100" s="775">
        <v>846</v>
      </c>
      <c r="B100" s="776" t="s">
        <v>192</v>
      </c>
      <c r="C100" s="777">
        <v>3400</v>
      </c>
      <c r="D100" s="777" t="s">
        <v>352</v>
      </c>
      <c r="E100" s="777" t="s">
        <v>352</v>
      </c>
      <c r="F100" s="777">
        <v>4700</v>
      </c>
      <c r="G100" s="777">
        <v>2818.36</v>
      </c>
      <c r="H100" s="777">
        <v>4233.835165</v>
      </c>
      <c r="I100" s="777">
        <v>4233.835165</v>
      </c>
      <c r="J100" s="777">
        <v>2087.30047978494</v>
      </c>
      <c r="K100" s="777">
        <v>2333.33271046958</v>
      </c>
      <c r="L100" s="777">
        <v>233.76331621159397</v>
      </c>
      <c r="M100" s="777">
        <v>214.889215901829</v>
      </c>
      <c r="N100" s="777">
        <v>89.580479932289492</v>
      </c>
      <c r="O100" s="777">
        <v>92.3492185255092</v>
      </c>
      <c r="P100" s="777">
        <v>107.14053591874699</v>
      </c>
      <c r="Q100" s="777">
        <v>125.780737972575</v>
      </c>
      <c r="R100" s="777">
        <v>159.820703878121</v>
      </c>
      <c r="S100" s="777">
        <v>159.212257419641</v>
      </c>
      <c r="T100" s="777">
        <v>171.527407869093</v>
      </c>
      <c r="U100" s="777">
        <v>175.928017143174</v>
      </c>
      <c r="V100" s="777">
        <v>189.08746385555102</v>
      </c>
      <c r="W100" s="777">
        <v>187.071856958863</v>
      </c>
      <c r="X100" s="777">
        <v>314.62430410273896</v>
      </c>
      <c r="Y100" s="777">
        <v>228.426646514883</v>
      </c>
      <c r="Z100" s="777">
        <v>0</v>
      </c>
      <c r="AA100" s="777" t="s">
        <v>646</v>
      </c>
      <c r="AB100" s="777">
        <v>522.27</v>
      </c>
      <c r="AC100" s="777" t="s">
        <v>647</v>
      </c>
      <c r="AD100" s="777">
        <v>1607.51</v>
      </c>
      <c r="AE100" s="777">
        <v>822.617886</v>
      </c>
      <c r="AF100" s="777">
        <v>0.63585523</v>
      </c>
      <c r="AG100" s="777">
        <v>0.58045405</v>
      </c>
      <c r="AH100" s="777">
        <v>0.48019237</v>
      </c>
      <c r="AI100" s="777">
        <v>1292.985053</v>
      </c>
      <c r="AJ100" s="777">
        <v>130000</v>
      </c>
      <c r="AK100" s="777">
        <v>130000</v>
      </c>
      <c r="AL100" s="778">
        <v>-0.015</v>
      </c>
    </row>
    <row r="101" spans="1:38" ht="15" customHeight="1">
      <c r="A101" s="775">
        <v>850</v>
      </c>
      <c r="B101" s="776" t="s">
        <v>229</v>
      </c>
      <c r="C101" s="777">
        <v>3446</v>
      </c>
      <c r="D101" s="777" t="s">
        <v>352</v>
      </c>
      <c r="E101" s="777" t="s">
        <v>352</v>
      </c>
      <c r="F101" s="777">
        <v>4726</v>
      </c>
      <c r="G101" s="777">
        <v>2742</v>
      </c>
      <c r="H101" s="777">
        <v>3856</v>
      </c>
      <c r="I101" s="777">
        <v>4378</v>
      </c>
      <c r="J101" s="777">
        <v>439</v>
      </c>
      <c r="K101" s="777">
        <v>439</v>
      </c>
      <c r="L101" s="777">
        <v>539</v>
      </c>
      <c r="M101" s="777">
        <v>784</v>
      </c>
      <c r="N101" s="777">
        <v>200</v>
      </c>
      <c r="O101" s="777">
        <v>289</v>
      </c>
      <c r="P101" s="777">
        <v>240</v>
      </c>
      <c r="Q101" s="777">
        <v>389</v>
      </c>
      <c r="R101" s="777">
        <v>359</v>
      </c>
      <c r="S101" s="777">
        <v>514</v>
      </c>
      <c r="T101" s="777">
        <v>389</v>
      </c>
      <c r="U101" s="777">
        <v>559</v>
      </c>
      <c r="V101" s="777">
        <v>419</v>
      </c>
      <c r="W101" s="777">
        <v>599</v>
      </c>
      <c r="X101" s="777">
        <v>574</v>
      </c>
      <c r="Y101" s="777">
        <v>809</v>
      </c>
      <c r="Z101" s="777">
        <v>0</v>
      </c>
      <c r="AA101" s="777" t="s">
        <v>646</v>
      </c>
      <c r="AB101" s="777">
        <v>514</v>
      </c>
      <c r="AC101" s="777" t="s">
        <v>647</v>
      </c>
      <c r="AD101" s="777">
        <v>1382</v>
      </c>
      <c r="AE101" s="777">
        <v>1020</v>
      </c>
      <c r="AF101" s="777">
        <v>0.63585523</v>
      </c>
      <c r="AG101" s="777">
        <v>0.58045405</v>
      </c>
      <c r="AH101" s="777">
        <v>0.48019237</v>
      </c>
      <c r="AI101" s="777">
        <v>1547</v>
      </c>
      <c r="AJ101" s="777">
        <v>111530</v>
      </c>
      <c r="AK101" s="777">
        <v>111530</v>
      </c>
      <c r="AL101" s="778">
        <v>0.005</v>
      </c>
    </row>
    <row r="102" spans="1:38" ht="15" customHeight="1">
      <c r="A102" s="775">
        <v>851</v>
      </c>
      <c r="B102" s="776" t="s">
        <v>277</v>
      </c>
      <c r="C102" s="777">
        <v>3500</v>
      </c>
      <c r="D102" s="777" t="s">
        <v>352</v>
      </c>
      <c r="E102" s="777">
        <v>5100</v>
      </c>
      <c r="F102" s="777">
        <v>4800</v>
      </c>
      <c r="G102" s="777">
        <v>2782</v>
      </c>
      <c r="H102" s="777">
        <v>3863</v>
      </c>
      <c r="I102" s="777">
        <v>4386</v>
      </c>
      <c r="J102" s="777">
        <v>440</v>
      </c>
      <c r="K102" s="777">
        <v>440</v>
      </c>
      <c r="L102" s="777">
        <v>540</v>
      </c>
      <c r="M102" s="777">
        <v>785</v>
      </c>
      <c r="N102" s="777">
        <v>200</v>
      </c>
      <c r="O102" s="777">
        <v>290</v>
      </c>
      <c r="P102" s="777">
        <v>240</v>
      </c>
      <c r="Q102" s="777">
        <v>390</v>
      </c>
      <c r="R102" s="777">
        <v>390</v>
      </c>
      <c r="S102" s="777">
        <v>515</v>
      </c>
      <c r="T102" s="777">
        <v>560</v>
      </c>
      <c r="U102" s="777">
        <v>560</v>
      </c>
      <c r="V102" s="777">
        <v>715</v>
      </c>
      <c r="W102" s="777">
        <v>600</v>
      </c>
      <c r="X102" s="777">
        <v>950</v>
      </c>
      <c r="Y102" s="777">
        <v>810</v>
      </c>
      <c r="Z102" s="777" t="s">
        <v>352</v>
      </c>
      <c r="AA102" s="777" t="s">
        <v>646</v>
      </c>
      <c r="AB102" s="777">
        <v>515</v>
      </c>
      <c r="AC102" s="777" t="s">
        <v>647</v>
      </c>
      <c r="AD102" s="777">
        <v>1385</v>
      </c>
      <c r="AE102" s="777">
        <v>1050</v>
      </c>
      <c r="AF102" s="777">
        <v>0.63585523</v>
      </c>
      <c r="AG102" s="777">
        <v>0.58045405</v>
      </c>
      <c r="AH102" s="777">
        <v>0.48019237</v>
      </c>
      <c r="AI102" s="777">
        <v>1550</v>
      </c>
      <c r="AJ102" s="777">
        <v>110000</v>
      </c>
      <c r="AK102" s="777">
        <v>110000</v>
      </c>
      <c r="AL102" s="778">
        <v>0.005</v>
      </c>
    </row>
    <row r="103" spans="1:38" ht="15" customHeight="1">
      <c r="A103" s="775">
        <v>852</v>
      </c>
      <c r="B103" s="776" t="s">
        <v>295</v>
      </c>
      <c r="C103" s="777">
        <v>3500</v>
      </c>
      <c r="D103" s="777">
        <v>4600</v>
      </c>
      <c r="E103" s="777">
        <v>5100</v>
      </c>
      <c r="F103" s="777">
        <v>4800</v>
      </c>
      <c r="G103" s="777">
        <v>2785.21077</v>
      </c>
      <c r="H103" s="777">
        <v>3916.73433</v>
      </c>
      <c r="I103" s="777">
        <v>4447.0092600000007</v>
      </c>
      <c r="J103" s="777">
        <v>446.1204</v>
      </c>
      <c r="K103" s="777">
        <v>446.1204</v>
      </c>
      <c r="L103" s="777">
        <v>547.51140000000009</v>
      </c>
      <c r="M103" s="777">
        <v>795.91935000000012</v>
      </c>
      <c r="N103" s="777">
        <v>202.782</v>
      </c>
      <c r="O103" s="777">
        <v>294.0339</v>
      </c>
      <c r="P103" s="777">
        <v>243.33840000000004</v>
      </c>
      <c r="Q103" s="777">
        <v>395.42490000000004</v>
      </c>
      <c r="R103" s="777">
        <v>365.0076</v>
      </c>
      <c r="S103" s="777">
        <v>522.16365000000008</v>
      </c>
      <c r="T103" s="777">
        <v>395.42490000000004</v>
      </c>
      <c r="U103" s="777">
        <v>567.78960000000006</v>
      </c>
      <c r="V103" s="777">
        <v>425.84220000000005</v>
      </c>
      <c r="W103" s="777">
        <v>608.346</v>
      </c>
      <c r="X103" s="777">
        <v>582.9982500000001</v>
      </c>
      <c r="Y103" s="777">
        <v>821.2671</v>
      </c>
      <c r="Z103" s="777" t="s">
        <v>352</v>
      </c>
      <c r="AA103" s="777" t="s">
        <v>646</v>
      </c>
      <c r="AB103" s="777">
        <v>522.16365000000008</v>
      </c>
      <c r="AC103" s="777" t="s">
        <v>647</v>
      </c>
      <c r="AD103" s="777">
        <v>1404.2653500000001</v>
      </c>
      <c r="AE103" s="777">
        <v>1036.21602</v>
      </c>
      <c r="AF103" s="777">
        <v>0.63585523</v>
      </c>
      <c r="AG103" s="777">
        <v>0.58045405</v>
      </c>
      <c r="AH103" s="777">
        <v>0.48019237</v>
      </c>
      <c r="AI103" s="777">
        <v>1571.5605</v>
      </c>
      <c r="AJ103" s="777">
        <v>111530.1</v>
      </c>
      <c r="AK103" s="777">
        <v>111530.1</v>
      </c>
      <c r="AL103" s="778">
        <v>-0.00293916</v>
      </c>
    </row>
    <row r="104" spans="1:38" ht="15" customHeight="1">
      <c r="A104" s="775">
        <v>855</v>
      </c>
      <c r="B104" s="776" t="s">
        <v>251</v>
      </c>
      <c r="C104" s="777">
        <v>3500</v>
      </c>
      <c r="D104" s="777">
        <v>4600</v>
      </c>
      <c r="E104" s="777">
        <v>5100</v>
      </c>
      <c r="F104" s="777">
        <v>4800</v>
      </c>
      <c r="G104" s="777">
        <v>2746.99</v>
      </c>
      <c r="H104" s="777">
        <v>3862.65</v>
      </c>
      <c r="I104" s="777">
        <v>4385.81</v>
      </c>
      <c r="J104" s="777">
        <v>440</v>
      </c>
      <c r="K104" s="777">
        <v>440</v>
      </c>
      <c r="L104" s="777">
        <v>540</v>
      </c>
      <c r="M104" s="777">
        <v>785</v>
      </c>
      <c r="N104" s="777">
        <v>200</v>
      </c>
      <c r="O104" s="777">
        <v>290</v>
      </c>
      <c r="P104" s="777">
        <v>240</v>
      </c>
      <c r="Q104" s="777">
        <v>390</v>
      </c>
      <c r="R104" s="777">
        <v>360</v>
      </c>
      <c r="S104" s="777">
        <v>515</v>
      </c>
      <c r="T104" s="777">
        <v>390</v>
      </c>
      <c r="U104" s="777">
        <v>560</v>
      </c>
      <c r="V104" s="777">
        <v>420</v>
      </c>
      <c r="W104" s="777">
        <v>600</v>
      </c>
      <c r="X104" s="777">
        <v>575</v>
      </c>
      <c r="Y104" s="777">
        <v>810</v>
      </c>
      <c r="Z104" s="777">
        <v>0</v>
      </c>
      <c r="AA104" s="777" t="s">
        <v>646</v>
      </c>
      <c r="AB104" s="777">
        <v>515</v>
      </c>
      <c r="AC104" s="777" t="s">
        <v>647</v>
      </c>
      <c r="AD104" s="777">
        <v>1385</v>
      </c>
      <c r="AE104" s="777">
        <v>1022</v>
      </c>
      <c r="AF104" s="777">
        <v>0.63585523</v>
      </c>
      <c r="AG104" s="777">
        <v>0.58045405</v>
      </c>
      <c r="AH104" s="777">
        <v>0.48019237</v>
      </c>
      <c r="AI104" s="777">
        <v>1550</v>
      </c>
      <c r="AJ104" s="777">
        <v>110000</v>
      </c>
      <c r="AK104" s="777">
        <v>110000</v>
      </c>
      <c r="AL104" s="778">
        <v>0</v>
      </c>
    </row>
    <row r="105" spans="1:38" ht="15" customHeight="1">
      <c r="A105" s="775">
        <v>856</v>
      </c>
      <c r="B105" s="776" t="s">
        <v>250</v>
      </c>
      <c r="C105" s="777">
        <v>3500</v>
      </c>
      <c r="D105" s="777">
        <v>4600</v>
      </c>
      <c r="E105" s="777">
        <v>5100</v>
      </c>
      <c r="F105" s="777">
        <v>4800</v>
      </c>
      <c r="G105" s="777">
        <v>2746.99</v>
      </c>
      <c r="H105" s="777">
        <v>3862.65</v>
      </c>
      <c r="I105" s="777">
        <v>4385.81</v>
      </c>
      <c r="J105" s="777">
        <v>440</v>
      </c>
      <c r="K105" s="777">
        <v>440</v>
      </c>
      <c r="L105" s="777">
        <v>540</v>
      </c>
      <c r="M105" s="777">
        <v>785</v>
      </c>
      <c r="N105" s="777">
        <v>200</v>
      </c>
      <c r="O105" s="777">
        <v>290</v>
      </c>
      <c r="P105" s="777">
        <v>240</v>
      </c>
      <c r="Q105" s="777">
        <v>390</v>
      </c>
      <c r="R105" s="777">
        <v>360</v>
      </c>
      <c r="S105" s="777">
        <v>515</v>
      </c>
      <c r="T105" s="777">
        <v>390</v>
      </c>
      <c r="U105" s="777">
        <v>560</v>
      </c>
      <c r="V105" s="777">
        <v>420</v>
      </c>
      <c r="W105" s="777">
        <v>600</v>
      </c>
      <c r="X105" s="777">
        <v>575</v>
      </c>
      <c r="Y105" s="777">
        <v>810</v>
      </c>
      <c r="Z105" s="777" t="s">
        <v>352</v>
      </c>
      <c r="AA105" s="777" t="s">
        <v>646</v>
      </c>
      <c r="AB105" s="777">
        <v>515</v>
      </c>
      <c r="AC105" s="777" t="s">
        <v>647</v>
      </c>
      <c r="AD105" s="777">
        <v>1385</v>
      </c>
      <c r="AE105" s="777">
        <v>1022</v>
      </c>
      <c r="AF105" s="777">
        <v>0.63585523</v>
      </c>
      <c r="AG105" s="777">
        <v>0.58045405</v>
      </c>
      <c r="AH105" s="777">
        <v>0.48019237</v>
      </c>
      <c r="AI105" s="777">
        <v>1550</v>
      </c>
      <c r="AJ105" s="777">
        <v>110000</v>
      </c>
      <c r="AK105" s="777">
        <v>110000</v>
      </c>
      <c r="AL105" s="778">
        <v>0.005</v>
      </c>
    </row>
    <row r="106" spans="1:38" ht="15" customHeight="1">
      <c r="A106" s="775">
        <v>857</v>
      </c>
      <c r="B106" s="776" t="s">
        <v>284</v>
      </c>
      <c r="C106" s="777" t="s">
        <v>352</v>
      </c>
      <c r="D106" s="777" t="s">
        <v>352</v>
      </c>
      <c r="E106" s="777" t="s">
        <v>352</v>
      </c>
      <c r="F106" s="777" t="s">
        <v>352</v>
      </c>
      <c r="G106" s="777">
        <v>2747</v>
      </c>
      <c r="H106" s="777">
        <v>3863</v>
      </c>
      <c r="I106" s="777">
        <v>4386</v>
      </c>
      <c r="J106" s="777">
        <v>440</v>
      </c>
      <c r="K106" s="777">
        <v>440</v>
      </c>
      <c r="L106" s="777">
        <v>540</v>
      </c>
      <c r="M106" s="777">
        <v>785</v>
      </c>
      <c r="N106" s="777">
        <v>200</v>
      </c>
      <c r="O106" s="777">
        <v>290</v>
      </c>
      <c r="P106" s="777">
        <v>240</v>
      </c>
      <c r="Q106" s="777">
        <v>390</v>
      </c>
      <c r="R106" s="777">
        <v>360</v>
      </c>
      <c r="S106" s="777">
        <v>515</v>
      </c>
      <c r="T106" s="777">
        <v>390</v>
      </c>
      <c r="U106" s="777">
        <v>560</v>
      </c>
      <c r="V106" s="777">
        <v>420</v>
      </c>
      <c r="W106" s="777">
        <v>600</v>
      </c>
      <c r="X106" s="777">
        <v>575</v>
      </c>
      <c r="Y106" s="777">
        <v>810</v>
      </c>
      <c r="Z106" s="777">
        <v>0</v>
      </c>
      <c r="AA106" s="777" t="s">
        <v>646</v>
      </c>
      <c r="AB106" s="777">
        <v>515</v>
      </c>
      <c r="AC106" s="777" t="s">
        <v>647</v>
      </c>
      <c r="AD106" s="777">
        <v>1385</v>
      </c>
      <c r="AE106" s="777">
        <v>1050</v>
      </c>
      <c r="AF106" s="777">
        <v>0.63585523</v>
      </c>
      <c r="AG106" s="777">
        <v>0.58045405</v>
      </c>
      <c r="AH106" s="777">
        <v>0.48019237</v>
      </c>
      <c r="AI106" s="777">
        <v>1550</v>
      </c>
      <c r="AJ106" s="777">
        <v>110000</v>
      </c>
      <c r="AK106" s="777">
        <v>110000</v>
      </c>
      <c r="AL106" s="778">
        <v>0.005</v>
      </c>
    </row>
    <row r="107" spans="1:38" ht="15" customHeight="1">
      <c r="A107" s="775">
        <v>860</v>
      </c>
      <c r="B107" s="776" t="s">
        <v>299</v>
      </c>
      <c r="C107" s="777">
        <v>3500</v>
      </c>
      <c r="D107" s="777">
        <v>4600</v>
      </c>
      <c r="E107" s="777" t="s">
        <v>352</v>
      </c>
      <c r="F107" s="777">
        <v>4800</v>
      </c>
      <c r="G107" s="777">
        <v>2746.99</v>
      </c>
      <c r="H107" s="777">
        <v>3862.65</v>
      </c>
      <c r="I107" s="777">
        <v>4385.81</v>
      </c>
      <c r="J107" s="777">
        <v>440</v>
      </c>
      <c r="K107" s="777">
        <v>440</v>
      </c>
      <c r="L107" s="777">
        <v>540</v>
      </c>
      <c r="M107" s="777">
        <v>785</v>
      </c>
      <c r="N107" s="777">
        <v>200</v>
      </c>
      <c r="O107" s="777">
        <v>290</v>
      </c>
      <c r="P107" s="777">
        <v>240</v>
      </c>
      <c r="Q107" s="777">
        <v>390</v>
      </c>
      <c r="R107" s="777">
        <v>360</v>
      </c>
      <c r="S107" s="777">
        <v>515</v>
      </c>
      <c r="T107" s="777">
        <v>390</v>
      </c>
      <c r="U107" s="777">
        <v>560</v>
      </c>
      <c r="V107" s="777">
        <v>420</v>
      </c>
      <c r="W107" s="777">
        <v>600</v>
      </c>
      <c r="X107" s="777">
        <v>575</v>
      </c>
      <c r="Y107" s="777">
        <v>810</v>
      </c>
      <c r="Z107" s="777" t="s">
        <v>352</v>
      </c>
      <c r="AA107" s="777" t="s">
        <v>646</v>
      </c>
      <c r="AB107" s="777">
        <v>515</v>
      </c>
      <c r="AC107" s="777" t="s">
        <v>647</v>
      </c>
      <c r="AD107" s="777">
        <v>1385</v>
      </c>
      <c r="AE107" s="777">
        <v>1022</v>
      </c>
      <c r="AF107" s="777">
        <v>0.63585523</v>
      </c>
      <c r="AG107" s="777">
        <v>0.58045405</v>
      </c>
      <c r="AH107" s="777">
        <v>0.48019237</v>
      </c>
      <c r="AI107" s="777">
        <v>1550</v>
      </c>
      <c r="AJ107" s="777">
        <v>110000</v>
      </c>
      <c r="AK107" s="777">
        <v>110000</v>
      </c>
      <c r="AL107" s="778">
        <v>0.005</v>
      </c>
    </row>
    <row r="108" spans="1:38" ht="15" customHeight="1">
      <c r="A108" s="775">
        <v>861</v>
      </c>
      <c r="B108" s="776" t="s">
        <v>302</v>
      </c>
      <c r="C108" s="777">
        <v>3500</v>
      </c>
      <c r="D108" s="777" t="s">
        <v>352</v>
      </c>
      <c r="E108" s="777" t="s">
        <v>352</v>
      </c>
      <c r="F108" s="777">
        <v>4800</v>
      </c>
      <c r="G108" s="777">
        <v>2747</v>
      </c>
      <c r="H108" s="777">
        <v>3863</v>
      </c>
      <c r="I108" s="777">
        <v>4386</v>
      </c>
      <c r="J108" s="777">
        <v>440</v>
      </c>
      <c r="K108" s="777">
        <v>440</v>
      </c>
      <c r="L108" s="777">
        <v>575.3</v>
      </c>
      <c r="M108" s="777">
        <v>823.29</v>
      </c>
      <c r="N108" s="777">
        <v>200</v>
      </c>
      <c r="O108" s="777">
        <v>290</v>
      </c>
      <c r="P108" s="777">
        <v>240</v>
      </c>
      <c r="Q108" s="777">
        <v>390</v>
      </c>
      <c r="R108" s="777">
        <v>360</v>
      </c>
      <c r="S108" s="777">
        <v>515</v>
      </c>
      <c r="T108" s="777">
        <v>390</v>
      </c>
      <c r="U108" s="777">
        <v>560</v>
      </c>
      <c r="V108" s="777">
        <v>420</v>
      </c>
      <c r="W108" s="777">
        <v>600</v>
      </c>
      <c r="X108" s="777">
        <v>575</v>
      </c>
      <c r="Y108" s="777">
        <v>810</v>
      </c>
      <c r="Z108" s="777" t="s">
        <v>352</v>
      </c>
      <c r="AA108" s="777" t="s">
        <v>646</v>
      </c>
      <c r="AB108" s="777">
        <v>515</v>
      </c>
      <c r="AC108" s="777" t="s">
        <v>647</v>
      </c>
      <c r="AD108" s="777">
        <v>1385</v>
      </c>
      <c r="AE108" s="777">
        <v>1022</v>
      </c>
      <c r="AF108" s="777">
        <v>0.63585523</v>
      </c>
      <c r="AG108" s="777">
        <v>0.58045405</v>
      </c>
      <c r="AH108" s="777">
        <v>0.48019237</v>
      </c>
      <c r="AI108" s="777">
        <v>1550</v>
      </c>
      <c r="AJ108" s="777">
        <v>110000</v>
      </c>
      <c r="AK108" s="777">
        <v>110000</v>
      </c>
      <c r="AL108" s="778">
        <v>-0.015</v>
      </c>
    </row>
    <row r="109" spans="1:38" ht="15" customHeight="1">
      <c r="A109" s="775">
        <v>865</v>
      </c>
      <c r="B109" s="776" t="s">
        <v>324</v>
      </c>
      <c r="C109" s="777">
        <v>3500</v>
      </c>
      <c r="D109" s="777" t="s">
        <v>352</v>
      </c>
      <c r="E109" s="777" t="s">
        <v>352</v>
      </c>
      <c r="F109" s="777">
        <v>4800</v>
      </c>
      <c r="G109" s="777">
        <v>2746.99</v>
      </c>
      <c r="H109" s="777">
        <v>3862.65</v>
      </c>
      <c r="I109" s="777">
        <v>4385.81</v>
      </c>
      <c r="J109" s="777">
        <v>440</v>
      </c>
      <c r="K109" s="777">
        <v>440</v>
      </c>
      <c r="L109" s="777">
        <v>434.8</v>
      </c>
      <c r="M109" s="777">
        <v>632.07</v>
      </c>
      <c r="N109" s="777">
        <v>200</v>
      </c>
      <c r="O109" s="777">
        <v>290</v>
      </c>
      <c r="P109" s="777">
        <v>240</v>
      </c>
      <c r="Q109" s="777">
        <v>390</v>
      </c>
      <c r="R109" s="777">
        <v>360</v>
      </c>
      <c r="S109" s="777">
        <v>515</v>
      </c>
      <c r="T109" s="777">
        <v>390</v>
      </c>
      <c r="U109" s="777">
        <v>560</v>
      </c>
      <c r="V109" s="777">
        <v>420</v>
      </c>
      <c r="W109" s="777">
        <v>600</v>
      </c>
      <c r="X109" s="777">
        <v>575</v>
      </c>
      <c r="Y109" s="777">
        <v>810</v>
      </c>
      <c r="Z109" s="777" t="s">
        <v>352</v>
      </c>
      <c r="AA109" s="777" t="s">
        <v>646</v>
      </c>
      <c r="AB109" s="777">
        <v>515</v>
      </c>
      <c r="AC109" s="777" t="s">
        <v>647</v>
      </c>
      <c r="AD109" s="777">
        <v>1385</v>
      </c>
      <c r="AE109" s="777">
        <v>1022</v>
      </c>
      <c r="AF109" s="777">
        <v>0.63585523</v>
      </c>
      <c r="AG109" s="777">
        <v>0.58045405</v>
      </c>
      <c r="AH109" s="777">
        <v>0.48019237</v>
      </c>
      <c r="AI109" s="777">
        <v>1550</v>
      </c>
      <c r="AJ109" s="777">
        <v>110000</v>
      </c>
      <c r="AK109" s="777">
        <v>110000</v>
      </c>
      <c r="AL109" s="778">
        <v>0.005</v>
      </c>
    </row>
    <row r="110" spans="1:38" ht="15" customHeight="1">
      <c r="A110" s="775">
        <v>866</v>
      </c>
      <c r="B110" s="776" t="s">
        <v>307</v>
      </c>
      <c r="C110" s="777">
        <v>3300</v>
      </c>
      <c r="D110" s="777" t="s">
        <v>352</v>
      </c>
      <c r="E110" s="777" t="s">
        <v>352</v>
      </c>
      <c r="F110" s="777">
        <v>4600</v>
      </c>
      <c r="G110" s="777">
        <v>2762.15</v>
      </c>
      <c r="H110" s="777">
        <v>3883.97</v>
      </c>
      <c r="I110" s="777">
        <v>4410.02</v>
      </c>
      <c r="J110" s="777">
        <v>442.43</v>
      </c>
      <c r="K110" s="777">
        <v>442.43</v>
      </c>
      <c r="L110" s="777">
        <v>542.98</v>
      </c>
      <c r="M110" s="777">
        <v>789.33</v>
      </c>
      <c r="N110" s="777">
        <v>201.1</v>
      </c>
      <c r="O110" s="777">
        <v>291.6</v>
      </c>
      <c r="P110" s="777">
        <v>241.32</v>
      </c>
      <c r="Q110" s="777">
        <v>392.15</v>
      </c>
      <c r="R110" s="777">
        <v>361.99</v>
      </c>
      <c r="S110" s="777">
        <v>517.84</v>
      </c>
      <c r="T110" s="777">
        <v>392.15</v>
      </c>
      <c r="U110" s="777">
        <v>563.09</v>
      </c>
      <c r="V110" s="777">
        <v>422.32</v>
      </c>
      <c r="W110" s="777">
        <v>603.31</v>
      </c>
      <c r="X110" s="777">
        <v>578.17</v>
      </c>
      <c r="Y110" s="777">
        <v>814.47</v>
      </c>
      <c r="Z110" s="777" t="s">
        <v>352</v>
      </c>
      <c r="AA110" s="777" t="s">
        <v>646</v>
      </c>
      <c r="AB110" s="777">
        <v>517.84</v>
      </c>
      <c r="AC110" s="777" t="s">
        <v>647</v>
      </c>
      <c r="AD110" s="777">
        <v>1392.65</v>
      </c>
      <c r="AE110" s="777">
        <v>1055.8</v>
      </c>
      <c r="AF110" s="777">
        <v>0.63585523</v>
      </c>
      <c r="AG110" s="777">
        <v>0.58045405</v>
      </c>
      <c r="AH110" s="777">
        <v>0.48019237</v>
      </c>
      <c r="AI110" s="777">
        <v>1558.56</v>
      </c>
      <c r="AJ110" s="777">
        <v>110000</v>
      </c>
      <c r="AK110" s="777">
        <v>110000</v>
      </c>
      <c r="AL110" s="778">
        <v>0.005</v>
      </c>
    </row>
    <row r="111" spans="1:38" ht="15" customHeight="1">
      <c r="A111" s="775">
        <v>867</v>
      </c>
      <c r="B111" s="776" t="s">
        <v>188</v>
      </c>
      <c r="C111" s="777">
        <v>3500</v>
      </c>
      <c r="D111" s="777" t="s">
        <v>352</v>
      </c>
      <c r="E111" s="777" t="s">
        <v>352</v>
      </c>
      <c r="F111" s="777">
        <v>4800</v>
      </c>
      <c r="G111" s="777">
        <v>2769.349212798626</v>
      </c>
      <c r="H111" s="777">
        <v>4086.7750976595803</v>
      </c>
      <c r="I111" s="777">
        <v>4296.8116810366182</v>
      </c>
      <c r="J111" s="777">
        <v>373.90150531525285</v>
      </c>
      <c r="K111" s="777">
        <v>633.678</v>
      </c>
      <c r="L111" s="777">
        <v>87.9435437706</v>
      </c>
      <c r="M111" s="777">
        <v>384.718615</v>
      </c>
      <c r="N111" s="777">
        <v>182.30112077714</v>
      </c>
      <c r="O111" s="777">
        <v>1348.9189417065941</v>
      </c>
      <c r="P111" s="777">
        <v>445.47802273358985</v>
      </c>
      <c r="Q111" s="777">
        <v>1254.3238130613688</v>
      </c>
      <c r="R111" s="777">
        <v>192.019642272</v>
      </c>
      <c r="S111" s="777">
        <v>2940.2828232221491</v>
      </c>
      <c r="T111" s="777">
        <v>411.8907</v>
      </c>
      <c r="U111" s="777">
        <v>1997.9419302216809</v>
      </c>
      <c r="V111" s="777">
        <v>737.68228860293948</v>
      </c>
      <c r="W111" s="777">
        <v>15723.509636266017</v>
      </c>
      <c r="X111" s="777">
        <v>607.27475</v>
      </c>
      <c r="Y111" s="777">
        <v>2830.8483923103536</v>
      </c>
      <c r="Z111" s="777" t="s">
        <v>352</v>
      </c>
      <c r="AA111" s="777" t="s">
        <v>646</v>
      </c>
      <c r="AB111" s="777">
        <v>426.6134162325</v>
      </c>
      <c r="AC111" s="777" t="s">
        <v>647</v>
      </c>
      <c r="AD111" s="777">
        <v>777.37895134597534</v>
      </c>
      <c r="AE111" s="777">
        <v>917.46013099999993</v>
      </c>
      <c r="AF111" s="777">
        <v>0.63585523</v>
      </c>
      <c r="AG111" s="777">
        <v>0.58045405</v>
      </c>
      <c r="AH111" s="777">
        <v>0.48019237</v>
      </c>
      <c r="AI111" s="777">
        <v>1216.21283856</v>
      </c>
      <c r="AJ111" s="777">
        <v>160143.4843668</v>
      </c>
      <c r="AK111" s="777">
        <v>148572.742</v>
      </c>
      <c r="AL111" s="778">
        <v>0.005</v>
      </c>
    </row>
    <row r="112" spans="1:38" ht="15" customHeight="1">
      <c r="A112" s="775">
        <v>868</v>
      </c>
      <c r="B112" s="776" t="s">
        <v>325</v>
      </c>
      <c r="C112" s="777">
        <v>3300</v>
      </c>
      <c r="D112" s="777">
        <v>3950</v>
      </c>
      <c r="E112" s="777">
        <v>4600</v>
      </c>
      <c r="F112" s="777">
        <v>4600</v>
      </c>
      <c r="G112" s="777">
        <v>2892.71</v>
      </c>
      <c r="H112" s="777">
        <v>4027.9</v>
      </c>
      <c r="I112" s="777">
        <v>4580.11</v>
      </c>
      <c r="J112" s="777">
        <v>464.7</v>
      </c>
      <c r="K112" s="777">
        <v>464.7</v>
      </c>
      <c r="L112" s="777">
        <v>744</v>
      </c>
      <c r="M112" s="777">
        <v>908</v>
      </c>
      <c r="N112" s="777">
        <v>276.655</v>
      </c>
      <c r="O112" s="777">
        <v>362.29</v>
      </c>
      <c r="P112" s="777">
        <v>345.93</v>
      </c>
      <c r="Q112" s="777">
        <v>479.9</v>
      </c>
      <c r="R112" s="777">
        <v>518.9</v>
      </c>
      <c r="S112" s="777">
        <v>671.8</v>
      </c>
      <c r="T112" s="777">
        <v>539.5</v>
      </c>
      <c r="U112" s="777">
        <v>702.69</v>
      </c>
      <c r="V112" s="777">
        <v>560.09</v>
      </c>
      <c r="W112" s="777">
        <v>730.15</v>
      </c>
      <c r="X112" s="777">
        <v>666.5</v>
      </c>
      <c r="Y112" s="777">
        <v>874.31</v>
      </c>
      <c r="Z112" s="777">
        <v>950</v>
      </c>
      <c r="AA112" s="777" t="s">
        <v>646</v>
      </c>
      <c r="AB112" s="777">
        <v>466.64</v>
      </c>
      <c r="AC112" s="777" t="s">
        <v>647</v>
      </c>
      <c r="AD112" s="777">
        <v>1296.55</v>
      </c>
      <c r="AE112" s="777">
        <v>1074.88</v>
      </c>
      <c r="AF112" s="777">
        <v>0.63585523</v>
      </c>
      <c r="AG112" s="777">
        <v>0.58045405</v>
      </c>
      <c r="AH112" s="777">
        <v>0.48019237</v>
      </c>
      <c r="AI112" s="777">
        <v>1643.16</v>
      </c>
      <c r="AJ112" s="777">
        <v>119470</v>
      </c>
      <c r="AK112" s="777">
        <v>119970</v>
      </c>
      <c r="AL112" s="778">
        <v>-0.015</v>
      </c>
    </row>
    <row r="113" spans="1:38" ht="15" customHeight="1">
      <c r="A113" s="775">
        <v>869</v>
      </c>
      <c r="B113" s="776" t="s">
        <v>320</v>
      </c>
      <c r="C113" s="777">
        <v>3500</v>
      </c>
      <c r="D113" s="777">
        <v>4600</v>
      </c>
      <c r="E113" s="777">
        <v>5100</v>
      </c>
      <c r="F113" s="777">
        <v>4800</v>
      </c>
      <c r="G113" s="777">
        <v>2841</v>
      </c>
      <c r="H113" s="777">
        <v>3994</v>
      </c>
      <c r="I113" s="777">
        <v>4535</v>
      </c>
      <c r="J113" s="777">
        <v>455</v>
      </c>
      <c r="K113" s="777">
        <v>455</v>
      </c>
      <c r="L113" s="777">
        <v>558</v>
      </c>
      <c r="M113" s="777">
        <v>812</v>
      </c>
      <c r="N113" s="777">
        <v>207</v>
      </c>
      <c r="O113" s="777">
        <v>300</v>
      </c>
      <c r="P113" s="777">
        <v>248</v>
      </c>
      <c r="Q113" s="777">
        <v>403</v>
      </c>
      <c r="R113" s="777">
        <v>372</v>
      </c>
      <c r="S113" s="777">
        <v>533</v>
      </c>
      <c r="T113" s="777">
        <v>403</v>
      </c>
      <c r="U113" s="777">
        <v>579</v>
      </c>
      <c r="V113" s="777">
        <v>434</v>
      </c>
      <c r="W113" s="777">
        <v>620</v>
      </c>
      <c r="X113" s="777">
        <v>595</v>
      </c>
      <c r="Y113" s="777">
        <v>838</v>
      </c>
      <c r="Z113" s="777">
        <v>0</v>
      </c>
      <c r="AA113" s="777" t="s">
        <v>646</v>
      </c>
      <c r="AB113" s="777">
        <v>532</v>
      </c>
      <c r="AC113" s="777" t="s">
        <v>647</v>
      </c>
      <c r="AD113" s="777">
        <v>1432</v>
      </c>
      <c r="AE113" s="777">
        <v>1056.81</v>
      </c>
      <c r="AF113" s="777">
        <v>0.63585523</v>
      </c>
      <c r="AG113" s="777">
        <v>0.58045405</v>
      </c>
      <c r="AH113" s="777">
        <v>0.48019237</v>
      </c>
      <c r="AI113" s="777">
        <v>1602.79</v>
      </c>
      <c r="AJ113" s="777">
        <v>113751</v>
      </c>
      <c r="AK113" s="777">
        <v>113751</v>
      </c>
      <c r="AL113" s="778">
        <v>0.00215</v>
      </c>
    </row>
    <row r="114" spans="1:38" ht="15" customHeight="1">
      <c r="A114" s="775">
        <v>870</v>
      </c>
      <c r="B114" s="776" t="s">
        <v>278</v>
      </c>
      <c r="C114" s="777">
        <v>3500</v>
      </c>
      <c r="D114" s="777" t="s">
        <v>352</v>
      </c>
      <c r="E114" s="777">
        <v>5100</v>
      </c>
      <c r="F114" s="777">
        <v>4800</v>
      </c>
      <c r="G114" s="777">
        <v>2841</v>
      </c>
      <c r="H114" s="777">
        <v>3863</v>
      </c>
      <c r="I114" s="777">
        <v>4386</v>
      </c>
      <c r="J114" s="777">
        <v>440</v>
      </c>
      <c r="K114" s="777">
        <v>440</v>
      </c>
      <c r="L114" s="777">
        <v>540</v>
      </c>
      <c r="M114" s="777">
        <v>785</v>
      </c>
      <c r="N114" s="777">
        <v>200</v>
      </c>
      <c r="O114" s="777">
        <v>290</v>
      </c>
      <c r="P114" s="777">
        <v>240</v>
      </c>
      <c r="Q114" s="777">
        <v>390</v>
      </c>
      <c r="R114" s="777">
        <v>360</v>
      </c>
      <c r="S114" s="777">
        <v>515</v>
      </c>
      <c r="T114" s="777">
        <v>390</v>
      </c>
      <c r="U114" s="777">
        <v>560</v>
      </c>
      <c r="V114" s="777">
        <v>420</v>
      </c>
      <c r="W114" s="777">
        <v>600</v>
      </c>
      <c r="X114" s="777">
        <v>575</v>
      </c>
      <c r="Y114" s="777">
        <v>810</v>
      </c>
      <c r="Z114" s="777" t="s">
        <v>352</v>
      </c>
      <c r="AA114" s="777" t="s">
        <v>646</v>
      </c>
      <c r="AB114" s="777">
        <v>515</v>
      </c>
      <c r="AC114" s="777" t="s">
        <v>647</v>
      </c>
      <c r="AD114" s="777">
        <v>1385</v>
      </c>
      <c r="AE114" s="777">
        <v>1022</v>
      </c>
      <c r="AF114" s="777">
        <v>0.63585523</v>
      </c>
      <c r="AG114" s="777">
        <v>0.58045405</v>
      </c>
      <c r="AH114" s="777">
        <v>0.48019237</v>
      </c>
      <c r="AI114" s="777">
        <v>1550</v>
      </c>
      <c r="AJ114" s="777">
        <v>112455</v>
      </c>
      <c r="AK114" s="777">
        <v>112455</v>
      </c>
      <c r="AL114" s="778">
        <v>0.005</v>
      </c>
    </row>
    <row r="115" spans="1:38" ht="15" customHeight="1">
      <c r="A115" s="775">
        <v>871</v>
      </c>
      <c r="B115" s="776" t="s">
        <v>290</v>
      </c>
      <c r="C115" s="777">
        <v>3500</v>
      </c>
      <c r="D115" s="777" t="s">
        <v>352</v>
      </c>
      <c r="E115" s="777" t="s">
        <v>352</v>
      </c>
      <c r="F115" s="777">
        <v>4800</v>
      </c>
      <c r="G115" s="777">
        <v>3348.413</v>
      </c>
      <c r="H115" s="777">
        <v>4254.2039999999988</v>
      </c>
      <c r="I115" s="777">
        <v>4708.1500000000005</v>
      </c>
      <c r="J115" s="777">
        <v>0</v>
      </c>
      <c r="K115" s="777">
        <v>0</v>
      </c>
      <c r="L115" s="777">
        <v>569.7955881039162</v>
      </c>
      <c r="M115" s="777">
        <v>1201.0380719074503</v>
      </c>
      <c r="N115" s="777">
        <v>211.03540300145042</v>
      </c>
      <c r="O115" s="777">
        <v>306.00133435210313</v>
      </c>
      <c r="P115" s="777">
        <v>470.20311434113125</v>
      </c>
      <c r="Q115" s="777">
        <v>900.78087330433834</v>
      </c>
      <c r="R115" s="777">
        <v>627.921421511697</v>
      </c>
      <c r="S115" s="777">
        <v>1123.7350057736776</v>
      </c>
      <c r="T115" s="777">
        <v>726.96737330433837</v>
      </c>
      <c r="U115" s="777">
        <v>1202.0799334626397</v>
      </c>
      <c r="V115" s="777">
        <v>803.82332509697983</v>
      </c>
      <c r="W115" s="777">
        <v>1416.5825358528282</v>
      </c>
      <c r="X115" s="777">
        <v>606.72678362917</v>
      </c>
      <c r="Y115" s="777">
        <v>854.69338215587425</v>
      </c>
      <c r="Z115" s="777" t="s">
        <v>352</v>
      </c>
      <c r="AA115" s="777" t="s">
        <v>645</v>
      </c>
      <c r="AB115" s="777" t="s">
        <v>352</v>
      </c>
      <c r="AC115" s="777" t="s">
        <v>645</v>
      </c>
      <c r="AD115" s="777" t="s">
        <v>352</v>
      </c>
      <c r="AE115" s="777">
        <v>1066.54</v>
      </c>
      <c r="AF115" s="777">
        <v>0.63585523</v>
      </c>
      <c r="AG115" s="777">
        <v>0.58045405</v>
      </c>
      <c r="AH115" s="777">
        <v>0.48019237</v>
      </c>
      <c r="AI115" s="777">
        <v>1901.53</v>
      </c>
      <c r="AJ115" s="777">
        <v>110445.16</v>
      </c>
      <c r="AK115" s="777">
        <v>127945.16</v>
      </c>
      <c r="AL115" s="778">
        <v>-0.015</v>
      </c>
    </row>
    <row r="116" spans="1:38" ht="15" customHeight="1">
      <c r="A116" s="775">
        <v>872</v>
      </c>
      <c r="B116" s="776" t="s">
        <v>327</v>
      </c>
      <c r="C116" s="777">
        <v>3500</v>
      </c>
      <c r="D116" s="777" t="s">
        <v>352</v>
      </c>
      <c r="E116" s="777" t="s">
        <v>352</v>
      </c>
      <c r="F116" s="777">
        <v>4800</v>
      </c>
      <c r="G116" s="777">
        <v>2921.8142900000003</v>
      </c>
      <c r="H116" s="777">
        <v>3944.4492915000005</v>
      </c>
      <c r="I116" s="777">
        <v>4558.0302924000007</v>
      </c>
      <c r="J116" s="777" t="s">
        <v>352</v>
      </c>
      <c r="K116" s="777" t="s">
        <v>352</v>
      </c>
      <c r="L116" s="777">
        <v>619.17181</v>
      </c>
      <c r="M116" s="777">
        <v>782.32196</v>
      </c>
      <c r="N116" s="777">
        <v>240.511355578949</v>
      </c>
      <c r="O116" s="777">
        <v>278.980699321987</v>
      </c>
      <c r="P116" s="777">
        <v>293.958323485382</v>
      </c>
      <c r="Q116" s="777">
        <v>340.976410282429</v>
      </c>
      <c r="R116" s="777">
        <v>374.128775345032</v>
      </c>
      <c r="S116" s="777">
        <v>433.969976723091</v>
      </c>
      <c r="T116" s="777">
        <v>481.022711157898</v>
      </c>
      <c r="U116" s="777">
        <v>557.961398643974</v>
      </c>
      <c r="V116" s="777">
        <v>587.916646970765</v>
      </c>
      <c r="W116" s="777">
        <v>681.952820564857</v>
      </c>
      <c r="X116" s="777">
        <v>855.15148650293</v>
      </c>
      <c r="Y116" s="777">
        <v>0</v>
      </c>
      <c r="Z116" s="777" t="s">
        <v>352</v>
      </c>
      <c r="AA116" s="777" t="s">
        <v>646</v>
      </c>
      <c r="AB116" s="777">
        <v>247.0928</v>
      </c>
      <c r="AC116" s="777" t="s">
        <v>647</v>
      </c>
      <c r="AD116" s="777">
        <v>1235.6785</v>
      </c>
      <c r="AE116" s="777">
        <v>500</v>
      </c>
      <c r="AF116" s="777">
        <v>0.63585523</v>
      </c>
      <c r="AG116" s="777">
        <v>0.58045405</v>
      </c>
      <c r="AH116" s="777">
        <v>0.48019237</v>
      </c>
      <c r="AI116" s="777">
        <v>1188.97</v>
      </c>
      <c r="AJ116" s="777">
        <v>150000</v>
      </c>
      <c r="AK116" s="777">
        <v>150000</v>
      </c>
      <c r="AL116" s="778">
        <v>0.005</v>
      </c>
    </row>
    <row r="117" spans="1:38" ht="15" customHeight="1">
      <c r="A117" s="775">
        <v>873</v>
      </c>
      <c r="B117" s="776" t="s">
        <v>198</v>
      </c>
      <c r="C117" s="777">
        <v>3300</v>
      </c>
      <c r="D117" s="777">
        <v>4000</v>
      </c>
      <c r="E117" s="777">
        <v>4000</v>
      </c>
      <c r="F117" s="777">
        <v>4600</v>
      </c>
      <c r="G117" s="777">
        <v>2763.2973546000003</v>
      </c>
      <c r="H117" s="777">
        <v>3885.9153840000004</v>
      </c>
      <c r="I117" s="777">
        <v>4412.0267703000009</v>
      </c>
      <c r="J117" s="777">
        <v>445.53960000000006</v>
      </c>
      <c r="K117" s="777">
        <v>445.53960000000006</v>
      </c>
      <c r="L117" s="777">
        <v>546.79860000000008</v>
      </c>
      <c r="M117" s="777">
        <v>794.88315000000011</v>
      </c>
      <c r="N117" s="777">
        <v>202.51800000000003</v>
      </c>
      <c r="O117" s="777">
        <v>293.65110000000004</v>
      </c>
      <c r="P117" s="777">
        <v>243.02160000000003</v>
      </c>
      <c r="Q117" s="777">
        <v>394.91010000000006</v>
      </c>
      <c r="R117" s="777">
        <v>364.53240000000005</v>
      </c>
      <c r="S117" s="777">
        <v>521.48385000000007</v>
      </c>
      <c r="T117" s="777">
        <v>394.91010000000006</v>
      </c>
      <c r="U117" s="777">
        <v>567.05040000000008</v>
      </c>
      <c r="V117" s="777">
        <v>425.28780000000006</v>
      </c>
      <c r="W117" s="777">
        <v>607.55400000000009</v>
      </c>
      <c r="X117" s="777">
        <v>582.23925000000008</v>
      </c>
      <c r="Y117" s="777">
        <v>820.19790000000012</v>
      </c>
      <c r="Z117" s="777" t="s">
        <v>352</v>
      </c>
      <c r="AA117" s="777" t="s">
        <v>646</v>
      </c>
      <c r="AB117" s="777">
        <v>521.48385000000007</v>
      </c>
      <c r="AC117" s="777" t="s">
        <v>647</v>
      </c>
      <c r="AD117" s="777">
        <v>1402.4371500000002</v>
      </c>
      <c r="AE117" s="777">
        <v>1034.86698</v>
      </c>
      <c r="AF117" s="777">
        <v>0.63585523</v>
      </c>
      <c r="AG117" s="777">
        <v>0.58045405</v>
      </c>
      <c r="AH117" s="777">
        <v>0.48019237</v>
      </c>
      <c r="AI117" s="777">
        <v>1569.5145000000002</v>
      </c>
      <c r="AJ117" s="777">
        <v>110000</v>
      </c>
      <c r="AK117" s="777">
        <v>110000</v>
      </c>
      <c r="AL117" s="778">
        <v>-0.015</v>
      </c>
    </row>
    <row r="118" spans="1:38" ht="15" customHeight="1">
      <c r="A118" s="775">
        <v>874</v>
      </c>
      <c r="B118" s="776" t="s">
        <v>275</v>
      </c>
      <c r="C118" s="777">
        <v>3500</v>
      </c>
      <c r="D118" s="777">
        <v>4600</v>
      </c>
      <c r="E118" s="777">
        <v>5100</v>
      </c>
      <c r="F118" s="777">
        <v>4800</v>
      </c>
      <c r="G118" s="777">
        <v>2765.2135608295366</v>
      </c>
      <c r="H118" s="777">
        <v>3888.2748611164257</v>
      </c>
      <c r="I118" s="777">
        <v>4414.9055101117192</v>
      </c>
      <c r="J118" s="777">
        <v>442.91896467223989</v>
      </c>
      <c r="K118" s="777">
        <v>442.91896467223989</v>
      </c>
      <c r="L118" s="777">
        <v>543.58236573411261</v>
      </c>
      <c r="M118" s="777">
        <v>790.20769833570068</v>
      </c>
      <c r="N118" s="777">
        <v>201.32680212374541</v>
      </c>
      <c r="O118" s="777">
        <v>291.92386307943082</v>
      </c>
      <c r="P118" s="777">
        <v>241.59216254849449</v>
      </c>
      <c r="Q118" s="777">
        <v>392.58726414130354</v>
      </c>
      <c r="R118" s="777">
        <v>362.38824382274169</v>
      </c>
      <c r="S118" s="777">
        <v>518.41651546864443</v>
      </c>
      <c r="T118" s="777">
        <v>392.58726414130354</v>
      </c>
      <c r="U118" s="777">
        <v>563.71504594648707</v>
      </c>
      <c r="V118" s="777">
        <v>422.78628445986533</v>
      </c>
      <c r="W118" s="777">
        <v>603.9804063712362</v>
      </c>
      <c r="X118" s="777">
        <v>578.814556105768</v>
      </c>
      <c r="Y118" s="777">
        <v>815.37354860116886</v>
      </c>
      <c r="Z118" s="777">
        <v>0</v>
      </c>
      <c r="AA118" s="777" t="s">
        <v>646</v>
      </c>
      <c r="AB118" s="777">
        <v>518.41651546864443</v>
      </c>
      <c r="AC118" s="777" t="s">
        <v>647</v>
      </c>
      <c r="AD118" s="777">
        <v>1394.1881047069369</v>
      </c>
      <c r="AE118" s="777">
        <v>1028.7799588523387</v>
      </c>
      <c r="AF118" s="777">
        <v>0.63585523</v>
      </c>
      <c r="AG118" s="777">
        <v>0.58045405</v>
      </c>
      <c r="AH118" s="777">
        <v>0.48019237</v>
      </c>
      <c r="AI118" s="777">
        <v>1560.2827164590269</v>
      </c>
      <c r="AJ118" s="777">
        <v>111384.90000000001</v>
      </c>
      <c r="AK118" s="777">
        <v>111384.90000000001</v>
      </c>
      <c r="AL118" s="778">
        <v>0.005</v>
      </c>
    </row>
    <row r="119" spans="1:38" ht="15" customHeight="1">
      <c r="A119" s="775">
        <v>876</v>
      </c>
      <c r="B119" s="776" t="s">
        <v>227</v>
      </c>
      <c r="C119" s="777">
        <v>3500</v>
      </c>
      <c r="D119" s="777" t="s">
        <v>352</v>
      </c>
      <c r="E119" s="777" t="s">
        <v>352</v>
      </c>
      <c r="F119" s="777">
        <v>4800</v>
      </c>
      <c r="G119" s="777">
        <v>2715.2999999999997</v>
      </c>
      <c r="H119" s="777">
        <v>3830.9</v>
      </c>
      <c r="I119" s="777">
        <v>4354.05</v>
      </c>
      <c r="J119" s="777">
        <v>440</v>
      </c>
      <c r="K119" s="777">
        <v>440</v>
      </c>
      <c r="L119" s="777">
        <v>540</v>
      </c>
      <c r="M119" s="777">
        <v>685</v>
      </c>
      <c r="N119" s="777">
        <v>200</v>
      </c>
      <c r="O119" s="777">
        <v>290</v>
      </c>
      <c r="P119" s="777">
        <v>240</v>
      </c>
      <c r="Q119" s="777">
        <v>390</v>
      </c>
      <c r="R119" s="777">
        <v>360</v>
      </c>
      <c r="S119" s="777">
        <v>515</v>
      </c>
      <c r="T119" s="777">
        <v>390</v>
      </c>
      <c r="U119" s="777">
        <v>560</v>
      </c>
      <c r="V119" s="777">
        <v>420</v>
      </c>
      <c r="W119" s="777">
        <v>600</v>
      </c>
      <c r="X119" s="777">
        <v>575</v>
      </c>
      <c r="Y119" s="777">
        <v>810</v>
      </c>
      <c r="Z119" s="777">
        <v>0</v>
      </c>
      <c r="AA119" s="777" t="s">
        <v>646</v>
      </c>
      <c r="AB119" s="777">
        <v>515</v>
      </c>
      <c r="AC119" s="777" t="s">
        <v>647</v>
      </c>
      <c r="AD119" s="777">
        <v>1385</v>
      </c>
      <c r="AE119" s="777">
        <v>1000</v>
      </c>
      <c r="AF119" s="777">
        <v>0.63585523</v>
      </c>
      <c r="AG119" s="777">
        <v>0.58045405</v>
      </c>
      <c r="AH119" s="777">
        <v>0.48019237</v>
      </c>
      <c r="AI119" s="777">
        <v>1550</v>
      </c>
      <c r="AJ119" s="777">
        <v>110000</v>
      </c>
      <c r="AK119" s="777">
        <v>110000</v>
      </c>
      <c r="AL119" s="778">
        <v>-0.015</v>
      </c>
    </row>
    <row r="120" spans="1:38" ht="15" customHeight="1">
      <c r="A120" s="775">
        <v>877</v>
      </c>
      <c r="B120" s="776" t="s">
        <v>318</v>
      </c>
      <c r="C120" s="777">
        <v>3500</v>
      </c>
      <c r="D120" s="777" t="s">
        <v>352</v>
      </c>
      <c r="E120" s="777" t="s">
        <v>352</v>
      </c>
      <c r="F120" s="777">
        <v>4800</v>
      </c>
      <c r="G120" s="777">
        <v>2756.77</v>
      </c>
      <c r="H120" s="777">
        <v>3876.17</v>
      </c>
      <c r="I120" s="777">
        <v>4401.16</v>
      </c>
      <c r="J120" s="777">
        <v>441.57</v>
      </c>
      <c r="K120" s="777">
        <v>441.57</v>
      </c>
      <c r="L120" s="777">
        <v>541.92</v>
      </c>
      <c r="M120" s="777">
        <v>787.79</v>
      </c>
      <c r="N120" s="777">
        <v>200.71</v>
      </c>
      <c r="O120" s="777">
        <v>291.03</v>
      </c>
      <c r="P120" s="777">
        <v>240.85</v>
      </c>
      <c r="Q120" s="777">
        <v>391.39</v>
      </c>
      <c r="R120" s="777">
        <v>361.28</v>
      </c>
      <c r="S120" s="777">
        <v>516.83</v>
      </c>
      <c r="T120" s="777">
        <v>391.39</v>
      </c>
      <c r="U120" s="777">
        <v>561.99</v>
      </c>
      <c r="V120" s="777">
        <v>421.5</v>
      </c>
      <c r="W120" s="777">
        <v>602.14</v>
      </c>
      <c r="X120" s="777">
        <v>577.05</v>
      </c>
      <c r="Y120" s="777">
        <v>812.88</v>
      </c>
      <c r="Z120" s="777" t="s">
        <v>352</v>
      </c>
      <c r="AA120" s="777" t="s">
        <v>646</v>
      </c>
      <c r="AB120" s="777">
        <v>516.83</v>
      </c>
      <c r="AC120" s="777" t="s">
        <v>647</v>
      </c>
      <c r="AD120" s="777">
        <v>1389.93</v>
      </c>
      <c r="AE120" s="777">
        <v>1025.64</v>
      </c>
      <c r="AF120" s="777">
        <v>0.63585523</v>
      </c>
      <c r="AG120" s="777">
        <v>0.58045405</v>
      </c>
      <c r="AH120" s="777">
        <v>0.48019237</v>
      </c>
      <c r="AI120" s="777">
        <v>1555.52</v>
      </c>
      <c r="AJ120" s="777">
        <v>110391.6</v>
      </c>
      <c r="AK120" s="777">
        <v>110391.6</v>
      </c>
      <c r="AL120" s="778">
        <v>0.005</v>
      </c>
    </row>
    <row r="121" spans="1:38" ht="15" customHeight="1">
      <c r="A121" s="775">
        <v>878</v>
      </c>
      <c r="B121" s="776" t="s">
        <v>213</v>
      </c>
      <c r="C121" s="777">
        <v>3455</v>
      </c>
      <c r="D121" s="777" t="s">
        <v>352</v>
      </c>
      <c r="E121" s="777" t="s">
        <v>352</v>
      </c>
      <c r="F121" s="777">
        <v>4755</v>
      </c>
      <c r="G121" s="777">
        <v>2747</v>
      </c>
      <c r="H121" s="777">
        <v>3863</v>
      </c>
      <c r="I121" s="777">
        <v>4386</v>
      </c>
      <c r="J121" s="777">
        <v>440</v>
      </c>
      <c r="K121" s="777">
        <v>440</v>
      </c>
      <c r="L121" s="777">
        <v>540</v>
      </c>
      <c r="M121" s="777">
        <v>785</v>
      </c>
      <c r="N121" s="777">
        <v>200</v>
      </c>
      <c r="O121" s="777">
        <v>290</v>
      </c>
      <c r="P121" s="777">
        <v>240</v>
      </c>
      <c r="Q121" s="777">
        <v>390</v>
      </c>
      <c r="R121" s="777">
        <v>360</v>
      </c>
      <c r="S121" s="777">
        <v>515</v>
      </c>
      <c r="T121" s="777">
        <v>390</v>
      </c>
      <c r="U121" s="777">
        <v>560</v>
      </c>
      <c r="V121" s="777">
        <v>420</v>
      </c>
      <c r="W121" s="777">
        <v>600</v>
      </c>
      <c r="X121" s="777">
        <v>575</v>
      </c>
      <c r="Y121" s="777">
        <v>810</v>
      </c>
      <c r="Z121" s="777" t="s">
        <v>352</v>
      </c>
      <c r="AA121" s="777" t="s">
        <v>646</v>
      </c>
      <c r="AB121" s="777">
        <v>515</v>
      </c>
      <c r="AC121" s="777" t="s">
        <v>647</v>
      </c>
      <c r="AD121" s="777">
        <v>1385</v>
      </c>
      <c r="AE121" s="777">
        <v>1022</v>
      </c>
      <c r="AF121" s="777">
        <v>0.63585523</v>
      </c>
      <c r="AG121" s="777">
        <v>0.58045405</v>
      </c>
      <c r="AH121" s="777">
        <v>0.48019237</v>
      </c>
      <c r="AI121" s="777">
        <v>1550</v>
      </c>
      <c r="AJ121" s="777">
        <v>101105</v>
      </c>
      <c r="AK121" s="777">
        <v>110000</v>
      </c>
      <c r="AL121" s="778">
        <v>0</v>
      </c>
    </row>
    <row r="122" spans="1:38" ht="15" customHeight="1">
      <c r="A122" s="775">
        <v>879</v>
      </c>
      <c r="B122" s="776" t="s">
        <v>276</v>
      </c>
      <c r="C122" s="777">
        <v>3500</v>
      </c>
      <c r="D122" s="777" t="s">
        <v>352</v>
      </c>
      <c r="E122" s="777">
        <v>5100</v>
      </c>
      <c r="F122" s="777">
        <v>4800</v>
      </c>
      <c r="G122" s="777">
        <v>2750.1315799999998</v>
      </c>
      <c r="H122" s="777">
        <v>3867.4038199999995</v>
      </c>
      <c r="I122" s="777">
        <v>4391.00004</v>
      </c>
      <c r="J122" s="777">
        <v>440</v>
      </c>
      <c r="K122" s="777">
        <v>440</v>
      </c>
      <c r="L122" s="777">
        <v>540</v>
      </c>
      <c r="M122" s="777">
        <v>785</v>
      </c>
      <c r="N122" s="777">
        <v>200</v>
      </c>
      <c r="O122" s="777">
        <v>290</v>
      </c>
      <c r="P122" s="777">
        <v>240</v>
      </c>
      <c r="Q122" s="777">
        <v>390</v>
      </c>
      <c r="R122" s="777">
        <v>360</v>
      </c>
      <c r="S122" s="777">
        <v>515</v>
      </c>
      <c r="T122" s="777">
        <v>390</v>
      </c>
      <c r="U122" s="777">
        <v>560</v>
      </c>
      <c r="V122" s="777">
        <v>420</v>
      </c>
      <c r="W122" s="777">
        <v>600</v>
      </c>
      <c r="X122" s="777">
        <v>575</v>
      </c>
      <c r="Y122" s="777">
        <v>810</v>
      </c>
      <c r="Z122" s="777" t="s">
        <v>352</v>
      </c>
      <c r="AA122" s="777" t="s">
        <v>646</v>
      </c>
      <c r="AB122" s="777">
        <v>515</v>
      </c>
      <c r="AC122" s="777" t="s">
        <v>647</v>
      </c>
      <c r="AD122" s="777">
        <v>1385</v>
      </c>
      <c r="AE122" s="777">
        <v>1022</v>
      </c>
      <c r="AF122" s="777">
        <v>0.63585523</v>
      </c>
      <c r="AG122" s="777">
        <v>0.58045405</v>
      </c>
      <c r="AH122" s="777">
        <v>0.48019237</v>
      </c>
      <c r="AI122" s="777">
        <v>1550</v>
      </c>
      <c r="AJ122" s="777">
        <v>110000</v>
      </c>
      <c r="AK122" s="777">
        <v>110000</v>
      </c>
      <c r="AL122" s="778">
        <v>-0.015</v>
      </c>
    </row>
    <row r="123" spans="1:38" ht="15" customHeight="1">
      <c r="A123" s="775">
        <v>880</v>
      </c>
      <c r="B123" s="776" t="s">
        <v>311</v>
      </c>
      <c r="C123" s="777">
        <v>3470</v>
      </c>
      <c r="D123" s="777" t="s">
        <v>352</v>
      </c>
      <c r="E123" s="777" t="s">
        <v>352</v>
      </c>
      <c r="F123" s="777">
        <v>4770</v>
      </c>
      <c r="G123" s="777">
        <v>2776.59</v>
      </c>
      <c r="H123" s="777">
        <v>3862.65</v>
      </c>
      <c r="I123" s="777">
        <v>4385.81</v>
      </c>
      <c r="J123" s="777">
        <v>1080.03</v>
      </c>
      <c r="K123" s="777">
        <v>1391.62</v>
      </c>
      <c r="L123" s="777">
        <v>0</v>
      </c>
      <c r="M123" s="777">
        <v>0</v>
      </c>
      <c r="N123" s="777">
        <v>286</v>
      </c>
      <c r="O123" s="777">
        <v>296</v>
      </c>
      <c r="P123" s="777">
        <v>343.2</v>
      </c>
      <c r="Q123" s="777">
        <v>396.64</v>
      </c>
      <c r="R123" s="777">
        <v>514.8</v>
      </c>
      <c r="S123" s="777">
        <v>523.92</v>
      </c>
      <c r="T123" s="777">
        <v>557.7</v>
      </c>
      <c r="U123" s="777">
        <v>571.28</v>
      </c>
      <c r="V123" s="777">
        <v>600.6</v>
      </c>
      <c r="W123" s="777">
        <v>612.72</v>
      </c>
      <c r="X123" s="777">
        <v>823.68</v>
      </c>
      <c r="Y123" s="777">
        <v>825.84</v>
      </c>
      <c r="Z123" s="777">
        <v>0</v>
      </c>
      <c r="AA123" s="777" t="s">
        <v>646</v>
      </c>
      <c r="AB123" s="777">
        <v>642.07</v>
      </c>
      <c r="AC123" s="777" t="s">
        <v>647</v>
      </c>
      <c r="AD123" s="777">
        <v>573</v>
      </c>
      <c r="AE123" s="777">
        <v>631.11</v>
      </c>
      <c r="AF123" s="777">
        <v>0.63585523</v>
      </c>
      <c r="AG123" s="777">
        <v>0.58045405</v>
      </c>
      <c r="AH123" s="777">
        <v>0.48019237</v>
      </c>
      <c r="AI123" s="777">
        <v>1264.08</v>
      </c>
      <c r="AJ123" s="777">
        <v>98000</v>
      </c>
      <c r="AK123" s="777">
        <v>110000</v>
      </c>
      <c r="AL123" s="778">
        <v>0</v>
      </c>
    </row>
    <row r="124" spans="1:38" ht="15" customHeight="1">
      <c r="A124" s="775">
        <v>881</v>
      </c>
      <c r="B124" s="776" t="s">
        <v>222</v>
      </c>
      <c r="C124" s="777">
        <v>3300</v>
      </c>
      <c r="D124" s="777">
        <v>4600</v>
      </c>
      <c r="E124" s="777">
        <v>4600</v>
      </c>
      <c r="F124" s="777">
        <v>4600</v>
      </c>
      <c r="G124" s="777">
        <v>2845.11</v>
      </c>
      <c r="H124" s="777">
        <v>4028</v>
      </c>
      <c r="I124" s="777">
        <v>4905.95</v>
      </c>
      <c r="J124" s="777">
        <v>436.99999999999994</v>
      </c>
      <c r="K124" s="777">
        <v>436.99999999999994</v>
      </c>
      <c r="L124" s="777">
        <v>0</v>
      </c>
      <c r="M124" s="777">
        <v>0</v>
      </c>
      <c r="N124" s="777">
        <v>249.61</v>
      </c>
      <c r="O124" s="777">
        <v>331.21</v>
      </c>
      <c r="P124" s="777">
        <v>305.07</v>
      </c>
      <c r="Q124" s="777">
        <v>404.81</v>
      </c>
      <c r="R124" s="777">
        <v>360.54</v>
      </c>
      <c r="S124" s="777">
        <v>478.41</v>
      </c>
      <c r="T124" s="777">
        <v>416.01</v>
      </c>
      <c r="U124" s="777">
        <v>552.01</v>
      </c>
      <c r="V124" s="777">
        <v>499.21</v>
      </c>
      <c r="W124" s="777">
        <v>662.41</v>
      </c>
      <c r="X124" s="777">
        <v>832.02</v>
      </c>
      <c r="Y124" s="777">
        <v>1104.02</v>
      </c>
      <c r="Z124" s="777">
        <v>0</v>
      </c>
      <c r="AA124" s="777" t="s">
        <v>648</v>
      </c>
      <c r="AB124" s="777">
        <v>616.25</v>
      </c>
      <c r="AC124" s="777" t="s">
        <v>649</v>
      </c>
      <c r="AD124" s="777">
        <v>228.95</v>
      </c>
      <c r="AE124" s="777">
        <v>430.1</v>
      </c>
      <c r="AF124" s="777">
        <v>0.63585523</v>
      </c>
      <c r="AG124" s="777">
        <v>0.58045405</v>
      </c>
      <c r="AH124" s="777">
        <v>0.48019237</v>
      </c>
      <c r="AI124" s="777">
        <v>1031.57</v>
      </c>
      <c r="AJ124" s="777">
        <v>150000</v>
      </c>
      <c r="AK124" s="777">
        <v>150000</v>
      </c>
      <c r="AL124" s="778">
        <v>0</v>
      </c>
    </row>
    <row r="125" spans="1:38" ht="15" customHeight="1">
      <c r="A125" s="775">
        <v>882</v>
      </c>
      <c r="B125" s="776" t="s">
        <v>296</v>
      </c>
      <c r="C125" s="777">
        <v>3500</v>
      </c>
      <c r="D125" s="777" t="s">
        <v>352</v>
      </c>
      <c r="E125" s="777" t="s">
        <v>352</v>
      </c>
      <c r="F125" s="777">
        <v>4800</v>
      </c>
      <c r="G125" s="777">
        <v>2756.52</v>
      </c>
      <c r="H125" s="777">
        <v>3876.05</v>
      </c>
      <c r="I125" s="777">
        <v>4401.03</v>
      </c>
      <c r="J125" s="777">
        <v>441.53</v>
      </c>
      <c r="K125" s="777">
        <v>441.53</v>
      </c>
      <c r="L125" s="777">
        <v>541.87</v>
      </c>
      <c r="M125" s="777">
        <v>787.72</v>
      </c>
      <c r="N125" s="777">
        <v>200.69</v>
      </c>
      <c r="O125" s="777">
        <v>291.01</v>
      </c>
      <c r="P125" s="777">
        <v>240.83</v>
      </c>
      <c r="Q125" s="777">
        <v>391.35</v>
      </c>
      <c r="R125" s="777">
        <v>361.25</v>
      </c>
      <c r="S125" s="777">
        <v>516.79</v>
      </c>
      <c r="T125" s="777">
        <v>391.35</v>
      </c>
      <c r="U125" s="777">
        <v>561.94</v>
      </c>
      <c r="V125" s="777">
        <v>421.46</v>
      </c>
      <c r="W125" s="777">
        <v>602.08</v>
      </c>
      <c r="X125" s="777">
        <v>577</v>
      </c>
      <c r="Y125" s="777">
        <v>812.81</v>
      </c>
      <c r="Z125" s="777">
        <v>0</v>
      </c>
      <c r="AA125" s="777" t="s">
        <v>646</v>
      </c>
      <c r="AB125" s="777">
        <v>516.79</v>
      </c>
      <c r="AC125" s="777" t="s">
        <v>647</v>
      </c>
      <c r="AD125" s="777">
        <v>1389.81</v>
      </c>
      <c r="AE125" s="777">
        <v>1025.55</v>
      </c>
      <c r="AF125" s="777">
        <v>0.63585523</v>
      </c>
      <c r="AG125" s="777">
        <v>0.58045405</v>
      </c>
      <c r="AH125" s="777">
        <v>0.48019237</v>
      </c>
      <c r="AI125" s="777">
        <v>1555.38</v>
      </c>
      <c r="AJ125" s="777">
        <v>110381.7</v>
      </c>
      <c r="AK125" s="777">
        <v>110381.7</v>
      </c>
      <c r="AL125" s="778">
        <v>0.005</v>
      </c>
    </row>
    <row r="126" spans="1:38" ht="15" customHeight="1">
      <c r="A126" s="775">
        <v>883</v>
      </c>
      <c r="B126" s="776" t="s">
        <v>310</v>
      </c>
      <c r="C126" s="777">
        <v>3500</v>
      </c>
      <c r="D126" s="777" t="s">
        <v>352</v>
      </c>
      <c r="E126" s="777" t="s">
        <v>352</v>
      </c>
      <c r="F126" s="777">
        <v>4800</v>
      </c>
      <c r="G126" s="777">
        <v>2747</v>
      </c>
      <c r="H126" s="777">
        <v>3863</v>
      </c>
      <c r="I126" s="777">
        <v>4386</v>
      </c>
      <c r="J126" s="777" t="s">
        <v>352</v>
      </c>
      <c r="K126" s="777" t="s">
        <v>352</v>
      </c>
      <c r="L126" s="777">
        <v>540</v>
      </c>
      <c r="M126" s="777">
        <v>785</v>
      </c>
      <c r="N126" s="777">
        <v>200</v>
      </c>
      <c r="O126" s="777">
        <v>290</v>
      </c>
      <c r="P126" s="777">
        <v>240</v>
      </c>
      <c r="Q126" s="777">
        <v>390</v>
      </c>
      <c r="R126" s="777">
        <v>360</v>
      </c>
      <c r="S126" s="777">
        <v>515</v>
      </c>
      <c r="T126" s="777">
        <v>390</v>
      </c>
      <c r="U126" s="777">
        <v>560</v>
      </c>
      <c r="V126" s="777">
        <v>420</v>
      </c>
      <c r="W126" s="777">
        <v>600</v>
      </c>
      <c r="X126" s="777">
        <v>575</v>
      </c>
      <c r="Y126" s="777">
        <v>810</v>
      </c>
      <c r="Z126" s="777">
        <v>0</v>
      </c>
      <c r="AA126" s="777" t="s">
        <v>646</v>
      </c>
      <c r="AB126" s="777">
        <v>515</v>
      </c>
      <c r="AC126" s="777" t="s">
        <v>647</v>
      </c>
      <c r="AD126" s="777">
        <v>1385</v>
      </c>
      <c r="AE126" s="777">
        <v>1022</v>
      </c>
      <c r="AF126" s="777">
        <v>0.63585523</v>
      </c>
      <c r="AG126" s="777">
        <v>0.58045405</v>
      </c>
      <c r="AH126" s="777">
        <v>0.48019237</v>
      </c>
      <c r="AI126" s="777">
        <v>1550</v>
      </c>
      <c r="AJ126" s="777">
        <v>110000</v>
      </c>
      <c r="AK126" s="777">
        <v>110000</v>
      </c>
      <c r="AL126" s="778">
        <v>-0.00595</v>
      </c>
    </row>
    <row r="127" spans="1:38" ht="15" customHeight="1">
      <c r="A127" s="775">
        <v>884</v>
      </c>
      <c r="B127" s="776" t="s">
        <v>234</v>
      </c>
      <c r="C127" s="777">
        <v>3500</v>
      </c>
      <c r="D127" s="777">
        <v>4600</v>
      </c>
      <c r="E127" s="777">
        <v>5100</v>
      </c>
      <c r="F127" s="777">
        <v>4800</v>
      </c>
      <c r="G127" s="777">
        <v>2762</v>
      </c>
      <c r="H127" s="777">
        <v>3878</v>
      </c>
      <c r="I127" s="777">
        <v>4401</v>
      </c>
      <c r="J127" s="777">
        <v>440</v>
      </c>
      <c r="K127" s="777">
        <v>440</v>
      </c>
      <c r="L127" s="777">
        <v>540</v>
      </c>
      <c r="M127" s="777">
        <v>785</v>
      </c>
      <c r="N127" s="777">
        <v>200</v>
      </c>
      <c r="O127" s="777">
        <v>290</v>
      </c>
      <c r="P127" s="777">
        <v>240</v>
      </c>
      <c r="Q127" s="777">
        <v>390</v>
      </c>
      <c r="R127" s="777">
        <v>360</v>
      </c>
      <c r="S127" s="777">
        <v>515</v>
      </c>
      <c r="T127" s="777">
        <v>390</v>
      </c>
      <c r="U127" s="777">
        <v>560</v>
      </c>
      <c r="V127" s="777">
        <v>420</v>
      </c>
      <c r="W127" s="777">
        <v>600</v>
      </c>
      <c r="X127" s="777">
        <v>575</v>
      </c>
      <c r="Y127" s="777">
        <v>810</v>
      </c>
      <c r="Z127" s="777">
        <v>0</v>
      </c>
      <c r="AA127" s="777" t="s">
        <v>648</v>
      </c>
      <c r="AB127" s="777">
        <v>515</v>
      </c>
      <c r="AC127" s="777" t="s">
        <v>649</v>
      </c>
      <c r="AD127" s="777">
        <v>1385</v>
      </c>
      <c r="AE127" s="777">
        <v>1022</v>
      </c>
      <c r="AF127" s="777">
        <v>0.63585523</v>
      </c>
      <c r="AG127" s="777">
        <v>0.58045405</v>
      </c>
      <c r="AH127" s="777">
        <v>0.48019237</v>
      </c>
      <c r="AI127" s="777">
        <v>1550</v>
      </c>
      <c r="AJ127" s="777">
        <v>110000</v>
      </c>
      <c r="AK127" s="777">
        <v>110000</v>
      </c>
      <c r="AL127" s="778">
        <v>0.005</v>
      </c>
    </row>
    <row r="128" spans="1:38" ht="15" customHeight="1">
      <c r="A128" s="775">
        <v>885</v>
      </c>
      <c r="B128" s="776" t="s">
        <v>329</v>
      </c>
      <c r="C128" s="777">
        <v>3500</v>
      </c>
      <c r="D128" s="777">
        <v>4600</v>
      </c>
      <c r="E128" s="777">
        <v>5100</v>
      </c>
      <c r="F128" s="777">
        <v>4800</v>
      </c>
      <c r="G128" s="777">
        <v>2746.99</v>
      </c>
      <c r="H128" s="777">
        <v>3862.65</v>
      </c>
      <c r="I128" s="777">
        <v>4385.81</v>
      </c>
      <c r="J128" s="777">
        <v>440</v>
      </c>
      <c r="K128" s="777">
        <v>440</v>
      </c>
      <c r="L128" s="777">
        <v>540</v>
      </c>
      <c r="M128" s="777">
        <v>785</v>
      </c>
      <c r="N128" s="777">
        <v>200</v>
      </c>
      <c r="O128" s="777">
        <v>290</v>
      </c>
      <c r="P128" s="777">
        <v>240</v>
      </c>
      <c r="Q128" s="777">
        <v>390</v>
      </c>
      <c r="R128" s="777">
        <v>360</v>
      </c>
      <c r="S128" s="777">
        <v>515</v>
      </c>
      <c r="T128" s="777">
        <v>390</v>
      </c>
      <c r="U128" s="777">
        <v>560</v>
      </c>
      <c r="V128" s="777">
        <v>420</v>
      </c>
      <c r="W128" s="777">
        <v>600</v>
      </c>
      <c r="X128" s="777">
        <v>575</v>
      </c>
      <c r="Y128" s="777">
        <v>810</v>
      </c>
      <c r="Z128" s="777">
        <v>0</v>
      </c>
      <c r="AA128" s="777" t="s">
        <v>646</v>
      </c>
      <c r="AB128" s="777">
        <v>515</v>
      </c>
      <c r="AC128" s="777" t="s">
        <v>647</v>
      </c>
      <c r="AD128" s="777">
        <v>1385</v>
      </c>
      <c r="AE128" s="777">
        <v>1022</v>
      </c>
      <c r="AF128" s="777">
        <v>0.63585523</v>
      </c>
      <c r="AG128" s="777">
        <v>0.58045405</v>
      </c>
      <c r="AH128" s="777">
        <v>0.48019237</v>
      </c>
      <c r="AI128" s="777">
        <v>1550</v>
      </c>
      <c r="AJ128" s="777">
        <v>110000</v>
      </c>
      <c r="AK128" s="777">
        <v>110000</v>
      </c>
      <c r="AL128" s="778">
        <v>0.005</v>
      </c>
    </row>
    <row r="129" spans="1:38" ht="15" customHeight="1">
      <c r="A129" s="775">
        <v>886</v>
      </c>
      <c r="B129" s="776" t="s">
        <v>242</v>
      </c>
      <c r="C129" s="777">
        <v>3400</v>
      </c>
      <c r="D129" s="777" t="s">
        <v>352</v>
      </c>
      <c r="E129" s="777" t="s">
        <v>352</v>
      </c>
      <c r="F129" s="777">
        <v>4700</v>
      </c>
      <c r="G129" s="777">
        <v>2748.8854231</v>
      </c>
      <c r="H129" s="777">
        <v>3865.3152285000006</v>
      </c>
      <c r="I129" s="777">
        <v>4388.8362089000011</v>
      </c>
      <c r="J129" s="777">
        <v>440.3036</v>
      </c>
      <c r="K129" s="777">
        <v>440.3036</v>
      </c>
      <c r="L129" s="777">
        <v>324.22356000000008</v>
      </c>
      <c r="M129" s="777">
        <v>471.32498999999996</v>
      </c>
      <c r="N129" s="777">
        <v>200.138</v>
      </c>
      <c r="O129" s="777">
        <v>290.2001</v>
      </c>
      <c r="P129" s="777">
        <v>240.1656</v>
      </c>
      <c r="Q129" s="777">
        <v>390.26910000000004</v>
      </c>
      <c r="R129" s="777">
        <v>360.2484</v>
      </c>
      <c r="S129" s="777">
        <v>515.35535</v>
      </c>
      <c r="T129" s="777">
        <v>390.26910000000004</v>
      </c>
      <c r="U129" s="777">
        <v>560.38640000000009</v>
      </c>
      <c r="V129" s="777">
        <v>420.2898</v>
      </c>
      <c r="W129" s="777">
        <v>600.4140000000001</v>
      </c>
      <c r="X129" s="777">
        <v>575.39675</v>
      </c>
      <c r="Y129" s="777">
        <v>810.55890000000011</v>
      </c>
      <c r="Z129" s="777" t="s">
        <v>352</v>
      </c>
      <c r="AA129" s="777" t="s">
        <v>646</v>
      </c>
      <c r="AB129" s="777">
        <v>515.35535</v>
      </c>
      <c r="AC129" s="777" t="s">
        <v>647</v>
      </c>
      <c r="AD129" s="777">
        <v>1385.95565</v>
      </c>
      <c r="AE129" s="777">
        <v>733.906354202105</v>
      </c>
      <c r="AF129" s="777">
        <v>0.63585523</v>
      </c>
      <c r="AG129" s="777">
        <v>0.58045405</v>
      </c>
      <c r="AH129" s="777">
        <v>0.48019237</v>
      </c>
      <c r="AI129" s="777">
        <v>1194.0209856545603</v>
      </c>
      <c r="AJ129" s="777">
        <v>120082.8</v>
      </c>
      <c r="AK129" s="777">
        <v>120082.8</v>
      </c>
      <c r="AL129" s="778">
        <v>-0.015</v>
      </c>
    </row>
    <row r="130" spans="1:38" ht="15" customHeight="1">
      <c r="A130" s="775">
        <v>887</v>
      </c>
      <c r="B130" s="776" t="s">
        <v>257</v>
      </c>
      <c r="C130" s="777">
        <v>3500</v>
      </c>
      <c r="D130" s="777">
        <v>4600</v>
      </c>
      <c r="E130" s="777">
        <v>5100</v>
      </c>
      <c r="F130" s="777">
        <v>4800</v>
      </c>
      <c r="G130" s="777">
        <v>2847</v>
      </c>
      <c r="H130" s="777">
        <v>3863</v>
      </c>
      <c r="I130" s="777">
        <v>4386</v>
      </c>
      <c r="J130" s="777">
        <v>440</v>
      </c>
      <c r="K130" s="777">
        <v>440</v>
      </c>
      <c r="L130" s="777">
        <v>540</v>
      </c>
      <c r="M130" s="777">
        <v>785</v>
      </c>
      <c r="N130" s="777">
        <v>200</v>
      </c>
      <c r="O130" s="777">
        <v>290</v>
      </c>
      <c r="P130" s="777">
        <v>240</v>
      </c>
      <c r="Q130" s="777">
        <v>390</v>
      </c>
      <c r="R130" s="777">
        <v>360</v>
      </c>
      <c r="S130" s="777">
        <v>515</v>
      </c>
      <c r="T130" s="777">
        <v>390</v>
      </c>
      <c r="U130" s="777">
        <v>560</v>
      </c>
      <c r="V130" s="777">
        <v>420</v>
      </c>
      <c r="W130" s="777">
        <v>600</v>
      </c>
      <c r="X130" s="777">
        <v>575</v>
      </c>
      <c r="Y130" s="777">
        <v>810</v>
      </c>
      <c r="Z130" s="777">
        <v>0</v>
      </c>
      <c r="AA130" s="777" t="s">
        <v>646</v>
      </c>
      <c r="AB130" s="777">
        <v>515</v>
      </c>
      <c r="AC130" s="777" t="s">
        <v>647</v>
      </c>
      <c r="AD130" s="777">
        <v>1385</v>
      </c>
      <c r="AE130" s="777">
        <v>511</v>
      </c>
      <c r="AF130" s="777">
        <v>0.63585523</v>
      </c>
      <c r="AG130" s="777">
        <v>0.58045405</v>
      </c>
      <c r="AH130" s="777">
        <v>0.48019237</v>
      </c>
      <c r="AI130" s="777">
        <v>1550</v>
      </c>
      <c r="AJ130" s="777">
        <v>75000</v>
      </c>
      <c r="AK130" s="777">
        <v>75000</v>
      </c>
      <c r="AL130" s="778">
        <v>-0.015</v>
      </c>
    </row>
    <row r="131" spans="1:38" ht="15" customHeight="1">
      <c r="A131" s="775">
        <v>888</v>
      </c>
      <c r="B131" s="776" t="s">
        <v>248</v>
      </c>
      <c r="C131" s="777">
        <v>3500</v>
      </c>
      <c r="D131" s="777">
        <v>4600</v>
      </c>
      <c r="E131" s="777">
        <v>5100</v>
      </c>
      <c r="F131" s="777">
        <v>4800</v>
      </c>
      <c r="G131" s="777">
        <v>2746.99</v>
      </c>
      <c r="H131" s="777">
        <v>3862.65</v>
      </c>
      <c r="I131" s="777">
        <v>4385.81</v>
      </c>
      <c r="J131" s="777">
        <v>440</v>
      </c>
      <c r="K131" s="777">
        <v>440</v>
      </c>
      <c r="L131" s="777">
        <v>540</v>
      </c>
      <c r="M131" s="777">
        <v>785</v>
      </c>
      <c r="N131" s="777">
        <v>200</v>
      </c>
      <c r="O131" s="777">
        <v>290</v>
      </c>
      <c r="P131" s="777">
        <v>240</v>
      </c>
      <c r="Q131" s="777">
        <v>390</v>
      </c>
      <c r="R131" s="777">
        <v>360</v>
      </c>
      <c r="S131" s="777">
        <v>515</v>
      </c>
      <c r="T131" s="777">
        <v>390</v>
      </c>
      <c r="U131" s="777">
        <v>560</v>
      </c>
      <c r="V131" s="777">
        <v>420</v>
      </c>
      <c r="W131" s="777">
        <v>600</v>
      </c>
      <c r="X131" s="777">
        <v>575</v>
      </c>
      <c r="Y131" s="777">
        <v>810</v>
      </c>
      <c r="Z131" s="777" t="s">
        <v>352</v>
      </c>
      <c r="AA131" s="777" t="s">
        <v>646</v>
      </c>
      <c r="AB131" s="777">
        <v>515</v>
      </c>
      <c r="AC131" s="777" t="s">
        <v>647</v>
      </c>
      <c r="AD131" s="777">
        <v>1385</v>
      </c>
      <c r="AE131" s="777">
        <v>1022</v>
      </c>
      <c r="AF131" s="777">
        <v>0.63585523</v>
      </c>
      <c r="AG131" s="777">
        <v>0.58045405</v>
      </c>
      <c r="AH131" s="777">
        <v>0.48019237</v>
      </c>
      <c r="AI131" s="777">
        <v>1550</v>
      </c>
      <c r="AJ131" s="777">
        <v>110000</v>
      </c>
      <c r="AK131" s="777">
        <v>110000</v>
      </c>
      <c r="AL131" s="778">
        <v>-0.015</v>
      </c>
    </row>
    <row r="132" spans="1:38" ht="15" customHeight="1">
      <c r="A132" s="775">
        <v>889</v>
      </c>
      <c r="B132" s="776" t="s">
        <v>184</v>
      </c>
      <c r="C132" s="777">
        <v>3500</v>
      </c>
      <c r="D132" s="777">
        <v>4600</v>
      </c>
      <c r="E132" s="777">
        <v>5100</v>
      </c>
      <c r="F132" s="777">
        <v>4800</v>
      </c>
      <c r="G132" s="777">
        <v>2865.11</v>
      </c>
      <c r="H132" s="777">
        <v>4248.92</v>
      </c>
      <c r="I132" s="777">
        <v>4824.39</v>
      </c>
      <c r="J132" s="777">
        <v>200</v>
      </c>
      <c r="K132" s="777">
        <v>200</v>
      </c>
      <c r="L132" s="777">
        <v>540</v>
      </c>
      <c r="M132" s="777">
        <v>785</v>
      </c>
      <c r="N132" s="777">
        <v>200</v>
      </c>
      <c r="O132" s="777">
        <v>290</v>
      </c>
      <c r="P132" s="777">
        <v>240</v>
      </c>
      <c r="Q132" s="777">
        <v>390</v>
      </c>
      <c r="R132" s="777">
        <v>360</v>
      </c>
      <c r="S132" s="777">
        <v>515</v>
      </c>
      <c r="T132" s="777">
        <v>390</v>
      </c>
      <c r="U132" s="777">
        <v>560</v>
      </c>
      <c r="V132" s="777">
        <v>420</v>
      </c>
      <c r="W132" s="777">
        <v>600</v>
      </c>
      <c r="X132" s="777">
        <v>575</v>
      </c>
      <c r="Y132" s="777">
        <v>810</v>
      </c>
      <c r="Z132" s="777">
        <v>200</v>
      </c>
      <c r="AA132" s="777" t="s">
        <v>646</v>
      </c>
      <c r="AB132" s="777">
        <v>515</v>
      </c>
      <c r="AC132" s="777" t="s">
        <v>647</v>
      </c>
      <c r="AD132" s="777">
        <v>1385</v>
      </c>
      <c r="AE132" s="777">
        <v>1022</v>
      </c>
      <c r="AF132" s="777">
        <v>0.63585523</v>
      </c>
      <c r="AG132" s="777">
        <v>0.58045405</v>
      </c>
      <c r="AH132" s="777">
        <v>0.48019237</v>
      </c>
      <c r="AI132" s="777">
        <v>1550</v>
      </c>
      <c r="AJ132" s="777">
        <v>112500</v>
      </c>
      <c r="AK132" s="777">
        <v>112500</v>
      </c>
      <c r="AL132" s="778">
        <v>-0.015</v>
      </c>
    </row>
    <row r="133" spans="1:38" ht="15" customHeight="1">
      <c r="A133" s="775">
        <v>890</v>
      </c>
      <c r="B133" s="776" t="s">
        <v>186</v>
      </c>
      <c r="C133" s="777">
        <v>3500</v>
      </c>
      <c r="D133" s="777" t="s">
        <v>352</v>
      </c>
      <c r="E133" s="777" t="s">
        <v>352</v>
      </c>
      <c r="F133" s="777">
        <v>4800</v>
      </c>
      <c r="G133" s="777">
        <v>2747</v>
      </c>
      <c r="H133" s="777">
        <v>3863</v>
      </c>
      <c r="I133" s="777">
        <v>4386</v>
      </c>
      <c r="J133" s="777">
        <v>440</v>
      </c>
      <c r="K133" s="777">
        <v>440</v>
      </c>
      <c r="L133" s="777">
        <v>540</v>
      </c>
      <c r="M133" s="777">
        <v>785</v>
      </c>
      <c r="N133" s="777">
        <v>200</v>
      </c>
      <c r="O133" s="777">
        <v>290</v>
      </c>
      <c r="P133" s="777">
        <v>240</v>
      </c>
      <c r="Q133" s="777">
        <v>390</v>
      </c>
      <c r="R133" s="777">
        <v>360</v>
      </c>
      <c r="S133" s="777">
        <v>515</v>
      </c>
      <c r="T133" s="777">
        <v>390</v>
      </c>
      <c r="U133" s="777">
        <v>560</v>
      </c>
      <c r="V133" s="777">
        <v>420</v>
      </c>
      <c r="W133" s="777">
        <v>600</v>
      </c>
      <c r="X133" s="777">
        <v>575</v>
      </c>
      <c r="Y133" s="777">
        <v>810</v>
      </c>
      <c r="Z133" s="777">
        <v>0</v>
      </c>
      <c r="AA133" s="777" t="s">
        <v>646</v>
      </c>
      <c r="AB133" s="777">
        <v>515</v>
      </c>
      <c r="AC133" s="777" t="s">
        <v>647</v>
      </c>
      <c r="AD133" s="777">
        <v>1385</v>
      </c>
      <c r="AE133" s="777">
        <v>1022</v>
      </c>
      <c r="AF133" s="777">
        <v>0.63585523</v>
      </c>
      <c r="AG133" s="777">
        <v>0.58045405</v>
      </c>
      <c r="AH133" s="777">
        <v>0.48019237</v>
      </c>
      <c r="AI133" s="777">
        <v>1550</v>
      </c>
      <c r="AJ133" s="777">
        <v>110000</v>
      </c>
      <c r="AK133" s="777">
        <v>110000</v>
      </c>
      <c r="AL133" s="778">
        <v>0.005</v>
      </c>
    </row>
    <row r="134" spans="1:38" ht="15" customHeight="1">
      <c r="A134" s="775">
        <v>891</v>
      </c>
      <c r="B134" s="776" t="s">
        <v>272</v>
      </c>
      <c r="C134" s="777">
        <v>3400</v>
      </c>
      <c r="D134" s="777">
        <v>4500</v>
      </c>
      <c r="E134" s="777">
        <v>5000</v>
      </c>
      <c r="F134" s="777">
        <v>4700</v>
      </c>
      <c r="G134" s="777">
        <v>2754.4343428999996</v>
      </c>
      <c r="H134" s="777">
        <v>3873.1177815</v>
      </c>
      <c r="I134" s="777">
        <v>4397.6955451</v>
      </c>
      <c r="J134" s="777">
        <v>441.1924</v>
      </c>
      <c r="K134" s="777">
        <v>441.1924</v>
      </c>
      <c r="L134" s="777">
        <v>541.4634</v>
      </c>
      <c r="M134" s="777">
        <v>787.12735</v>
      </c>
      <c r="N134" s="777">
        <v>200.542</v>
      </c>
      <c r="O134" s="777">
        <v>290.78589999999997</v>
      </c>
      <c r="P134" s="777">
        <v>240.6504</v>
      </c>
      <c r="Q134" s="777">
        <v>391.0569</v>
      </c>
      <c r="R134" s="777">
        <v>360.9756</v>
      </c>
      <c r="S134" s="777">
        <v>516.39565</v>
      </c>
      <c r="T134" s="777">
        <v>391.0569</v>
      </c>
      <c r="U134" s="777">
        <v>561.5176</v>
      </c>
      <c r="V134" s="777">
        <v>421.1382</v>
      </c>
      <c r="W134" s="777">
        <v>601.626</v>
      </c>
      <c r="X134" s="777">
        <v>576.55825</v>
      </c>
      <c r="Y134" s="777">
        <v>812.1951</v>
      </c>
      <c r="Z134" s="777">
        <v>0</v>
      </c>
      <c r="AA134" s="777" t="s">
        <v>646</v>
      </c>
      <c r="AB134" s="777">
        <v>516.39565</v>
      </c>
      <c r="AC134" s="777" t="s">
        <v>647</v>
      </c>
      <c r="AD134" s="777">
        <v>1388.75335</v>
      </c>
      <c r="AE134" s="777">
        <v>1024.76962</v>
      </c>
      <c r="AF134" s="777">
        <v>0.63585523</v>
      </c>
      <c r="AG134" s="777">
        <v>0.58045405</v>
      </c>
      <c r="AH134" s="777">
        <v>0.48019237</v>
      </c>
      <c r="AI134" s="777">
        <v>1554.2005</v>
      </c>
      <c r="AJ134" s="777">
        <v>110298.1</v>
      </c>
      <c r="AK134" s="777">
        <v>110298.1</v>
      </c>
      <c r="AL134" s="778">
        <v>0</v>
      </c>
    </row>
    <row r="135" spans="1:38" ht="15" customHeight="1">
      <c r="A135" s="775">
        <v>892</v>
      </c>
      <c r="B135" s="776" t="s">
        <v>271</v>
      </c>
      <c r="C135" s="777">
        <v>3500</v>
      </c>
      <c r="D135" s="777" t="s">
        <v>352</v>
      </c>
      <c r="E135" s="777">
        <v>5100</v>
      </c>
      <c r="F135" s="777">
        <v>4800</v>
      </c>
      <c r="G135" s="777">
        <v>2754.43</v>
      </c>
      <c r="H135" s="777">
        <v>3873.12</v>
      </c>
      <c r="I135" s="777">
        <v>4397.7</v>
      </c>
      <c r="J135" s="777">
        <v>441.19</v>
      </c>
      <c r="K135" s="777">
        <v>441.19</v>
      </c>
      <c r="L135" s="777">
        <v>541.46</v>
      </c>
      <c r="M135" s="777">
        <v>787.13</v>
      </c>
      <c r="N135" s="777">
        <v>200.54</v>
      </c>
      <c r="O135" s="777">
        <v>290.79</v>
      </c>
      <c r="P135" s="777">
        <v>240.65</v>
      </c>
      <c r="Q135" s="777">
        <v>391.06</v>
      </c>
      <c r="R135" s="777">
        <v>360.98</v>
      </c>
      <c r="S135" s="777">
        <v>516.4</v>
      </c>
      <c r="T135" s="777">
        <v>391.06</v>
      </c>
      <c r="U135" s="777">
        <v>561.52</v>
      </c>
      <c r="V135" s="777">
        <v>421.14</v>
      </c>
      <c r="W135" s="777">
        <v>601.63</v>
      </c>
      <c r="X135" s="777">
        <v>576.56</v>
      </c>
      <c r="Y135" s="777">
        <v>812.2</v>
      </c>
      <c r="Z135" s="777" t="s">
        <v>352</v>
      </c>
      <c r="AA135" s="777" t="s">
        <v>646</v>
      </c>
      <c r="AB135" s="777">
        <v>516.4</v>
      </c>
      <c r="AC135" s="777" t="s">
        <v>647</v>
      </c>
      <c r="AD135" s="777">
        <v>1388.75</v>
      </c>
      <c r="AE135" s="777">
        <v>1024.77</v>
      </c>
      <c r="AF135" s="777">
        <v>0.63585523</v>
      </c>
      <c r="AG135" s="777">
        <v>0.58045405</v>
      </c>
      <c r="AH135" s="777">
        <v>0.48019237</v>
      </c>
      <c r="AI135" s="777">
        <v>1554.2</v>
      </c>
      <c r="AJ135" s="777">
        <v>110298.28</v>
      </c>
      <c r="AK135" s="777">
        <v>110298.28</v>
      </c>
      <c r="AL135" s="778">
        <v>0.005</v>
      </c>
    </row>
    <row r="136" spans="1:38" ht="15" customHeight="1">
      <c r="A136" s="775">
        <v>893</v>
      </c>
      <c r="B136" s="776" t="s">
        <v>289</v>
      </c>
      <c r="C136" s="533">
        <v>3500</v>
      </c>
      <c r="D136" s="533" t="s">
        <v>352</v>
      </c>
      <c r="E136" s="533" t="s">
        <v>352</v>
      </c>
      <c r="F136" s="533">
        <v>4800</v>
      </c>
      <c r="G136" s="533">
        <v>2746.99</v>
      </c>
      <c r="H136" s="533">
        <v>3862.65</v>
      </c>
      <c r="I136" s="533">
        <v>4385.81</v>
      </c>
      <c r="J136" s="533">
        <v>440</v>
      </c>
      <c r="K136" s="533">
        <v>440</v>
      </c>
      <c r="L136" s="533">
        <v>540</v>
      </c>
      <c r="M136" s="533">
        <v>785</v>
      </c>
      <c r="N136" s="533">
        <v>200</v>
      </c>
      <c r="O136" s="533">
        <v>290</v>
      </c>
      <c r="P136" s="533">
        <v>240</v>
      </c>
      <c r="Q136" s="533">
        <v>390</v>
      </c>
      <c r="R136" s="533">
        <v>360</v>
      </c>
      <c r="S136" s="533">
        <v>515</v>
      </c>
      <c r="T136" s="533">
        <v>390</v>
      </c>
      <c r="U136" s="533">
        <v>560</v>
      </c>
      <c r="V136" s="533">
        <v>420</v>
      </c>
      <c r="W136" s="533">
        <v>600</v>
      </c>
      <c r="X136" s="533">
        <v>575</v>
      </c>
      <c r="Y136" s="533">
        <v>810</v>
      </c>
      <c r="Z136" s="533" t="s">
        <v>352</v>
      </c>
      <c r="AA136" s="533" t="s">
        <v>646</v>
      </c>
      <c r="AB136" s="533">
        <v>515</v>
      </c>
      <c r="AC136" s="533" t="s">
        <v>647</v>
      </c>
      <c r="AD136" s="533">
        <v>1385</v>
      </c>
      <c r="AE136" s="533">
        <v>1022</v>
      </c>
      <c r="AF136" s="533">
        <v>0.63585523</v>
      </c>
      <c r="AG136" s="533">
        <v>0.58045405</v>
      </c>
      <c r="AH136" s="533">
        <v>0.48019237</v>
      </c>
      <c r="AI136" s="533">
        <v>1550</v>
      </c>
      <c r="AJ136" s="533">
        <v>110000</v>
      </c>
      <c r="AK136" s="533">
        <v>110000</v>
      </c>
      <c r="AL136" s="779">
        <v>-0.015</v>
      </c>
    </row>
    <row r="137" spans="1:38" ht="15" customHeight="1">
      <c r="A137" s="775">
        <v>894</v>
      </c>
      <c r="B137" s="776" t="s">
        <v>309</v>
      </c>
      <c r="C137" s="777">
        <v>3500</v>
      </c>
      <c r="D137" s="777" t="s">
        <v>352</v>
      </c>
      <c r="E137" s="777" t="s">
        <v>352</v>
      </c>
      <c r="F137" s="777">
        <v>4800</v>
      </c>
      <c r="G137" s="777">
        <v>2712.081</v>
      </c>
      <c r="H137" s="777">
        <v>3813.89</v>
      </c>
      <c r="I137" s="777">
        <v>4330.27</v>
      </c>
      <c r="J137" s="777">
        <v>434.4082</v>
      </c>
      <c r="K137" s="777">
        <v>434.4082</v>
      </c>
      <c r="L137" s="777">
        <v>533.1373</v>
      </c>
      <c r="M137" s="777">
        <v>775.0237</v>
      </c>
      <c r="N137" s="777">
        <v>197.4583</v>
      </c>
      <c r="O137" s="777">
        <v>286.3145</v>
      </c>
      <c r="P137" s="777">
        <v>236.9499</v>
      </c>
      <c r="Q137" s="777">
        <v>385.0436</v>
      </c>
      <c r="R137" s="777">
        <v>355.4249</v>
      </c>
      <c r="S137" s="777">
        <v>508.455</v>
      </c>
      <c r="T137" s="777">
        <v>385.0436</v>
      </c>
      <c r="U137" s="777">
        <v>552.8831</v>
      </c>
      <c r="V137" s="777">
        <v>414.6623</v>
      </c>
      <c r="W137" s="777">
        <v>592.3748</v>
      </c>
      <c r="X137" s="777">
        <v>567.6925</v>
      </c>
      <c r="Y137" s="777">
        <v>799.706</v>
      </c>
      <c r="Z137" s="777">
        <v>0</v>
      </c>
      <c r="AA137" s="777" t="s">
        <v>646</v>
      </c>
      <c r="AB137" s="777">
        <v>508.455</v>
      </c>
      <c r="AC137" s="777" t="s">
        <v>647</v>
      </c>
      <c r="AD137" s="777">
        <v>1367.3985</v>
      </c>
      <c r="AE137" s="777">
        <v>1036.6559</v>
      </c>
      <c r="AF137" s="777">
        <v>0.63585523</v>
      </c>
      <c r="AG137" s="777">
        <v>0.58045405</v>
      </c>
      <c r="AH137" s="777">
        <v>0.48019237</v>
      </c>
      <c r="AI137" s="777">
        <v>1530.3015</v>
      </c>
      <c r="AJ137" s="777">
        <v>110000</v>
      </c>
      <c r="AK137" s="777">
        <v>110000</v>
      </c>
      <c r="AL137" s="778">
        <v>0</v>
      </c>
    </row>
    <row r="138" spans="1:38" ht="15" customHeight="1">
      <c r="A138" s="775">
        <v>895</v>
      </c>
      <c r="B138" s="776" t="s">
        <v>202</v>
      </c>
      <c r="C138" s="777">
        <v>3500</v>
      </c>
      <c r="D138" s="777" t="s">
        <v>352</v>
      </c>
      <c r="E138" s="777" t="s">
        <v>352</v>
      </c>
      <c r="F138" s="777">
        <v>4800</v>
      </c>
      <c r="G138" s="777">
        <v>2930.57</v>
      </c>
      <c r="H138" s="777">
        <v>4021.12</v>
      </c>
      <c r="I138" s="777">
        <v>4807.59</v>
      </c>
      <c r="J138" s="777">
        <v>226.63</v>
      </c>
      <c r="K138" s="777">
        <v>226.63</v>
      </c>
      <c r="L138" s="777">
        <v>0</v>
      </c>
      <c r="M138" s="777">
        <v>0</v>
      </c>
      <c r="N138" s="777">
        <v>0</v>
      </c>
      <c r="O138" s="777">
        <v>0</v>
      </c>
      <c r="P138" s="777">
        <v>250</v>
      </c>
      <c r="Q138" s="777">
        <v>250</v>
      </c>
      <c r="R138" s="777">
        <v>500</v>
      </c>
      <c r="S138" s="777">
        <v>500</v>
      </c>
      <c r="T138" s="777">
        <v>750</v>
      </c>
      <c r="U138" s="777">
        <v>750</v>
      </c>
      <c r="V138" s="777">
        <v>1000</v>
      </c>
      <c r="W138" s="777">
        <v>1000</v>
      </c>
      <c r="X138" s="777">
        <v>1250</v>
      </c>
      <c r="Y138" s="777">
        <v>1250</v>
      </c>
      <c r="Z138" s="777">
        <v>0</v>
      </c>
      <c r="AA138" s="777" t="s">
        <v>648</v>
      </c>
      <c r="AB138" s="777">
        <v>500</v>
      </c>
      <c r="AC138" s="777" t="s">
        <v>649</v>
      </c>
      <c r="AD138" s="777">
        <v>500</v>
      </c>
      <c r="AE138" s="777">
        <v>1069.73</v>
      </c>
      <c r="AF138" s="777">
        <v>0.63585523</v>
      </c>
      <c r="AG138" s="777">
        <v>0.58045405</v>
      </c>
      <c r="AH138" s="777">
        <v>0.48019237</v>
      </c>
      <c r="AI138" s="777">
        <v>1390.55</v>
      </c>
      <c r="AJ138" s="777">
        <v>115000</v>
      </c>
      <c r="AK138" s="777">
        <v>115000</v>
      </c>
      <c r="AL138" s="778">
        <v>-0.015</v>
      </c>
    </row>
    <row r="139" spans="1:38" ht="15" customHeight="1">
      <c r="A139" s="775">
        <v>896</v>
      </c>
      <c r="B139" s="776" t="s">
        <v>652</v>
      </c>
      <c r="C139" s="777">
        <v>3500</v>
      </c>
      <c r="D139" s="777" t="s">
        <v>352</v>
      </c>
      <c r="E139" s="777">
        <v>5100</v>
      </c>
      <c r="F139" s="777">
        <v>4800</v>
      </c>
      <c r="G139" s="777">
        <v>2841.51</v>
      </c>
      <c r="H139" s="777">
        <v>3952.18</v>
      </c>
      <c r="I139" s="777">
        <v>4477.01</v>
      </c>
      <c r="J139" s="777">
        <v>441.57</v>
      </c>
      <c r="K139" s="777">
        <v>441.57</v>
      </c>
      <c r="L139" s="777">
        <v>541.88</v>
      </c>
      <c r="M139" s="777">
        <v>787.79</v>
      </c>
      <c r="N139" s="777">
        <v>200.71</v>
      </c>
      <c r="O139" s="777">
        <v>291.03</v>
      </c>
      <c r="P139" s="777">
        <v>240.8544</v>
      </c>
      <c r="Q139" s="777">
        <v>391.3884</v>
      </c>
      <c r="R139" s="777">
        <v>361.2816</v>
      </c>
      <c r="S139" s="777">
        <v>516.8334</v>
      </c>
      <c r="T139" s="777">
        <v>391.3884</v>
      </c>
      <c r="U139" s="777">
        <v>561.9936</v>
      </c>
      <c r="V139" s="777">
        <v>421.4952</v>
      </c>
      <c r="W139" s="777">
        <v>602.136</v>
      </c>
      <c r="X139" s="777">
        <v>577.047</v>
      </c>
      <c r="Y139" s="777">
        <v>812.8836</v>
      </c>
      <c r="Z139" s="777">
        <v>0</v>
      </c>
      <c r="AA139" s="777" t="s">
        <v>646</v>
      </c>
      <c r="AB139" s="777">
        <v>516.83</v>
      </c>
      <c r="AC139" s="777" t="s">
        <v>647</v>
      </c>
      <c r="AD139" s="777">
        <v>1389.93</v>
      </c>
      <c r="AE139" s="777">
        <v>1081.1</v>
      </c>
      <c r="AF139" s="777">
        <v>0.63585523</v>
      </c>
      <c r="AG139" s="777">
        <v>0.58045405</v>
      </c>
      <c r="AH139" s="777">
        <v>0.48019237</v>
      </c>
      <c r="AI139" s="777">
        <v>1610.98</v>
      </c>
      <c r="AJ139" s="777">
        <v>110391.6</v>
      </c>
      <c r="AK139" s="777">
        <v>110391.6</v>
      </c>
      <c r="AL139" s="778">
        <v>-0.015</v>
      </c>
    </row>
    <row r="140" spans="1:38" ht="15" customHeight="1">
      <c r="A140" s="775">
        <v>908</v>
      </c>
      <c r="B140" s="776" t="s">
        <v>204</v>
      </c>
      <c r="C140" s="777">
        <v>3500</v>
      </c>
      <c r="D140" s="777">
        <v>0</v>
      </c>
      <c r="E140" s="777">
        <v>0</v>
      </c>
      <c r="F140" s="777">
        <v>4800</v>
      </c>
      <c r="G140" s="777">
        <v>2871.3</v>
      </c>
      <c r="H140" s="777">
        <v>3863</v>
      </c>
      <c r="I140" s="777">
        <v>4596.84</v>
      </c>
      <c r="J140" s="777">
        <v>293.33</v>
      </c>
      <c r="K140" s="777">
        <v>293.33</v>
      </c>
      <c r="L140" s="777">
        <v>473.39</v>
      </c>
      <c r="M140" s="777">
        <v>630.2</v>
      </c>
      <c r="N140" s="777">
        <v>330</v>
      </c>
      <c r="O140" s="777">
        <v>403.33</v>
      </c>
      <c r="P140" s="777">
        <v>386.67</v>
      </c>
      <c r="Q140" s="777">
        <v>575</v>
      </c>
      <c r="R140" s="777">
        <v>516.67</v>
      </c>
      <c r="S140" s="777">
        <v>868.33</v>
      </c>
      <c r="T140" s="777">
        <v>593.33</v>
      </c>
      <c r="U140" s="777">
        <v>1143.33</v>
      </c>
      <c r="V140" s="777">
        <v>706.67</v>
      </c>
      <c r="W140" s="777">
        <v>1286.67</v>
      </c>
      <c r="X140" s="777">
        <v>870</v>
      </c>
      <c r="Y140" s="777">
        <v>1486.67</v>
      </c>
      <c r="Z140" s="777">
        <v>0</v>
      </c>
      <c r="AA140" s="777" t="s">
        <v>646</v>
      </c>
      <c r="AB140" s="777">
        <v>384.05</v>
      </c>
      <c r="AC140" s="777" t="s">
        <v>647</v>
      </c>
      <c r="AD140" s="777">
        <v>1011.06</v>
      </c>
      <c r="AE140" s="777">
        <v>302.29520612314582</v>
      </c>
      <c r="AF140" s="777">
        <v>0.63585523</v>
      </c>
      <c r="AG140" s="777">
        <v>0.58045405</v>
      </c>
      <c r="AH140" s="777">
        <v>0.48019237</v>
      </c>
      <c r="AI140" s="777">
        <v>1191.47</v>
      </c>
      <c r="AJ140" s="777">
        <v>101000</v>
      </c>
      <c r="AK140" s="777">
        <v>113333.33</v>
      </c>
      <c r="AL140" s="778">
        <v>0.005</v>
      </c>
    </row>
    <row r="141" spans="1:38" ht="15" customHeight="1">
      <c r="A141" s="775">
        <v>909</v>
      </c>
      <c r="B141" s="776" t="s">
        <v>207</v>
      </c>
      <c r="C141" s="777">
        <v>3500</v>
      </c>
      <c r="D141" s="777">
        <v>4600</v>
      </c>
      <c r="E141" s="777">
        <v>5100</v>
      </c>
      <c r="F141" s="777">
        <v>4800</v>
      </c>
      <c r="G141" s="777">
        <v>2746.99</v>
      </c>
      <c r="H141" s="777">
        <v>3862.65</v>
      </c>
      <c r="I141" s="777">
        <v>4385.81</v>
      </c>
      <c r="J141" s="777">
        <v>440</v>
      </c>
      <c r="K141" s="777">
        <v>440</v>
      </c>
      <c r="L141" s="777">
        <v>540</v>
      </c>
      <c r="M141" s="777">
        <v>785</v>
      </c>
      <c r="N141" s="777">
        <v>200</v>
      </c>
      <c r="O141" s="777">
        <v>290</v>
      </c>
      <c r="P141" s="777">
        <v>240</v>
      </c>
      <c r="Q141" s="777">
        <v>390</v>
      </c>
      <c r="R141" s="777">
        <v>360</v>
      </c>
      <c r="S141" s="777">
        <v>515</v>
      </c>
      <c r="T141" s="777">
        <v>390</v>
      </c>
      <c r="U141" s="777">
        <v>560</v>
      </c>
      <c r="V141" s="777">
        <v>420</v>
      </c>
      <c r="W141" s="777">
        <v>600</v>
      </c>
      <c r="X141" s="777">
        <v>575</v>
      </c>
      <c r="Y141" s="777">
        <v>810</v>
      </c>
      <c r="Z141" s="777">
        <v>0</v>
      </c>
      <c r="AA141" s="777" t="s">
        <v>646</v>
      </c>
      <c r="AB141" s="777">
        <v>515</v>
      </c>
      <c r="AC141" s="777" t="s">
        <v>647</v>
      </c>
      <c r="AD141" s="777">
        <v>1385</v>
      </c>
      <c r="AE141" s="777">
        <v>1022</v>
      </c>
      <c r="AF141" s="777">
        <v>0.63585523</v>
      </c>
      <c r="AG141" s="777">
        <v>0.58045405</v>
      </c>
      <c r="AH141" s="777">
        <v>0.48019237</v>
      </c>
      <c r="AI141" s="777">
        <v>1550</v>
      </c>
      <c r="AJ141" s="777">
        <v>110000</v>
      </c>
      <c r="AK141" s="777">
        <v>110000</v>
      </c>
      <c r="AL141" s="778">
        <v>0</v>
      </c>
    </row>
    <row r="142" spans="1:38" ht="15" customHeight="1">
      <c r="A142" s="775">
        <v>916</v>
      </c>
      <c r="B142" s="776" t="s">
        <v>224</v>
      </c>
      <c r="C142" s="777">
        <v>3483.73</v>
      </c>
      <c r="D142" s="777">
        <v>4600</v>
      </c>
      <c r="E142" s="777">
        <v>5076.29</v>
      </c>
      <c r="F142" s="777">
        <v>4777.69</v>
      </c>
      <c r="G142" s="777">
        <v>2751.1052271366216</v>
      </c>
      <c r="H142" s="777">
        <v>3868.43658171281</v>
      </c>
      <c r="I142" s="777">
        <v>4392.3803203608559</v>
      </c>
      <c r="J142" s="777">
        <v>440.65915782005527</v>
      </c>
      <c r="K142" s="777">
        <v>440.65915782005527</v>
      </c>
      <c r="L142" s="777">
        <v>540.80896641552238</v>
      </c>
      <c r="M142" s="777">
        <v>786.1759974744167</v>
      </c>
      <c r="N142" s="777">
        <v>200.29961719093419</v>
      </c>
      <c r="O142" s="777">
        <v>290.43444492685461</v>
      </c>
      <c r="P142" s="777">
        <v>240.35954062912103</v>
      </c>
      <c r="Q142" s="777">
        <v>390.58425352232172</v>
      </c>
      <c r="R142" s="777">
        <v>360.53931094368158</v>
      </c>
      <c r="S142" s="777">
        <v>515.77151426665557</v>
      </c>
      <c r="T142" s="777">
        <v>390.58425352232172</v>
      </c>
      <c r="U142" s="777">
        <v>560.8389281346158</v>
      </c>
      <c r="V142" s="777">
        <v>420.62919610096185</v>
      </c>
      <c r="W142" s="777">
        <v>600.89885157280264</v>
      </c>
      <c r="X142" s="777">
        <v>575.86139942393584</v>
      </c>
      <c r="Y142" s="777">
        <v>811.21344962328351</v>
      </c>
      <c r="Z142" s="777" t="s">
        <v>352</v>
      </c>
      <c r="AA142" s="777" t="s">
        <v>646</v>
      </c>
      <c r="AB142" s="777">
        <v>515.77151426665557</v>
      </c>
      <c r="AC142" s="777" t="s">
        <v>647</v>
      </c>
      <c r="AD142" s="777">
        <v>1387.0748490472192</v>
      </c>
      <c r="AE142" s="777">
        <v>1023.5310438456737</v>
      </c>
      <c r="AF142" s="777">
        <v>0.63585523</v>
      </c>
      <c r="AG142" s="777">
        <v>0.58045405</v>
      </c>
      <c r="AH142" s="777">
        <v>0.48019237</v>
      </c>
      <c r="AI142" s="777">
        <v>1552.32203322974</v>
      </c>
      <c r="AJ142" s="777">
        <v>110164.78945501382</v>
      </c>
      <c r="AK142" s="777">
        <v>110164.78945501382</v>
      </c>
      <c r="AL142" s="778">
        <v>0</v>
      </c>
    </row>
    <row r="143" spans="1:38" ht="15" customHeight="1">
      <c r="A143" s="775">
        <v>919</v>
      </c>
      <c r="B143" s="776" t="s">
        <v>235</v>
      </c>
      <c r="C143" s="777" t="s">
        <v>352</v>
      </c>
      <c r="D143" s="777" t="s">
        <v>352</v>
      </c>
      <c r="E143" s="777" t="s">
        <v>352</v>
      </c>
      <c r="F143" s="777" t="s">
        <v>352</v>
      </c>
      <c r="G143" s="777">
        <v>2811.24453843959</v>
      </c>
      <c r="H143" s="777">
        <v>3925.1960622416937</v>
      </c>
      <c r="I143" s="777">
        <v>5294.9273199131012</v>
      </c>
      <c r="J143" s="777">
        <v>2873.9402149706907</v>
      </c>
      <c r="K143" s="777">
        <v>2485.9251609253638</v>
      </c>
      <c r="L143" s="777" t="s">
        <v>352</v>
      </c>
      <c r="M143" s="777" t="s">
        <v>352</v>
      </c>
      <c r="N143" s="777">
        <v>0</v>
      </c>
      <c r="O143" s="777">
        <v>62.895279939700693</v>
      </c>
      <c r="P143" s="777">
        <v>107.97426758265118</v>
      </c>
      <c r="Q143" s="777">
        <v>125.3784458796417</v>
      </c>
      <c r="R143" s="777">
        <v>107.97426771237822</v>
      </c>
      <c r="S143" s="777">
        <v>125.3987657670324</v>
      </c>
      <c r="T143" s="777">
        <v>107.9742678421063</v>
      </c>
      <c r="U143" s="777">
        <v>260.7659872806563</v>
      </c>
      <c r="V143" s="777">
        <v>107.9742678421063</v>
      </c>
      <c r="W143" s="777">
        <v>1348.8512375850476</v>
      </c>
      <c r="X143" s="777">
        <v>332.85627106550805</v>
      </c>
      <c r="Y143" s="777">
        <v>1348.866708669548</v>
      </c>
      <c r="Z143" s="777">
        <v>1848.569784864055</v>
      </c>
      <c r="AA143" s="777" t="s">
        <v>646</v>
      </c>
      <c r="AB143" s="777">
        <v>280.23978525804262</v>
      </c>
      <c r="AC143" s="777" t="s">
        <v>647</v>
      </c>
      <c r="AD143" s="777">
        <v>1943.0468813277307</v>
      </c>
      <c r="AE143" s="777">
        <v>226.33469086158891</v>
      </c>
      <c r="AF143" s="777">
        <v>0.63585523</v>
      </c>
      <c r="AG143" s="777">
        <v>0.58045405</v>
      </c>
      <c r="AH143" s="777">
        <v>0.48019237</v>
      </c>
      <c r="AI143" s="777">
        <v>671.191217873716</v>
      </c>
      <c r="AJ143" s="777">
        <v>159149.83034363363</v>
      </c>
      <c r="AK143" s="777">
        <v>172190</v>
      </c>
      <c r="AL143" s="778">
        <v>-0.015</v>
      </c>
    </row>
    <row r="144" spans="1:38" ht="15" customHeight="1">
      <c r="A144" s="775">
        <v>921</v>
      </c>
      <c r="B144" s="776" t="s">
        <v>238</v>
      </c>
      <c r="C144" s="777">
        <v>3500</v>
      </c>
      <c r="D144" s="777" t="s">
        <v>352</v>
      </c>
      <c r="E144" s="777" t="s">
        <v>352</v>
      </c>
      <c r="F144" s="777">
        <v>4800</v>
      </c>
      <c r="G144" s="777">
        <v>2808</v>
      </c>
      <c r="H144" s="777">
        <v>3949</v>
      </c>
      <c r="I144" s="777">
        <v>4484</v>
      </c>
      <c r="J144" s="777">
        <v>451</v>
      </c>
      <c r="K144" s="777">
        <v>450</v>
      </c>
      <c r="L144" s="777">
        <v>552</v>
      </c>
      <c r="M144" s="777">
        <v>803</v>
      </c>
      <c r="N144" s="777">
        <v>205</v>
      </c>
      <c r="O144" s="777">
        <v>296</v>
      </c>
      <c r="P144" s="777">
        <v>245</v>
      </c>
      <c r="Q144" s="777">
        <v>399</v>
      </c>
      <c r="R144" s="777">
        <v>369</v>
      </c>
      <c r="S144" s="777">
        <v>526</v>
      </c>
      <c r="T144" s="777">
        <v>398</v>
      </c>
      <c r="U144" s="777">
        <v>574</v>
      </c>
      <c r="V144" s="777">
        <v>430</v>
      </c>
      <c r="W144" s="777">
        <v>614</v>
      </c>
      <c r="X144" s="777">
        <v>587</v>
      </c>
      <c r="Y144" s="777">
        <v>828</v>
      </c>
      <c r="Z144" s="777" t="s">
        <v>352</v>
      </c>
      <c r="AA144" s="777" t="s">
        <v>646</v>
      </c>
      <c r="AB144" s="777">
        <v>526</v>
      </c>
      <c r="AC144" s="777" t="s">
        <v>647</v>
      </c>
      <c r="AD144" s="777">
        <v>1416</v>
      </c>
      <c r="AE144" s="777">
        <v>1045</v>
      </c>
      <c r="AF144" s="777">
        <v>0.63585523</v>
      </c>
      <c r="AG144" s="777">
        <v>0.58045405</v>
      </c>
      <c r="AH144" s="777">
        <v>0.48019237</v>
      </c>
      <c r="AI144" s="777">
        <v>1583</v>
      </c>
      <c r="AJ144" s="777">
        <v>115500</v>
      </c>
      <c r="AK144" s="777">
        <v>115500</v>
      </c>
      <c r="AL144" s="778">
        <v>-0.015</v>
      </c>
    </row>
    <row r="145" spans="1:38" ht="15" customHeight="1">
      <c r="A145" s="775">
        <v>925</v>
      </c>
      <c r="B145" s="776" t="s">
        <v>253</v>
      </c>
      <c r="C145" s="777">
        <v>3500</v>
      </c>
      <c r="D145" s="777">
        <v>4600</v>
      </c>
      <c r="E145" s="777">
        <v>5100</v>
      </c>
      <c r="F145" s="777">
        <v>4800</v>
      </c>
      <c r="G145" s="777">
        <v>2746.99</v>
      </c>
      <c r="H145" s="777">
        <v>3862.65</v>
      </c>
      <c r="I145" s="777">
        <v>4385.81</v>
      </c>
      <c r="J145" s="777">
        <v>440</v>
      </c>
      <c r="K145" s="777">
        <v>440</v>
      </c>
      <c r="L145" s="777">
        <v>540</v>
      </c>
      <c r="M145" s="777">
        <v>785</v>
      </c>
      <c r="N145" s="777">
        <v>200</v>
      </c>
      <c r="O145" s="777">
        <v>290</v>
      </c>
      <c r="P145" s="777">
        <v>240</v>
      </c>
      <c r="Q145" s="777">
        <v>390</v>
      </c>
      <c r="R145" s="777">
        <v>360</v>
      </c>
      <c r="S145" s="777">
        <v>515</v>
      </c>
      <c r="T145" s="777">
        <v>390</v>
      </c>
      <c r="U145" s="777">
        <v>560</v>
      </c>
      <c r="V145" s="777">
        <v>420</v>
      </c>
      <c r="W145" s="777">
        <v>600</v>
      </c>
      <c r="X145" s="777">
        <v>575</v>
      </c>
      <c r="Y145" s="777">
        <v>810</v>
      </c>
      <c r="Z145" s="777">
        <v>0</v>
      </c>
      <c r="AA145" s="777" t="s">
        <v>646</v>
      </c>
      <c r="AB145" s="777">
        <v>515</v>
      </c>
      <c r="AC145" s="777" t="s">
        <v>647</v>
      </c>
      <c r="AD145" s="777">
        <v>1385</v>
      </c>
      <c r="AE145" s="777">
        <v>1022</v>
      </c>
      <c r="AF145" s="777">
        <v>0.63585523</v>
      </c>
      <c r="AG145" s="777">
        <v>0.58045405</v>
      </c>
      <c r="AH145" s="777">
        <v>0.48019237</v>
      </c>
      <c r="AI145" s="777">
        <v>1550</v>
      </c>
      <c r="AJ145" s="777">
        <v>110000</v>
      </c>
      <c r="AK145" s="777">
        <v>110000</v>
      </c>
      <c r="AL145" s="778">
        <v>0</v>
      </c>
    </row>
    <row r="146" spans="1:38" ht="15" customHeight="1">
      <c r="A146" s="775">
        <v>926</v>
      </c>
      <c r="B146" s="776" t="s">
        <v>263</v>
      </c>
      <c r="C146" s="777">
        <v>3500</v>
      </c>
      <c r="D146" s="777">
        <v>4600</v>
      </c>
      <c r="E146" s="777">
        <v>5100</v>
      </c>
      <c r="F146" s="777">
        <v>4800</v>
      </c>
      <c r="G146" s="777">
        <v>2747</v>
      </c>
      <c r="H146" s="777">
        <v>3863</v>
      </c>
      <c r="I146" s="777">
        <v>4386</v>
      </c>
      <c r="J146" s="777">
        <v>440</v>
      </c>
      <c r="K146" s="777">
        <v>440</v>
      </c>
      <c r="L146" s="777">
        <v>540</v>
      </c>
      <c r="M146" s="777">
        <v>785</v>
      </c>
      <c r="N146" s="777">
        <v>200</v>
      </c>
      <c r="O146" s="777">
        <v>290</v>
      </c>
      <c r="P146" s="777">
        <v>240</v>
      </c>
      <c r="Q146" s="777">
        <v>390</v>
      </c>
      <c r="R146" s="777">
        <v>360</v>
      </c>
      <c r="S146" s="777">
        <v>515</v>
      </c>
      <c r="T146" s="777">
        <v>390</v>
      </c>
      <c r="U146" s="777">
        <v>560</v>
      </c>
      <c r="V146" s="777">
        <v>420</v>
      </c>
      <c r="W146" s="777">
        <v>600</v>
      </c>
      <c r="X146" s="777">
        <v>575</v>
      </c>
      <c r="Y146" s="777">
        <v>810</v>
      </c>
      <c r="Z146" s="777" t="s">
        <v>352</v>
      </c>
      <c r="AA146" s="777" t="s">
        <v>646</v>
      </c>
      <c r="AB146" s="777">
        <v>515</v>
      </c>
      <c r="AC146" s="777" t="s">
        <v>647</v>
      </c>
      <c r="AD146" s="777">
        <v>1385</v>
      </c>
      <c r="AE146" s="777">
        <v>1022</v>
      </c>
      <c r="AF146" s="777">
        <v>0.63585523</v>
      </c>
      <c r="AG146" s="777">
        <v>0.58045405</v>
      </c>
      <c r="AH146" s="777">
        <v>0.48019237</v>
      </c>
      <c r="AI146" s="777">
        <v>1550</v>
      </c>
      <c r="AJ146" s="777">
        <v>110000</v>
      </c>
      <c r="AK146" s="777">
        <v>110000</v>
      </c>
      <c r="AL146" s="778">
        <v>-0.015</v>
      </c>
    </row>
    <row r="147" spans="1:38" ht="15" customHeight="1">
      <c r="A147" s="775">
        <v>928</v>
      </c>
      <c r="B147" s="776" t="s">
        <v>269</v>
      </c>
      <c r="C147" s="777">
        <v>3478.8990611414379</v>
      </c>
      <c r="D147" s="777">
        <v>4572.267337500175</v>
      </c>
      <c r="E147" s="777">
        <v>5069.2529176632379</v>
      </c>
      <c r="F147" s="777">
        <v>4771.0615695654005</v>
      </c>
      <c r="G147" s="777">
        <v>2755.8353078</v>
      </c>
      <c r="H147" s="777">
        <v>3875.087733</v>
      </c>
      <c r="I147" s="777">
        <v>4399.9323082</v>
      </c>
      <c r="J147" s="777">
        <v>441.4168</v>
      </c>
      <c r="K147" s="777">
        <v>441.4168</v>
      </c>
      <c r="L147" s="777">
        <v>541.7388</v>
      </c>
      <c r="M147" s="777">
        <v>787.5277</v>
      </c>
      <c r="N147" s="777">
        <v>200.644</v>
      </c>
      <c r="O147" s="777">
        <v>290.9338</v>
      </c>
      <c r="P147" s="777">
        <v>240.7728</v>
      </c>
      <c r="Q147" s="777">
        <v>391.2558</v>
      </c>
      <c r="R147" s="777">
        <v>361.1592</v>
      </c>
      <c r="S147" s="777">
        <v>516.6583</v>
      </c>
      <c r="T147" s="777">
        <v>391.2558</v>
      </c>
      <c r="U147" s="777">
        <v>561.8032</v>
      </c>
      <c r="V147" s="777">
        <v>421.3524</v>
      </c>
      <c r="W147" s="777">
        <v>601.932</v>
      </c>
      <c r="X147" s="777">
        <v>576.8515</v>
      </c>
      <c r="Y147" s="777">
        <v>812.6082</v>
      </c>
      <c r="Z147" s="777" t="s">
        <v>352</v>
      </c>
      <c r="AA147" s="777" t="s">
        <v>646</v>
      </c>
      <c r="AB147" s="777">
        <v>516.6583</v>
      </c>
      <c r="AC147" s="777" t="s">
        <v>647</v>
      </c>
      <c r="AD147" s="777">
        <v>1389.4597</v>
      </c>
      <c r="AE147" s="777">
        <v>1025.29084</v>
      </c>
      <c r="AF147" s="777">
        <v>0.63585523</v>
      </c>
      <c r="AG147" s="777">
        <v>0.58045405</v>
      </c>
      <c r="AH147" s="777">
        <v>0.48019237</v>
      </c>
      <c r="AI147" s="777">
        <v>1554.991</v>
      </c>
      <c r="AJ147" s="777">
        <v>110000</v>
      </c>
      <c r="AK147" s="777">
        <v>110000</v>
      </c>
      <c r="AL147" s="778">
        <v>0</v>
      </c>
    </row>
    <row r="148" spans="1:38" ht="15" customHeight="1">
      <c r="A148" s="775">
        <v>929</v>
      </c>
      <c r="B148" s="776" t="s">
        <v>270</v>
      </c>
      <c r="C148" s="777">
        <v>3500</v>
      </c>
      <c r="D148" s="777">
        <v>4600</v>
      </c>
      <c r="E148" s="777">
        <v>5100</v>
      </c>
      <c r="F148" s="777">
        <v>4800</v>
      </c>
      <c r="G148" s="777">
        <v>2807</v>
      </c>
      <c r="H148" s="777">
        <v>3863</v>
      </c>
      <c r="I148" s="777">
        <v>4580</v>
      </c>
      <c r="J148" s="777">
        <v>676</v>
      </c>
      <c r="K148" s="777">
        <v>676</v>
      </c>
      <c r="L148" s="777">
        <v>540</v>
      </c>
      <c r="M148" s="777">
        <v>785</v>
      </c>
      <c r="N148" s="777">
        <v>200</v>
      </c>
      <c r="O148" s="777">
        <v>290</v>
      </c>
      <c r="P148" s="777">
        <v>240</v>
      </c>
      <c r="Q148" s="777">
        <v>390</v>
      </c>
      <c r="R148" s="777">
        <v>360</v>
      </c>
      <c r="S148" s="777">
        <v>515</v>
      </c>
      <c r="T148" s="777">
        <v>390</v>
      </c>
      <c r="U148" s="777">
        <v>560</v>
      </c>
      <c r="V148" s="777">
        <v>532</v>
      </c>
      <c r="W148" s="777">
        <v>725</v>
      </c>
      <c r="X148" s="777">
        <v>575</v>
      </c>
      <c r="Y148" s="777">
        <v>810</v>
      </c>
      <c r="Z148" s="777" t="s">
        <v>352</v>
      </c>
      <c r="AA148" s="777" t="s">
        <v>646</v>
      </c>
      <c r="AB148" s="777">
        <v>515</v>
      </c>
      <c r="AC148" s="777" t="s">
        <v>647</v>
      </c>
      <c r="AD148" s="777">
        <v>1385</v>
      </c>
      <c r="AE148" s="777">
        <v>518.44</v>
      </c>
      <c r="AF148" s="777">
        <v>0.63585523</v>
      </c>
      <c r="AG148" s="777">
        <v>0.58045405</v>
      </c>
      <c r="AH148" s="777">
        <v>0.48019237</v>
      </c>
      <c r="AI148" s="777">
        <v>1550</v>
      </c>
      <c r="AJ148" s="777">
        <v>110000</v>
      </c>
      <c r="AK148" s="777">
        <v>110000</v>
      </c>
      <c r="AL148" s="778">
        <v>0</v>
      </c>
    </row>
    <row r="149" spans="1:38" ht="15" customHeight="1">
      <c r="A149" s="775">
        <v>931</v>
      </c>
      <c r="B149" s="776" t="s">
        <v>274</v>
      </c>
      <c r="C149" s="777">
        <v>3500</v>
      </c>
      <c r="D149" s="777">
        <v>4600</v>
      </c>
      <c r="E149" s="777">
        <v>5100</v>
      </c>
      <c r="F149" s="777">
        <v>4800</v>
      </c>
      <c r="G149" s="777">
        <v>2806.76</v>
      </c>
      <c r="H149" s="777">
        <v>3946.7</v>
      </c>
      <c r="I149" s="777">
        <v>4481.25</v>
      </c>
      <c r="J149" s="777">
        <v>449.5744</v>
      </c>
      <c r="K149" s="777">
        <v>449.5744</v>
      </c>
      <c r="L149" s="777">
        <v>551.7504</v>
      </c>
      <c r="M149" s="777">
        <v>802.0816</v>
      </c>
      <c r="N149" s="777">
        <v>204.352</v>
      </c>
      <c r="O149" s="777">
        <v>296.3104</v>
      </c>
      <c r="P149" s="777">
        <v>245.2224</v>
      </c>
      <c r="Q149" s="777">
        <v>398.4864</v>
      </c>
      <c r="R149" s="777">
        <v>367.8336</v>
      </c>
      <c r="S149" s="777">
        <v>526.2064</v>
      </c>
      <c r="T149" s="777">
        <v>398.4864</v>
      </c>
      <c r="U149" s="777">
        <v>572.1856</v>
      </c>
      <c r="V149" s="777">
        <v>429.1392</v>
      </c>
      <c r="W149" s="777">
        <v>613.056</v>
      </c>
      <c r="X149" s="777">
        <v>587.51200000000006</v>
      </c>
      <c r="Y149" s="777">
        <v>827.6256</v>
      </c>
      <c r="Z149" s="777" t="s">
        <v>352</v>
      </c>
      <c r="AA149" s="777" t="s">
        <v>646</v>
      </c>
      <c r="AB149" s="777">
        <v>526.21</v>
      </c>
      <c r="AC149" s="777" t="s">
        <v>647</v>
      </c>
      <c r="AD149" s="777">
        <v>1415.14</v>
      </c>
      <c r="AE149" s="777">
        <v>1044.24</v>
      </c>
      <c r="AF149" s="777">
        <v>0.63585523</v>
      </c>
      <c r="AG149" s="777">
        <v>0.58045405</v>
      </c>
      <c r="AH149" s="777">
        <v>0.48019237</v>
      </c>
      <c r="AI149" s="777">
        <v>1583.73</v>
      </c>
      <c r="AJ149" s="777">
        <v>107710.27</v>
      </c>
      <c r="AK149" s="777">
        <v>107710.27</v>
      </c>
      <c r="AL149" s="778">
        <v>0</v>
      </c>
    </row>
    <row r="150" spans="1:38" ht="15" customHeight="1">
      <c r="A150" s="775">
        <v>933</v>
      </c>
      <c r="B150" s="776" t="s">
        <v>292</v>
      </c>
      <c r="C150" s="777">
        <v>3500</v>
      </c>
      <c r="D150" s="777">
        <v>4600</v>
      </c>
      <c r="E150" s="777">
        <v>0</v>
      </c>
      <c r="F150" s="777">
        <v>4800</v>
      </c>
      <c r="G150" s="777">
        <v>2747</v>
      </c>
      <c r="H150" s="777">
        <v>3863</v>
      </c>
      <c r="I150" s="777">
        <v>4386</v>
      </c>
      <c r="J150" s="777">
        <v>440</v>
      </c>
      <c r="K150" s="777">
        <v>440</v>
      </c>
      <c r="L150" s="777">
        <v>540</v>
      </c>
      <c r="M150" s="777">
        <v>785</v>
      </c>
      <c r="N150" s="777">
        <v>200</v>
      </c>
      <c r="O150" s="777">
        <v>290</v>
      </c>
      <c r="P150" s="777">
        <v>240</v>
      </c>
      <c r="Q150" s="777">
        <v>390</v>
      </c>
      <c r="R150" s="777">
        <v>360</v>
      </c>
      <c r="S150" s="777">
        <v>515</v>
      </c>
      <c r="T150" s="777">
        <v>390</v>
      </c>
      <c r="U150" s="777">
        <v>560</v>
      </c>
      <c r="V150" s="777">
        <v>420</v>
      </c>
      <c r="W150" s="777">
        <v>600</v>
      </c>
      <c r="X150" s="777">
        <v>575</v>
      </c>
      <c r="Y150" s="777">
        <v>810</v>
      </c>
      <c r="Z150" s="777">
        <v>0</v>
      </c>
      <c r="AA150" s="777" t="s">
        <v>646</v>
      </c>
      <c r="AB150" s="777">
        <v>515</v>
      </c>
      <c r="AC150" s="777" t="s">
        <v>647</v>
      </c>
      <c r="AD150" s="777">
        <v>1385</v>
      </c>
      <c r="AE150" s="777">
        <v>1022</v>
      </c>
      <c r="AF150" s="777">
        <v>0.63585523</v>
      </c>
      <c r="AG150" s="777">
        <v>0.58045405</v>
      </c>
      <c r="AH150" s="777">
        <v>0.48019237</v>
      </c>
      <c r="AI150" s="777">
        <v>1550</v>
      </c>
      <c r="AJ150" s="777">
        <v>110000</v>
      </c>
      <c r="AK150" s="777">
        <v>110000</v>
      </c>
      <c r="AL150" s="778">
        <v>-0.01</v>
      </c>
    </row>
    <row r="151" spans="1:38" ht="15" customHeight="1">
      <c r="A151" s="775">
        <v>935</v>
      </c>
      <c r="B151" s="776" t="s">
        <v>303</v>
      </c>
      <c r="C151" s="777">
        <v>3500</v>
      </c>
      <c r="D151" s="777">
        <v>4600</v>
      </c>
      <c r="E151" s="777">
        <v>5100</v>
      </c>
      <c r="F151" s="777">
        <v>4800</v>
      </c>
      <c r="G151" s="777">
        <v>2773.8</v>
      </c>
      <c r="H151" s="777">
        <v>3889.8</v>
      </c>
      <c r="I151" s="777">
        <v>4412.8</v>
      </c>
      <c r="J151" s="777">
        <v>440</v>
      </c>
      <c r="K151" s="777">
        <v>440</v>
      </c>
      <c r="L151" s="777">
        <v>540</v>
      </c>
      <c r="M151" s="777">
        <v>785</v>
      </c>
      <c r="N151" s="777">
        <v>200</v>
      </c>
      <c r="O151" s="777">
        <v>290</v>
      </c>
      <c r="P151" s="777">
        <v>240</v>
      </c>
      <c r="Q151" s="777">
        <v>390</v>
      </c>
      <c r="R151" s="777">
        <v>360</v>
      </c>
      <c r="S151" s="777">
        <v>515</v>
      </c>
      <c r="T151" s="777">
        <v>390</v>
      </c>
      <c r="U151" s="777">
        <v>560</v>
      </c>
      <c r="V151" s="777">
        <v>420</v>
      </c>
      <c r="W151" s="777">
        <v>600</v>
      </c>
      <c r="X151" s="777">
        <v>575</v>
      </c>
      <c r="Y151" s="777">
        <v>810</v>
      </c>
      <c r="Z151" s="777" t="s">
        <v>352</v>
      </c>
      <c r="AA151" s="777" t="s">
        <v>646</v>
      </c>
      <c r="AB151" s="777">
        <v>515</v>
      </c>
      <c r="AC151" s="777" t="s">
        <v>647</v>
      </c>
      <c r="AD151" s="777">
        <v>1385</v>
      </c>
      <c r="AE151" s="777">
        <v>1022</v>
      </c>
      <c r="AF151" s="777">
        <v>0.63585523</v>
      </c>
      <c r="AG151" s="777">
        <v>0.58045405</v>
      </c>
      <c r="AH151" s="777">
        <v>0.48019237</v>
      </c>
      <c r="AI151" s="777">
        <v>1550</v>
      </c>
      <c r="AJ151" s="777">
        <v>110000</v>
      </c>
      <c r="AK151" s="777">
        <v>110000</v>
      </c>
      <c r="AL151" s="778">
        <v>-0.015</v>
      </c>
    </row>
    <row r="152" spans="1:38" ht="15" customHeight="1">
      <c r="A152" s="775">
        <v>936</v>
      </c>
      <c r="B152" s="776" t="s">
        <v>305</v>
      </c>
      <c r="C152" s="777">
        <v>3469</v>
      </c>
      <c r="D152" s="777">
        <v>4569</v>
      </c>
      <c r="E152" s="777" t="s">
        <v>352</v>
      </c>
      <c r="F152" s="777">
        <v>4769</v>
      </c>
      <c r="G152" s="777">
        <v>2885.2046</v>
      </c>
      <c r="H152" s="777">
        <v>4022.9682</v>
      </c>
      <c r="I152" s="777">
        <v>4621.8887</v>
      </c>
      <c r="J152" s="777">
        <v>992.5123</v>
      </c>
      <c r="K152" s="777">
        <v>788.4328</v>
      </c>
      <c r="L152" s="777">
        <v>515.8605</v>
      </c>
      <c r="M152" s="777">
        <v>704.8437</v>
      </c>
      <c r="N152" s="777">
        <v>181.6807</v>
      </c>
      <c r="O152" s="777">
        <v>390.699</v>
      </c>
      <c r="P152" s="777">
        <v>218.0169</v>
      </c>
      <c r="Q152" s="777">
        <v>585.2014</v>
      </c>
      <c r="R152" s="777">
        <v>327.0253</v>
      </c>
      <c r="S152" s="777">
        <v>697.4377</v>
      </c>
      <c r="T152" s="777">
        <v>354.2774</v>
      </c>
      <c r="U152" s="777">
        <v>737.8427</v>
      </c>
      <c r="V152" s="777">
        <v>381.5296</v>
      </c>
      <c r="W152" s="777">
        <v>773.7583</v>
      </c>
      <c r="X152" s="777">
        <v>495.963</v>
      </c>
      <c r="Y152" s="777">
        <v>962.3153</v>
      </c>
      <c r="Z152" s="777">
        <v>396</v>
      </c>
      <c r="AA152" s="777" t="s">
        <v>646</v>
      </c>
      <c r="AB152" s="777">
        <v>503.5293</v>
      </c>
      <c r="AC152" s="777" t="s">
        <v>647</v>
      </c>
      <c r="AD152" s="777">
        <v>1343.8479</v>
      </c>
      <c r="AE152" s="777">
        <v>980.6697</v>
      </c>
      <c r="AF152" s="777">
        <v>0.63585523</v>
      </c>
      <c r="AG152" s="777">
        <v>0.58045405</v>
      </c>
      <c r="AH152" s="777">
        <v>0.48019237</v>
      </c>
      <c r="AI152" s="777">
        <v>1552.6672</v>
      </c>
      <c r="AJ152" s="777">
        <v>118883</v>
      </c>
      <c r="AK152" s="777">
        <v>124843</v>
      </c>
      <c r="AL152" s="778">
        <v>0</v>
      </c>
    </row>
    <row r="153" spans="1:38" ht="15" customHeight="1">
      <c r="A153" s="775">
        <v>937</v>
      </c>
      <c r="B153" s="776" t="s">
        <v>319</v>
      </c>
      <c r="C153" s="777">
        <v>3500</v>
      </c>
      <c r="D153" s="777" t="s">
        <v>352</v>
      </c>
      <c r="E153" s="777" t="s">
        <v>352</v>
      </c>
      <c r="F153" s="777">
        <v>4800</v>
      </c>
      <c r="G153" s="777">
        <v>2746.99</v>
      </c>
      <c r="H153" s="777">
        <v>3862.65</v>
      </c>
      <c r="I153" s="777">
        <v>4385.81</v>
      </c>
      <c r="J153" s="777">
        <v>440</v>
      </c>
      <c r="K153" s="777">
        <v>440</v>
      </c>
      <c r="L153" s="777">
        <v>540</v>
      </c>
      <c r="M153" s="777">
        <v>785</v>
      </c>
      <c r="N153" s="777">
        <v>200</v>
      </c>
      <c r="O153" s="777">
        <v>290</v>
      </c>
      <c r="P153" s="777">
        <v>240</v>
      </c>
      <c r="Q153" s="777">
        <v>390</v>
      </c>
      <c r="R153" s="777">
        <v>360</v>
      </c>
      <c r="S153" s="777">
        <v>515</v>
      </c>
      <c r="T153" s="777">
        <v>390</v>
      </c>
      <c r="U153" s="777">
        <v>560</v>
      </c>
      <c r="V153" s="777">
        <v>420</v>
      </c>
      <c r="W153" s="777">
        <v>600</v>
      </c>
      <c r="X153" s="777">
        <v>575</v>
      </c>
      <c r="Y153" s="777">
        <v>810</v>
      </c>
      <c r="Z153" s="777">
        <v>0</v>
      </c>
      <c r="AA153" s="777" t="s">
        <v>648</v>
      </c>
      <c r="AB153" s="777">
        <v>515</v>
      </c>
      <c r="AC153" s="777" t="s">
        <v>649</v>
      </c>
      <c r="AD153" s="777">
        <v>1385</v>
      </c>
      <c r="AE153" s="777">
        <v>1022</v>
      </c>
      <c r="AF153" s="777">
        <v>0.63585523</v>
      </c>
      <c r="AG153" s="777">
        <v>0.58045405</v>
      </c>
      <c r="AH153" s="777">
        <v>0.48019237</v>
      </c>
      <c r="AI153" s="777">
        <v>1550</v>
      </c>
      <c r="AJ153" s="777">
        <v>110000</v>
      </c>
      <c r="AK153" s="777">
        <v>110000</v>
      </c>
      <c r="AL153" s="778">
        <v>0.005</v>
      </c>
    </row>
    <row r="154" spans="1:38" ht="15" customHeight="1" thickBot="1">
      <c r="A154" s="780">
        <v>938</v>
      </c>
      <c r="B154" s="781" t="s">
        <v>321</v>
      </c>
      <c r="C154" s="782">
        <v>3450</v>
      </c>
      <c r="D154" s="782" t="s">
        <v>352</v>
      </c>
      <c r="E154" s="782" t="s">
        <v>352</v>
      </c>
      <c r="F154" s="782">
        <v>4750</v>
      </c>
      <c r="G154" s="782">
        <v>2746.99</v>
      </c>
      <c r="H154" s="782">
        <v>3862.65</v>
      </c>
      <c r="I154" s="782">
        <v>4385.81</v>
      </c>
      <c r="J154" s="782">
        <v>440</v>
      </c>
      <c r="K154" s="782">
        <v>440</v>
      </c>
      <c r="L154" s="782">
        <v>360</v>
      </c>
      <c r="M154" s="782">
        <v>785</v>
      </c>
      <c r="N154" s="782">
        <v>200</v>
      </c>
      <c r="O154" s="782">
        <v>290</v>
      </c>
      <c r="P154" s="782">
        <v>240</v>
      </c>
      <c r="Q154" s="782">
        <v>390</v>
      </c>
      <c r="R154" s="782">
        <v>360</v>
      </c>
      <c r="S154" s="782">
        <v>515</v>
      </c>
      <c r="T154" s="782">
        <v>390</v>
      </c>
      <c r="U154" s="782">
        <v>560</v>
      </c>
      <c r="V154" s="782">
        <v>420</v>
      </c>
      <c r="W154" s="782">
        <v>600</v>
      </c>
      <c r="X154" s="782">
        <v>575</v>
      </c>
      <c r="Y154" s="782">
        <v>810</v>
      </c>
      <c r="Z154" s="782">
        <v>0</v>
      </c>
      <c r="AA154" s="782" t="s">
        <v>646</v>
      </c>
      <c r="AB154" s="782">
        <v>455</v>
      </c>
      <c r="AC154" s="782" t="s">
        <v>647</v>
      </c>
      <c r="AD154" s="782">
        <v>1385</v>
      </c>
      <c r="AE154" s="782">
        <v>850</v>
      </c>
      <c r="AF154" s="782">
        <v>0.63585523</v>
      </c>
      <c r="AG154" s="782">
        <v>0.58045405</v>
      </c>
      <c r="AH154" s="782">
        <v>0.48019237</v>
      </c>
      <c r="AI154" s="782">
        <v>1315</v>
      </c>
      <c r="AJ154" s="782">
        <v>130000</v>
      </c>
      <c r="AK154" s="782">
        <v>110000</v>
      </c>
      <c r="AL154" s="783">
        <v>0.005</v>
      </c>
    </row>
    <row r="155"/>
    <row r="156"/>
    <row r="157"/>
  </sheetData>
  <sheetProtection algorithmName="SHA-512" hashValue="wsj8Y5gEuIR8EaMek+Mk9ohyM9iY3WmgLEUomoB7jN/bguFpZJN1mauPZe/ROe0IgxRrSaAs7RTKwks+87Mp7Q==" saltValue="haqPi6y7MRnYhtpMrKjEVQ==" spinCount="100000" sheet="1" objects="1" scenarios="1"/>
  <pageMargins left="0.7" right="0.7" top="0.75" bottom="0.75" header="0.3" footer="0.3"/>
  <pageSetup paperSize="9" orientation="portrait"/>
  <headerFooter scaleWithDoc="1" alignWithMargins="0" differentFirst="0" differentOddEven="0"/>
  <extLst/>
</worksheet>
</file>

<file path=xl/worksheets/sheet1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2">
    <pageSetUpPr fitToPage="1"/>
  </sheetPr>
  <dimension ref="A1:X81"/>
  <sheetViews>
    <sheetView showGridLines="0" showRowColHeaders="0" zoomScale="70" view="normal" workbookViewId="0">
      <selection pane="topLeft" activeCell="E67" sqref="E67"/>
    </sheetView>
  </sheetViews>
  <sheetFormatPr defaultColWidth="0" zeroHeight="true" customHeight="true" defaultRowHeight="0"/>
  <cols>
    <col min="1" max="1" width="2.00390625" style="233" customWidth="1"/>
    <col min="2" max="2" width="3.00390625" style="233" customWidth="1"/>
    <col min="3" max="3" width="29.625" style="341" customWidth="1"/>
    <col min="4" max="4" width="40.375" style="342" customWidth="1"/>
    <col min="5" max="5" width="18.625" style="233" customWidth="1"/>
    <col min="6" max="6" width="17.25390625" style="233" customWidth="1"/>
    <col min="7" max="7" width="18.875" style="233" customWidth="1"/>
    <col min="8" max="8" width="17.875" style="233" customWidth="1"/>
    <col min="9" max="9" width="23.75390625" style="233" customWidth="1"/>
    <col min="10" max="10" width="26.00390625" style="233" customWidth="1"/>
    <col min="11" max="11" width="20.75390625" style="233" customWidth="1"/>
    <col min="12" max="12" width="24.625" style="233" customWidth="1"/>
    <col min="13" max="13" width="24.75390625" style="233" customWidth="1"/>
    <col min="14" max="14" width="3.125" style="233" customWidth="1"/>
    <col min="15" max="15" width="6.625" style="233" customWidth="1"/>
    <col min="16" max="16" width="44.125" style="233" hidden="1" customWidth="1"/>
    <col min="17" max="23" width="32.625" style="233" hidden="1" customWidth="1"/>
    <col min="24" max="24" width="11.00390625" style="233" hidden="1" customWidth="1"/>
    <col min="25" max="16384" width="2.25390625" style="233" hidden="1" customWidth="1"/>
  </cols>
  <sheetData>
    <row r="1" spans="2:18" s="210" customFormat="1" ht="15">
      <c r="B1" s="206"/>
      <c r="C1" s="207"/>
      <c r="D1" s="208"/>
      <c r="E1" s="206"/>
      <c r="F1" s="206"/>
      <c r="G1" s="206"/>
      <c r="H1" s="206"/>
      <c r="I1" s="206"/>
      <c r="J1" s="209"/>
      <c r="K1" s="206"/>
      <c r="L1" s="206"/>
      <c r="M1" s="206"/>
      <c r="N1" s="206"/>
      <c r="O1" s="206"/>
      <c r="P1" s="211"/>
      <c r="Q1" s="211"/>
      <c r="R1" s="211"/>
    </row>
    <row r="2" spans="2:18" s="210" customFormat="1" ht="15">
      <c r="B2" s="206"/>
      <c r="C2" s="207"/>
      <c r="D2" s="208"/>
      <c r="E2" s="206"/>
      <c r="F2" s="206"/>
      <c r="G2" s="206"/>
      <c r="H2" s="206"/>
      <c r="I2" s="206"/>
      <c r="J2" s="206"/>
      <c r="K2" s="206"/>
      <c r="L2" s="206"/>
      <c r="M2" s="206"/>
      <c r="N2" s="206"/>
      <c r="O2" s="206"/>
      <c r="P2" s="211"/>
      <c r="Q2" s="211"/>
      <c r="R2" s="211"/>
    </row>
    <row r="3" spans="2:18" s="210" customFormat="1" ht="15">
      <c r="B3" s="206"/>
      <c r="C3" s="207"/>
      <c r="D3" s="212"/>
      <c r="E3" s="206"/>
      <c r="F3" s="206"/>
      <c r="G3" s="206"/>
      <c r="H3" s="206"/>
      <c r="I3" s="206"/>
      <c r="J3" s="206"/>
      <c r="K3" s="206"/>
      <c r="L3" s="206"/>
      <c r="M3" s="206"/>
      <c r="N3" s="206"/>
      <c r="O3" s="206"/>
      <c r="P3" s="211"/>
      <c r="Q3" s="211"/>
      <c r="R3" s="211"/>
    </row>
    <row r="4" spans="2:17" s="210" customFormat="1" ht="14.25" customHeight="1">
      <c r="B4" s="206"/>
      <c r="C4" s="207"/>
      <c r="O4" s="206"/>
      <c r="Q4" s="211"/>
    </row>
    <row r="5" spans="2:17" s="210" customFormat="1" ht="15">
      <c r="B5" s="206"/>
      <c r="C5" s="207"/>
      <c r="O5" s="206"/>
      <c r="Q5" s="211"/>
    </row>
    <row r="6" spans="2:17" s="210" customFormat="1" ht="15">
      <c r="B6" s="206"/>
      <c r="C6" s="207"/>
      <c r="D6" s="974" t="s">
        <v>729</v>
      </c>
      <c r="E6" s="974"/>
      <c r="F6" s="974"/>
      <c r="G6" s="974"/>
      <c r="H6" s="974"/>
      <c r="I6" s="974"/>
      <c r="J6" s="974"/>
      <c r="K6" s="974"/>
      <c r="L6" s="974"/>
      <c r="M6" s="974"/>
      <c r="N6" s="974"/>
      <c r="O6" s="206"/>
      <c r="Q6" s="211"/>
    </row>
    <row r="7" spans="2:17" s="210" customFormat="1" ht="15.75" thickBot="1">
      <c r="B7" s="206"/>
      <c r="C7" s="207"/>
      <c r="D7" s="974"/>
      <c r="E7" s="974"/>
      <c r="F7" s="974"/>
      <c r="G7" s="974"/>
      <c r="H7" s="974"/>
      <c r="I7" s="974"/>
      <c r="J7" s="974"/>
      <c r="K7" s="974"/>
      <c r="L7" s="974"/>
      <c r="M7" s="974"/>
      <c r="N7" s="974"/>
      <c r="O7" s="206"/>
      <c r="Q7" s="211"/>
    </row>
    <row r="8" spans="2:23" s="210" customFormat="1" ht="19.5" thickBot="1">
      <c r="B8" s="975" t="s">
        <v>825</v>
      </c>
      <c r="C8" s="976"/>
      <c r="D8" s="976"/>
      <c r="E8" s="976"/>
      <c r="F8" s="976"/>
      <c r="G8" s="976"/>
      <c r="H8" s="976"/>
      <c r="I8" s="976"/>
      <c r="J8" s="976"/>
      <c r="K8" s="976"/>
      <c r="L8" s="976"/>
      <c r="M8" s="976"/>
      <c r="N8" s="977"/>
      <c r="O8" s="206"/>
      <c r="P8" s="552" t="s">
        <v>1103</v>
      </c>
      <c r="Q8" s="553"/>
      <c r="R8" s="553"/>
      <c r="S8" s="553"/>
      <c r="T8" s="553"/>
      <c r="U8" s="553"/>
      <c r="V8" s="553"/>
      <c r="W8" s="554"/>
    </row>
    <row r="9" spans="2:15" s="210" customFormat="1" ht="15">
      <c r="B9" s="206"/>
      <c r="C9" s="207"/>
      <c r="D9" s="208"/>
      <c r="E9" s="206"/>
      <c r="F9" s="206"/>
      <c r="G9" s="206"/>
      <c r="H9" s="206"/>
      <c r="I9" s="206"/>
      <c r="J9" s="206"/>
      <c r="K9" s="206"/>
      <c r="L9" s="206"/>
      <c r="M9" s="206"/>
      <c r="N9" s="206"/>
      <c r="O9" s="206"/>
    </row>
    <row r="10" spans="2:15" s="210" customFormat="1" ht="15.75" thickBot="1">
      <c r="B10" s="206"/>
      <c r="C10" s="207"/>
      <c r="D10" s="208"/>
      <c r="E10" s="206"/>
      <c r="F10" s="206"/>
      <c r="G10" s="206"/>
      <c r="H10" s="206"/>
      <c r="I10" s="206"/>
      <c r="J10" s="206"/>
      <c r="K10" s="206"/>
      <c r="L10" s="206"/>
      <c r="M10" s="206"/>
      <c r="N10" s="206"/>
      <c r="O10" s="206"/>
    </row>
    <row r="11" spans="2:23" s="210" customFormat="1" ht="48" customHeight="1" thickTop="1">
      <c r="B11" s="213"/>
      <c r="C11" s="978" t="s">
        <v>1209</v>
      </c>
      <c r="D11" s="978"/>
      <c r="E11" s="978"/>
      <c r="F11" s="978"/>
      <c r="G11" s="978"/>
      <c r="H11" s="978"/>
      <c r="I11" s="978"/>
      <c r="J11" s="978"/>
      <c r="K11" s="978"/>
      <c r="L11" s="978"/>
      <c r="M11" s="978"/>
      <c r="N11" s="214"/>
      <c r="O11" s="206"/>
      <c r="Q11" s="555" t="s">
        <v>795</v>
      </c>
      <c r="R11" s="555" t="s">
        <v>796</v>
      </c>
      <c r="S11" s="555" t="s">
        <v>797</v>
      </c>
      <c r="T11" s="555" t="s">
        <v>798</v>
      </c>
      <c r="U11" s="555" t="s">
        <v>799</v>
      </c>
      <c r="V11" s="555" t="s">
        <v>800</v>
      </c>
      <c r="W11" s="555" t="s">
        <v>801</v>
      </c>
    </row>
    <row r="12" spans="2:23" s="210" customFormat="1" ht="18.75">
      <c r="B12" s="215"/>
      <c r="C12" s="206"/>
      <c r="D12" s="208"/>
      <c r="E12" s="216"/>
      <c r="F12" s="206"/>
      <c r="G12" s="979"/>
      <c r="H12" s="206"/>
      <c r="I12" s="206"/>
      <c r="J12" s="206"/>
      <c r="K12" s="206"/>
      <c r="L12" s="206"/>
      <c r="M12" s="206"/>
      <c r="N12" s="217"/>
      <c r="O12" s="206"/>
      <c r="P12"/>
      <c r="Q12"/>
      <c r="R12"/>
      <c r="S12"/>
      <c r="T12"/>
      <c r="U12"/>
      <c r="V12"/>
      <c r="W12"/>
    </row>
    <row r="13" spans="2:23" s="210" customFormat="1" ht="15.75" thickBot="1">
      <c r="B13" s="215"/>
      <c r="C13" s="207"/>
      <c r="D13" s="208"/>
      <c r="E13" s="206"/>
      <c r="F13" s="206"/>
      <c r="G13" s="979"/>
      <c r="H13" s="206"/>
      <c r="I13" s="206"/>
      <c r="J13" s="206"/>
      <c r="K13" s="206"/>
      <c r="L13" s="206"/>
      <c r="M13" s="206"/>
      <c r="N13" s="217"/>
      <c r="O13" s="206"/>
      <c r="P13"/>
      <c r="Q13"/>
      <c r="R13"/>
      <c r="S13"/>
      <c r="T13"/>
      <c r="U13"/>
      <c r="V13"/>
      <c r="W13"/>
    </row>
    <row r="14" spans="2:23" s="210" customFormat="1" ht="19.5" thickBot="1">
      <c r="B14" s="215"/>
      <c r="C14" s="218" t="s">
        <v>170</v>
      </c>
      <c r="D14" s="965" t="str">
        <f>IF(OR(LA_Name_Value="",LA_Name_Value="Please Select"),"",LA_Name_Value)</f>
        <v/>
      </c>
      <c r="E14" s="966"/>
      <c r="F14" s="218"/>
      <c r="G14" s="206"/>
      <c r="H14" s="206"/>
      <c r="I14" s="219"/>
      <c r="K14" s="220"/>
      <c r="L14" s="218" t="s">
        <v>660</v>
      </c>
      <c r="M14" s="221" t="str">
        <f>IF($D$14="","",INDEX(Proforma_previous_year!$A:$A,MATCH($D$14,Proforma_previous_year!$B:$B,0)))</f>
        <v/>
      </c>
      <c r="N14" s="217"/>
      <c r="O14" s="206"/>
      <c r="P14" s="640" t="s">
        <v>537</v>
      </c>
      <c r="Q14"/>
      <c r="R14"/>
      <c r="S14"/>
      <c r="T14"/>
      <c r="U14"/>
      <c r="V14"/>
      <c r="W14"/>
    </row>
    <row r="15" spans="2:23" s="210" customFormat="1" ht="19.5" thickBot="1">
      <c r="B15" s="215"/>
      <c r="C15" s="218" t="s">
        <v>661</v>
      </c>
      <c r="D15" s="965" t="str">
        <f>IF(OR('G2. Cover Sheet'!$C$4="",'G2. Cover Sheet'!$C$4="Please Select"),"Please Select",IF('G2. Cover Sheet'!$C$4="UTC","UTC",INDEX(SchoolPhase,MATCH('G2. Cover Sheet'!$C$18,AgeRange,0))))</f>
        <v>Secondary</v>
      </c>
      <c r="E15" s="966"/>
      <c r="F15" s="222"/>
      <c r="G15" s="223"/>
      <c r="H15" s="206"/>
      <c r="I15" s="206"/>
      <c r="J15" s="206"/>
      <c r="K15" s="222"/>
      <c r="L15" s="222"/>
      <c r="M15" s="224"/>
      <c r="N15" s="217"/>
      <c r="O15" s="206"/>
      <c r="P15" s="559" t="s">
        <v>1079</v>
      </c>
      <c r="Q15" s="533">
        <f>SUM('G3. Budget'!F26:F28)</f>
        <v>0</v>
      </c>
      <c r="R15" s="533">
        <f>SUM('G3. Budget'!G26:G28)</f>
        <v>0</v>
      </c>
      <c r="S15" s="533">
        <f>SUM('G3. Budget'!H26:H28)</f>
        <v>0</v>
      </c>
      <c r="T15" s="533">
        <f>SUM('G3. Budget'!I26:I28)</f>
        <v>0</v>
      </c>
      <c r="U15" s="533">
        <f>SUM('G3. Budget'!J26:J28)</f>
        <v>0</v>
      </c>
      <c r="V15" s="533">
        <f>SUM('G3. Budget'!K26:K28)</f>
        <v>0</v>
      </c>
      <c r="W15" s="533">
        <f>SUM('G3. Budget'!L26:L28)</f>
        <v>0</v>
      </c>
    </row>
    <row r="16" spans="2:23" s="210" customFormat="1" ht="18.75">
      <c r="B16" s="215"/>
      <c r="C16" s="225"/>
      <c r="D16" s="223"/>
      <c r="E16" s="206"/>
      <c r="F16" s="222"/>
      <c r="G16" s="223"/>
      <c r="H16" s="206"/>
      <c r="I16" s="206"/>
      <c r="J16" s="206"/>
      <c r="K16" s="222"/>
      <c r="L16" s="222"/>
      <c r="M16" s="224"/>
      <c r="N16" s="217"/>
      <c r="O16" s="206"/>
      <c r="P16" s="559" t="s">
        <v>670</v>
      </c>
      <c r="Q16" s="533">
        <f>'G3. Budget'!F31</f>
        <v>0</v>
      </c>
      <c r="R16" s="533">
        <f>'G3. Budget'!G31</f>
        <v>0</v>
      </c>
      <c r="S16" s="533">
        <f>'G3. Budget'!H31</f>
        <v>0</v>
      </c>
      <c r="T16" s="533">
        <f>'G3. Budget'!I31</f>
        <v>0</v>
      </c>
      <c r="U16" s="533">
        <f>'G3. Budget'!J31</f>
        <v>0</v>
      </c>
      <c r="V16" s="533">
        <f>'G3. Budget'!K31</f>
        <v>0</v>
      </c>
      <c r="W16" s="533">
        <f>'G3. Budget'!L31</f>
        <v>0</v>
      </c>
    </row>
    <row r="17" spans="2:23" s="210" customFormat="1" ht="18.75">
      <c r="B17" s="215"/>
      <c r="C17" s="225"/>
      <c r="D17" s="223"/>
      <c r="E17" s="206"/>
      <c r="F17" s="222"/>
      <c r="G17" s="223"/>
      <c r="H17" s="206"/>
      <c r="I17" s="206"/>
      <c r="J17" s="206"/>
      <c r="K17" s="222"/>
      <c r="L17" s="222"/>
      <c r="M17" s="224"/>
      <c r="N17" s="217"/>
      <c r="O17" s="206"/>
      <c r="P17" s="559" t="s">
        <v>719</v>
      </c>
      <c r="Q17" s="533">
        <f>'G3. Budget'!F32</f>
        <v>0</v>
      </c>
      <c r="R17" s="533">
        <f>'G3. Budget'!G32</f>
        <v>0</v>
      </c>
      <c r="S17" s="533">
        <f>'G3. Budget'!H32</f>
        <v>0</v>
      </c>
      <c r="T17" s="533">
        <f>'G3. Budget'!I32</f>
        <v>0</v>
      </c>
      <c r="U17" s="533">
        <f>'G3. Budget'!J32</f>
        <v>0</v>
      </c>
      <c r="V17" s="533">
        <f>'G3. Budget'!K32</f>
        <v>0</v>
      </c>
      <c r="W17" s="533">
        <f>'G3. Budget'!L32</f>
        <v>0</v>
      </c>
    </row>
    <row r="18" spans="2:23" s="210" customFormat="1" ht="18.75">
      <c r="B18" s="215"/>
      <c r="C18" s="218" t="s">
        <v>662</v>
      </c>
      <c r="D18" s="223"/>
      <c r="E18" s="206"/>
      <c r="F18" s="222"/>
      <c r="G18" s="223"/>
      <c r="H18" s="206"/>
      <c r="I18" s="206"/>
      <c r="J18" s="206"/>
      <c r="K18" s="222"/>
      <c r="L18" s="222"/>
      <c r="M18" s="224"/>
      <c r="N18" s="217"/>
      <c r="O18" s="206"/>
      <c r="P18" s="559" t="s">
        <v>720</v>
      </c>
      <c r="Q18" s="533">
        <f>'G3. Budget'!F33-'G3. Budget'!F30</f>
        <v>0</v>
      </c>
      <c r="R18" s="533">
        <f>'G3. Budget'!G33-'G3. Budget'!G30</f>
        <v>0</v>
      </c>
      <c r="S18" s="533">
        <f>'G3. Budget'!H33-'G3. Budget'!H30</f>
        <v>0</v>
      </c>
      <c r="T18" s="533">
        <f>'G3. Budget'!I33-'G3. Budget'!I30</f>
        <v>0</v>
      </c>
      <c r="U18" s="533">
        <f>'G3. Budget'!J33-'G3. Budget'!J30</f>
        <v>0</v>
      </c>
      <c r="V18" s="533">
        <f>'G3. Budget'!K33-'G3. Budget'!K30</f>
        <v>0</v>
      </c>
      <c r="W18" s="533">
        <f>'G3. Budget'!L33-'G3. Budget'!L30</f>
        <v>0</v>
      </c>
    </row>
    <row r="19" spans="2:23" s="210" customFormat="1" ht="18.75">
      <c r="B19" s="215"/>
      <c r="C19" s="227" t="s">
        <v>663</v>
      </c>
      <c r="D19" s="223"/>
      <c r="E19" s="206"/>
      <c r="F19" s="222"/>
      <c r="G19" s="223"/>
      <c r="H19" s="206"/>
      <c r="I19" s="206"/>
      <c r="J19" s="206"/>
      <c r="K19" s="222"/>
      <c r="L19" s="222"/>
      <c r="M19" s="224"/>
      <c r="N19" s="217"/>
      <c r="O19" s="206"/>
      <c r="P19" s="559" t="s">
        <v>671</v>
      </c>
      <c r="Q19" s="533">
        <f>'G3. Budget'!F30 + 'G3. Budget'!F69</f>
        <v>0</v>
      </c>
      <c r="R19" s="533">
        <f>'G3. Budget'!G30 + 'G3. Budget'!G69</f>
        <v>0</v>
      </c>
      <c r="S19" s="533">
        <f>'G3. Budget'!H30 + 'G3. Budget'!H69</f>
        <v>0</v>
      </c>
      <c r="T19" s="533">
        <f>'G3. Budget'!I30 + 'G3. Budget'!I69</f>
        <v>0</v>
      </c>
      <c r="U19" s="533">
        <f>'G3. Budget'!J30 + 'G3. Budget'!J69</f>
        <v>0</v>
      </c>
      <c r="V19" s="533">
        <f>'G3. Budget'!K30 + 'G3. Budget'!K69</f>
        <v>0</v>
      </c>
      <c r="W19" s="533">
        <f>'G3. Budget'!L30 + 'G3. Budget'!L69</f>
        <v>0</v>
      </c>
    </row>
    <row r="20" spans="2:23" ht="15.75" thickBot="1">
      <c r="B20" s="226"/>
      <c r="D20" s="228"/>
      <c r="E20" s="229"/>
      <c r="F20" s="230"/>
      <c r="G20" s="230"/>
      <c r="H20" s="230"/>
      <c r="I20" s="230"/>
      <c r="J20" s="230"/>
      <c r="K20" s="230"/>
      <c r="L20" s="230"/>
      <c r="M20" s="231"/>
      <c r="N20" s="232"/>
      <c r="P20"/>
      <c r="Q20"/>
      <c r="R20"/>
      <c r="S20"/>
      <c r="T20"/>
      <c r="U20"/>
      <c r="V20"/>
      <c r="W20"/>
    </row>
    <row r="21" spans="2:16" ht="15.75" customHeight="1" thickBot="1">
      <c r="B21" s="226"/>
      <c r="C21" s="984" t="s">
        <v>664</v>
      </c>
      <c r="D21" s="234" t="s">
        <v>665</v>
      </c>
      <c r="E21" s="682" t="s">
        <v>666</v>
      </c>
      <c r="F21" s="967"/>
      <c r="G21" s="987" t="s">
        <v>667</v>
      </c>
      <c r="H21" s="1106"/>
      <c r="I21" s="1106"/>
      <c r="J21" s="1107"/>
      <c r="K21" s="682" t="s">
        <v>668</v>
      </c>
      <c r="L21" s="967"/>
      <c r="M21" s="235" t="s">
        <v>669</v>
      </c>
      <c r="N21" s="232"/>
      <c r="P21" s="558" t="s">
        <v>745</v>
      </c>
    </row>
    <row r="22" spans="2:23" ht="15">
      <c r="B22" s="226"/>
      <c r="C22" s="868"/>
      <c r="D22" s="236" t="s">
        <v>1079</v>
      </c>
      <c r="E22" s="968">
        <f>IFERROR(IF($M$14="",0,INDEX(Proforma_previous_year!$G:$G,MATCH($M$14,Proforma_previous_year!$A:$A,0))),0)</f>
        <v>0</v>
      </c>
      <c r="F22" s="969"/>
      <c r="G22" s="972">
        <f>SUM('G3. Budget'!E26:E28)</f>
        <v>0</v>
      </c>
      <c r="H22" s="1108"/>
      <c r="I22" s="1108"/>
      <c r="J22" s="1109"/>
      <c r="K22" s="970">
        <f>IFERROR(Open_Proportion*E22*G22,0)</f>
        <v>0</v>
      </c>
      <c r="L22" s="971"/>
      <c r="M22" s="981">
        <f>SUM(K22:L26)</f>
        <v>0</v>
      </c>
      <c r="N22" s="232"/>
      <c r="P22" s="559" t="s">
        <v>1079</v>
      </c>
      <c r="Q22" s="560">
        <f>Q15*RR_previous_year!$E22</f>
        <v>0</v>
      </c>
      <c r="R22" s="560">
        <f>R15*RR_previous_year!$E22</f>
        <v>0</v>
      </c>
      <c r="S22" s="560">
        <f>S15*RR_previous_year!$E22</f>
        <v>0</v>
      </c>
      <c r="T22" s="560">
        <f>T15*RR_previous_year!$E22</f>
        <v>0</v>
      </c>
      <c r="U22" s="560">
        <f>U15*RR_previous_year!$E22</f>
        <v>0</v>
      </c>
      <c r="V22" s="560">
        <f>V15*RR_previous_year!$E22</f>
        <v>0</v>
      </c>
      <c r="W22" s="560">
        <f>W15*RR_previous_year!$E22</f>
        <v>0</v>
      </c>
    </row>
    <row r="23" spans="2:23" ht="15">
      <c r="B23" s="226"/>
      <c r="C23" s="868"/>
      <c r="D23" s="238" t="s">
        <v>670</v>
      </c>
      <c r="E23" s="994">
        <f>IFERROR(IF($M$14="",0,INDEX(Proforma_previous_year!$H:$H,MATCH($M$14,Proforma_previous_year!$A:$A,0))),0)</f>
        <v>0</v>
      </c>
      <c r="F23" s="995"/>
      <c r="G23" s="998">
        <f>'G3. Budget'!E31</f>
        <v>0</v>
      </c>
      <c r="H23" s="1098"/>
      <c r="I23" s="1098"/>
      <c r="J23" s="1099"/>
      <c r="K23" s="996">
        <f>IFERROR(Open_Proportion*E23*G23,0)</f>
        <v>0</v>
      </c>
      <c r="L23" s="997"/>
      <c r="M23" s="982"/>
      <c r="N23" s="232"/>
      <c r="P23" s="559" t="s">
        <v>670</v>
      </c>
      <c r="Q23" s="560">
        <f>Q16*RR_previous_year!$E23</f>
        <v>0</v>
      </c>
      <c r="R23" s="560">
        <f>R16*RR_previous_year!$E23</f>
        <v>0</v>
      </c>
      <c r="S23" s="560">
        <f>S16*RR_previous_year!$E23</f>
        <v>0</v>
      </c>
      <c r="T23" s="560">
        <f>T16*RR_previous_year!$E23</f>
        <v>0</v>
      </c>
      <c r="U23" s="560">
        <f>U16*RR_previous_year!$E23</f>
        <v>0</v>
      </c>
      <c r="V23" s="560">
        <f>V16*RR_previous_year!$E23</f>
        <v>0</v>
      </c>
      <c r="W23" s="560">
        <f>W16*RR_previous_year!$E23</f>
        <v>0</v>
      </c>
    </row>
    <row r="24" spans="2:23" ht="15">
      <c r="B24" s="226"/>
      <c r="C24" s="868"/>
      <c r="D24" s="238" t="s">
        <v>719</v>
      </c>
      <c r="E24" s="994">
        <f>IFERROR(IF($M$14="",0,INDEX(Proforma_previous_year!$H:$H,MATCH($M$14,Proforma_previous_year!$A:$A,0))),0)</f>
        <v>0</v>
      </c>
      <c r="F24" s="995"/>
      <c r="G24" s="998">
        <f>'G3. Budget'!E32</f>
        <v>0</v>
      </c>
      <c r="H24" s="1098"/>
      <c r="I24" s="1098"/>
      <c r="J24" s="1099"/>
      <c r="K24" s="996">
        <f>IFERROR(Open_Proportion*E24*G24,0)</f>
        <v>0</v>
      </c>
      <c r="L24" s="997"/>
      <c r="M24" s="982"/>
      <c r="N24" s="232"/>
      <c r="P24" s="559" t="s">
        <v>719</v>
      </c>
      <c r="Q24" s="560">
        <f>Q17*RR_previous_year!$E24</f>
        <v>0</v>
      </c>
      <c r="R24" s="560">
        <f>R17*RR_previous_year!$E24</f>
        <v>0</v>
      </c>
      <c r="S24" s="560">
        <f>S17*RR_previous_year!$E24</f>
        <v>0</v>
      </c>
      <c r="T24" s="560">
        <f>T17*RR_previous_year!$E24</f>
        <v>0</v>
      </c>
      <c r="U24" s="560">
        <f>U17*RR_previous_year!$E24</f>
        <v>0</v>
      </c>
      <c r="V24" s="560">
        <f>V17*RR_previous_year!$E24</f>
        <v>0</v>
      </c>
      <c r="W24" s="560">
        <f>W17*RR_previous_year!$E24</f>
        <v>0</v>
      </c>
    </row>
    <row r="25" spans="2:23" ht="15">
      <c r="B25" s="226"/>
      <c r="C25" s="868"/>
      <c r="D25" s="238" t="s">
        <v>720</v>
      </c>
      <c r="E25" s="994">
        <f>IFERROR(IF($M$14="",0,INDEX(Proforma_previous_year!$H:$H,MATCH($M$14,Proforma_previous_year!$A:$A,0))),0)</f>
        <v>0</v>
      </c>
      <c r="F25" s="995"/>
      <c r="G25" s="998">
        <f>'G3. Budget'!E33-'G3. Budget'!E30</f>
        <v>0</v>
      </c>
      <c r="H25" s="1098"/>
      <c r="I25" s="1098"/>
      <c r="J25" s="1099"/>
      <c r="K25" s="996">
        <f>IFERROR(Open_Proportion*E25*G25,0)</f>
        <v>0</v>
      </c>
      <c r="L25" s="997"/>
      <c r="M25" s="982"/>
      <c r="N25" s="232"/>
      <c r="P25" s="559" t="s">
        <v>720</v>
      </c>
      <c r="Q25" s="560">
        <f>Q18*RR_previous_year!$E25</f>
        <v>0</v>
      </c>
      <c r="R25" s="560">
        <f>R18*RR_previous_year!$E25</f>
        <v>0</v>
      </c>
      <c r="S25" s="560">
        <f>S18*RR_previous_year!$E25</f>
        <v>0</v>
      </c>
      <c r="T25" s="560">
        <f>T18*RR_previous_year!$E25</f>
        <v>0</v>
      </c>
      <c r="U25" s="560">
        <f>U18*RR_previous_year!$E25</f>
        <v>0</v>
      </c>
      <c r="V25" s="560">
        <f>V18*RR_previous_year!$E25</f>
        <v>0</v>
      </c>
      <c r="W25" s="560">
        <f>W18*RR_previous_year!$E25</f>
        <v>0</v>
      </c>
    </row>
    <row r="26" spans="2:23" ht="15.75" thickBot="1">
      <c r="B26" s="226"/>
      <c r="C26" s="868"/>
      <c r="D26" s="239" t="s">
        <v>671</v>
      </c>
      <c r="E26" s="991">
        <f>IFERROR(IF($M$14="",0,INDEX(Proforma_previous_year!$I:$I,MATCH($M$14,Proforma_previous_year!$A:$A,0))),0)</f>
        <v>0</v>
      </c>
      <c r="F26" s="1100"/>
      <c r="G26" s="1101">
        <f>'G3. Budget'!E30 +'G3. Budget'!E69</f>
        <v>0</v>
      </c>
      <c r="H26" s="1102"/>
      <c r="I26" s="1102"/>
      <c r="J26" s="1103"/>
      <c r="K26" s="1104">
        <f>IFERROR(Open_Proportion*E26*G26,0)</f>
        <v>0</v>
      </c>
      <c r="L26" s="1105"/>
      <c r="M26" s="1097"/>
      <c r="N26" s="232"/>
      <c r="P26" s="559" t="s">
        <v>671</v>
      </c>
      <c r="Q26" s="560">
        <f>Q19*RR_previous_year!$E26</f>
        <v>0</v>
      </c>
      <c r="R26" s="560">
        <f>R19*RR_previous_year!$E26</f>
        <v>0</v>
      </c>
      <c r="S26" s="560">
        <f>S19*RR_previous_year!$E26</f>
        <v>0</v>
      </c>
      <c r="T26" s="560">
        <f>T19*RR_previous_year!$E26</f>
        <v>0</v>
      </c>
      <c r="U26" s="560">
        <f>U19*RR_previous_year!$E26</f>
        <v>0</v>
      </c>
      <c r="V26" s="560">
        <f>V19*RR_previous_year!$E26</f>
        <v>0</v>
      </c>
      <c r="W26" s="560">
        <f>W19*RR_previous_year!$E26</f>
        <v>0</v>
      </c>
    </row>
    <row r="27" spans="2:16" ht="66" customHeight="1" thickBot="1">
      <c r="B27" s="226"/>
      <c r="C27" s="984" t="s">
        <v>672</v>
      </c>
      <c r="D27" s="240" t="s">
        <v>665</v>
      </c>
      <c r="E27" s="684" t="s">
        <v>673</v>
      </c>
      <c r="F27" s="241" t="s">
        <v>674</v>
      </c>
      <c r="G27" s="242" t="s">
        <v>675</v>
      </c>
      <c r="H27" s="241" t="s">
        <v>676</v>
      </c>
      <c r="I27" s="242" t="s">
        <v>677</v>
      </c>
      <c r="J27" s="241" t="s">
        <v>678</v>
      </c>
      <c r="K27" s="243" t="s">
        <v>679</v>
      </c>
      <c r="L27" s="243" t="s">
        <v>680</v>
      </c>
      <c r="M27" s="235" t="s">
        <v>669</v>
      </c>
      <c r="N27" s="232"/>
      <c r="P27" s="558" t="s">
        <v>802</v>
      </c>
    </row>
    <row r="28" spans="2:23" ht="15">
      <c r="B28" s="226"/>
      <c r="C28" s="1000"/>
      <c r="D28" s="244" t="s">
        <v>721</v>
      </c>
      <c r="E28" s="245">
        <f>IF($M$14="",0,INDEX(Proforma_previous_year!$J:$J,MATCH($M$14,Proforma_previous_year!$A:$A,0)))</f>
        <v>0</v>
      </c>
      <c r="F28" s="249">
        <f>IF($M$14="",0,INDEX(Proforma_previous_year!$K:$K,MATCH($M$14,Proforma_previous_year!$A:$A,0)))</f>
        <v>0</v>
      </c>
      <c r="G28" s="356"/>
      <c r="H28" s="357"/>
      <c r="I28" s="246">
        <f>IF($M$14="",0,INDEX('LA Averages_previous_year'!$J:$J,MATCH($M$14,'LA Averages_previous_year'!$A:$A,0)))</f>
        <v>0</v>
      </c>
      <c r="J28" s="250">
        <f>IF($M$14="",0,INDEX('LA Averages_previous_year'!$L:$L,MATCH($M$14,'LA Averages_previous_year'!$A:$A,0)))</f>
        <v>0</v>
      </c>
      <c r="K28" s="247">
        <f>IFERROR(Open_Proportion*IF($G28="",$I28,$G28)*$E28*SUM($G$22:$G$22),0)</f>
        <v>0</v>
      </c>
      <c r="L28" s="251">
        <f>IFERROR(Open_Proportion*IF($H28="",$J28,$H28)*$F28*SUM($G$23:$G$26),0)</f>
        <v>0</v>
      </c>
      <c r="M28" s="1002">
        <f>SUM(K28:L35)</f>
        <v>0</v>
      </c>
      <c r="N28" s="232"/>
      <c r="P28" s="559" t="s">
        <v>721</v>
      </c>
      <c r="Q28" s="560">
        <f>IFERROR(IF($G28="",$I28,$G28)*$E28*Q15,0)+IFERROR(IF($H28="",$J28,$H28)*$F28*SUM(Q16:Q19),0)</f>
        <v>0</v>
      </c>
      <c r="R28" s="560">
        <f>IFERROR(IF($G28="",$I28,$G28)*$E28*R15,0)+IFERROR(IF($H28="",$J28,$H28)*$F28*SUM(R16:R19),0)</f>
        <v>0</v>
      </c>
      <c r="S28" s="560">
        <f>IFERROR(IF($G28="",$I28,$G28)*$E28*S15,0)+IFERROR(IF($H28="",$J28,$H28)*$F28*SUM(S16:S19),0)</f>
        <v>0</v>
      </c>
      <c r="T28" s="560">
        <f>IFERROR(IF($G28="",$I28,$G28)*$E28*T15,0)+IFERROR(IF($H28="",$J28,$H28)*$F28*SUM(T16:T19),0)</f>
        <v>0</v>
      </c>
      <c r="U28" s="560">
        <f>IFERROR(IF($G28="",$I28,$G28)*$E28*U15,0)+IFERROR(IF($H28="",$J28,$H28)*$F28*SUM(U16:U19),0)</f>
        <v>0</v>
      </c>
      <c r="V28" s="560">
        <f>IFERROR(IF($G28="",$I28,$G28)*$E28*V15,0)+IFERROR(IF($H28="",$J28,$H28)*$F28*SUM(V16:V19),0)</f>
        <v>0</v>
      </c>
      <c r="W28" s="560">
        <f>IFERROR(IF($G28="",$I28,$G28)*$E28*W15,0)+IFERROR(IF($H28="",$J28,$H28)*$F28*SUM(W16:W19),0)</f>
        <v>0</v>
      </c>
    </row>
    <row r="29" spans="2:23" ht="15">
      <c r="B29" s="226"/>
      <c r="C29" s="1000"/>
      <c r="D29" s="248" t="s">
        <v>722</v>
      </c>
      <c r="E29" s="252">
        <f>IF($M$14="",0,INDEX(Proforma_previous_year!$L:$L,MATCH($M$14,Proforma_previous_year!$A:$A,0)))</f>
        <v>0</v>
      </c>
      <c r="F29" s="249">
        <f>IF($M$14="",0,INDEX(Proforma_previous_year!$M:$M,MATCH($M$14,Proforma_previous_year!$A:$A,0)))</f>
        <v>0</v>
      </c>
      <c r="G29" s="358"/>
      <c r="H29" s="357"/>
      <c r="I29" s="246">
        <f>IF($M$14="",0,INDEX('LA Averages_previous_year'!$K:$K,MATCH($M$14,'LA Averages_previous_year'!$A:$A,0)))</f>
        <v>0</v>
      </c>
      <c r="J29" s="250">
        <f>IF($M$14="",0,INDEX('LA Averages_previous_year'!$M:$M,MATCH($M$14,'LA Averages_previous_year'!$A:$A,0)))</f>
        <v>0</v>
      </c>
      <c r="K29" s="247">
        <f>IFERROR(Open_Proportion*IF($G29="",$I29,$G29)*$E29*SUM($G$22:$G$22),0)</f>
        <v>0</v>
      </c>
      <c r="L29" s="251">
        <f>IFERROR(Open_Proportion*IF($H29="",$J29,$H29)*$F29*SUM($G$23:$G$26),0)</f>
        <v>0</v>
      </c>
      <c r="M29" s="1003"/>
      <c r="N29" s="232"/>
      <c r="P29" s="559" t="s">
        <v>722</v>
      </c>
      <c r="Q29" s="560">
        <f>IFERROR(IF($G29="",$I29,$G29)*$E29*Q15,0)+IFERROR(IF($H29="",$J29,$H29)*$F29*SUM(Q$16:Q$19),0)</f>
        <v>0</v>
      </c>
      <c r="R29" s="560">
        <f>IFERROR(IF($G29="",$I29,$G29)*$E29*R15,0)+IFERROR(IF($H29="",$J29,$H29)*$F29*SUM(R$16:R$19),0)</f>
        <v>0</v>
      </c>
      <c r="S29" s="560">
        <f>IFERROR(IF($G29="",$I29,$G29)*$E29*S15,0)+IFERROR(IF($H29="",$J29,$H29)*$F29*SUM(S$16:S$19),0)</f>
        <v>0</v>
      </c>
      <c r="T29" s="560">
        <f>IFERROR(IF($G29="",$I29,$G29)*$E29*T15,0)+IFERROR(IF($H29="",$J29,$H29)*$F29*SUM(T$16:T$19),0)</f>
        <v>0</v>
      </c>
      <c r="U29" s="560">
        <f>IFERROR(IF($G29="",$I29,$G29)*$E29*U15,0)+IFERROR(IF($H29="",$J29,$H29)*$F29*SUM(U$16:U$19),0)</f>
        <v>0</v>
      </c>
      <c r="V29" s="560">
        <f>IFERROR(IF($G29="",$I29,$G29)*$E29*V15,0)+IFERROR(IF($H29="",$J29,$H29)*$F29*SUM(V$16:V$19),0)</f>
        <v>0</v>
      </c>
      <c r="W29" s="560">
        <f>IFERROR(IF($G29="",$I29,$G29)*$E29*W15,0)+IFERROR(IF($H29="",$J29,$H29)*$F29*SUM(W$16:W$19),0)</f>
        <v>0</v>
      </c>
    </row>
    <row r="30" spans="2:23" ht="15">
      <c r="B30" s="226"/>
      <c r="C30" s="1000"/>
      <c r="D30" s="237" t="s">
        <v>1080</v>
      </c>
      <c r="E30" s="252">
        <f>IF($M$14="",0,INDEX(Proforma_previous_year!$N:$N,MATCH($M$14,Proforma_previous_year!$A:$A,0)))</f>
        <v>0</v>
      </c>
      <c r="F30" s="249">
        <f>IF($M$14="",0,INDEX(Proforma_previous_year!$O:$O,MATCH($M$14,Proforma_previous_year!$A:$A,0)))</f>
        <v>0</v>
      </c>
      <c r="G30" s="358"/>
      <c r="H30" s="357"/>
      <c r="I30" s="253">
        <f>IF($M$14="",0,INDEX('LA Averages_previous_year'!$O:$O,MATCH($M$14,'LA Averages_previous_year'!$A:$A,0)))</f>
        <v>0</v>
      </c>
      <c r="J30" s="250">
        <f>IF($M$14="",0,INDEX('LA Averages_previous_year'!$V:$V,MATCH($M$14,'LA Averages_previous_year'!$A:$A,0)))</f>
        <v>0</v>
      </c>
      <c r="K30" s="247">
        <f>IFERROR(Open_Proportion*IF($G30="",$I30,$G30)*$E30*SUM($G$22:$G$22),0)</f>
        <v>0</v>
      </c>
      <c r="L30" s="251">
        <f>IFERROR(Open_Proportion*IF($H30="",$J30,$H30)*$F30*SUM($G$23:$G$26),0)</f>
        <v>0</v>
      </c>
      <c r="M30" s="1003"/>
      <c r="N30" s="232"/>
      <c r="P30" s="559" t="s">
        <v>681</v>
      </c>
      <c r="Q30" s="560">
        <f>IFERROR(IF($G30="",$I30,$G30)*$E30*Q$15,0)+IFERROR(IF($H30="",$J30,$H30)*$F30*SUM(Q$16:Q$19),0)</f>
        <v>0</v>
      </c>
      <c r="R30" s="560">
        <f>IFERROR(IF($G30="",$I30,$G30)*$E30*R$15,0)+IFERROR(IF($H30="",$J30,$H30)*$F30*SUM(R$16:R$19),0)</f>
        <v>0</v>
      </c>
      <c r="S30" s="560">
        <f>IFERROR(IF($G30="",$I30,$G30)*$E30*S$15,0)+IFERROR(IF($H30="",$J30,$H30)*$F30*SUM(S$16:S$19),0)</f>
        <v>0</v>
      </c>
      <c r="T30" s="560">
        <f>IFERROR(IF($G30="",$I30,$G30)*$E30*T$15,0)+IFERROR(IF($H30="",$J30,$H30)*$F30*SUM(T$16:T$19),0)</f>
        <v>0</v>
      </c>
      <c r="U30" s="560">
        <f>IFERROR(IF($G30="",$I30,$G30)*$E30*U$15,0)+IFERROR(IF($H30="",$J30,$H30)*$F30*SUM(U$16:U$19),0)</f>
        <v>0</v>
      </c>
      <c r="V30" s="560">
        <f>IFERROR(IF($G30="",$I30,$G30)*$E30*V$15,0)+IFERROR(IF($H30="",$J30,$H30)*$F30*SUM(V$16:V$19),0)</f>
        <v>0</v>
      </c>
      <c r="W30" s="560">
        <f>IFERROR(IF($G30="",$I30,$G30)*$E30*W$15,0)+IFERROR(IF($H30="",$J30,$H30)*$F30*SUM(W$16:W$19),0)</f>
        <v>0</v>
      </c>
    </row>
    <row r="31" spans="2:23" ht="15">
      <c r="B31" s="226"/>
      <c r="C31" s="1000"/>
      <c r="D31" s="237" t="s">
        <v>1081</v>
      </c>
      <c r="E31" s="252">
        <f>IF($M$14="",0,INDEX(Proforma_previous_year!$P:$P,MATCH($M$14,Proforma_previous_year!$A:$A,0)))</f>
        <v>0</v>
      </c>
      <c r="F31" s="249">
        <f>IF($M$14="",0,INDEX(Proforma_previous_year!$Q:$Q,MATCH($M$14,Proforma_previous_year!$A:$A,0)))</f>
        <v>0</v>
      </c>
      <c r="G31" s="358"/>
      <c r="H31" s="357"/>
      <c r="I31" s="253">
        <f>IF($M$14="",0,INDEX('LA Averages_previous_year'!$P:$P,MATCH($M$14,'LA Averages_previous_year'!$A:$A,0)))</f>
        <v>0</v>
      </c>
      <c r="J31" s="250">
        <f>IF($M$14="",0,INDEX('LA Averages_previous_year'!$W:$W,MATCH($M$14,'LA Averages_previous_year'!$A:$A,0)))</f>
        <v>0</v>
      </c>
      <c r="K31" s="247">
        <f>IFERROR(Open_Proportion*IF($G31="",$I31,$G31)*$E31*SUM($G$22:$G$22),0)</f>
        <v>0</v>
      </c>
      <c r="L31" s="251">
        <f>IFERROR(Open_Proportion*IF($H31="",$J31,$H31)*$F31*SUM($G$23:$G$26),0)</f>
        <v>0</v>
      </c>
      <c r="M31" s="1003"/>
      <c r="N31" s="232"/>
      <c r="P31" s="559" t="s">
        <v>682</v>
      </c>
      <c r="Q31" s="560">
        <f>IFERROR(IF($G31="",$I31,$G31)*$E31*Q$15,0)+IFERROR(IF($H31="",$J31,$H31)*$F31*SUM(Q$16:Q$19),0)</f>
        <v>0</v>
      </c>
      <c r="R31" s="560">
        <f>IFERROR(IF($G31="",$I31,$G31)*$E31*R$15,0)+IFERROR(IF($H31="",$J31,$H31)*$F31*SUM(R$16:R$19),0)</f>
        <v>0</v>
      </c>
      <c r="S31" s="560">
        <f>IFERROR(IF($G31="",$I31,$G31)*$E31*S$15,0)+IFERROR(IF($H31="",$J31,$H31)*$F31*SUM(S$16:S$19),0)</f>
        <v>0</v>
      </c>
      <c r="T31" s="560">
        <f>IFERROR(IF($G31="",$I31,$G31)*$E31*T$15,0)+IFERROR(IF($H31="",$J31,$H31)*$F31*SUM(T$16:T$19),0)</f>
        <v>0</v>
      </c>
      <c r="U31" s="560">
        <f>IFERROR(IF($G31="",$I31,$G31)*$E31*U$15,0)+IFERROR(IF($H31="",$J31,$H31)*$F31*SUM(U$16:U$19),0)</f>
        <v>0</v>
      </c>
      <c r="V31" s="560">
        <f>IFERROR(IF($G31="",$I31,$G31)*$E31*V$15,0)+IFERROR(IF($H31="",$J31,$H31)*$F31*SUM(V$16:V$19),0)</f>
        <v>0</v>
      </c>
      <c r="W31" s="560">
        <f>IFERROR(IF($G31="",$I31,$G31)*$E31*W$15,0)+IFERROR(IF($H31="",$J31,$H31)*$F31*SUM(W$16:W$19),0)</f>
        <v>0</v>
      </c>
    </row>
    <row r="32" spans="2:23" ht="15">
      <c r="B32" s="226"/>
      <c r="C32" s="1000"/>
      <c r="D32" s="237" t="s">
        <v>1082</v>
      </c>
      <c r="E32" s="252">
        <f>IF($M$14="",0,INDEX(Proforma_previous_year!$R:$R,MATCH($M$14,Proforma_previous_year!$A:$A,0)))</f>
        <v>0</v>
      </c>
      <c r="F32" s="249">
        <f>IF($M$14="",0,INDEX(Proforma_previous_year!$S:$S,MATCH($M$14,Proforma_previous_year!$A:$A,0)))</f>
        <v>0</v>
      </c>
      <c r="G32" s="358"/>
      <c r="H32" s="357"/>
      <c r="I32" s="253">
        <f>IF($M$14="",0,INDEX('LA Averages_previous_year'!$Q:$Q,MATCH($M$14,'LA Averages_previous_year'!$A:$A,0)))</f>
        <v>0</v>
      </c>
      <c r="J32" s="250">
        <f>IF($M$14="",0,INDEX('LA Averages_previous_year'!$X:$X,MATCH($M$14,'LA Averages_previous_year'!$A:$A,0)))</f>
        <v>0</v>
      </c>
      <c r="K32" s="247">
        <f>IFERROR(Open_Proportion*IF($G32="",$I32,$G32)*$E32*SUM($G$22:$G$22),0)</f>
        <v>0</v>
      </c>
      <c r="L32" s="251">
        <f>IFERROR(Open_Proportion*IF($H32="",$J32,$H32)*$F32*SUM($G$23:$G$26),0)</f>
        <v>0</v>
      </c>
      <c r="M32" s="1003"/>
      <c r="N32" s="232"/>
      <c r="P32" s="559" t="s">
        <v>683</v>
      </c>
      <c r="Q32" s="560">
        <f>IFERROR(IF($G32="",$I32,$G32)*$E32*Q$15,0)+IFERROR(IF($H32="",$J32,$H32)*$F32*SUM(Q$16:Q$19),0)</f>
        <v>0</v>
      </c>
      <c r="R32" s="560">
        <f>IFERROR(IF($G32="",$I32,$G32)*$E32*R$15,0)+IFERROR(IF($H32="",$J32,$H32)*$F32*SUM(R$16:R$19),0)</f>
        <v>0</v>
      </c>
      <c r="S32" s="560">
        <f>IFERROR(IF($G32="",$I32,$G32)*$E32*S$15,0)+IFERROR(IF($H32="",$J32,$H32)*$F32*SUM(S$16:S$19),0)</f>
        <v>0</v>
      </c>
      <c r="T32" s="560">
        <f>IFERROR(IF($G32="",$I32,$G32)*$E32*T$15,0)+IFERROR(IF($H32="",$J32,$H32)*$F32*SUM(T$16:T$19),0)</f>
        <v>0</v>
      </c>
      <c r="U32" s="560">
        <f>IFERROR(IF($G32="",$I32,$G32)*$E32*U$15,0)+IFERROR(IF($H32="",$J32,$H32)*$F32*SUM(U$16:U$19),0)</f>
        <v>0</v>
      </c>
      <c r="V32" s="560">
        <f>IFERROR(IF($G32="",$I32,$G32)*$E32*V$15,0)+IFERROR(IF($H32="",$J32,$H32)*$F32*SUM(V$16:V$19),0)</f>
        <v>0</v>
      </c>
      <c r="W32" s="560">
        <f>IFERROR(IF($G32="",$I32,$G32)*$E32*W$15,0)+IFERROR(IF($H32="",$J32,$H32)*$F32*SUM(W$16:W$19),0)</f>
        <v>0</v>
      </c>
    </row>
    <row r="33" spans="2:23" ht="15">
      <c r="B33" s="226"/>
      <c r="C33" s="1000"/>
      <c r="D33" s="237" t="s">
        <v>1083</v>
      </c>
      <c r="E33" s="252">
        <f>IF($M$14="",0,INDEX(Proforma_previous_year!$T:$T,MATCH($M$14,Proforma_previous_year!$A:$A,0)))</f>
        <v>0</v>
      </c>
      <c r="F33" s="249">
        <f>IF($M$14="",0,INDEX(Proforma_previous_year!$U:$U,MATCH($M$14,Proforma_previous_year!$A:$A,0)))</f>
        <v>0</v>
      </c>
      <c r="G33" s="358"/>
      <c r="H33" s="357"/>
      <c r="I33" s="253">
        <f>IF($M$14="",0,INDEX('LA Averages_previous_year'!$R:$R,MATCH($M$14,'LA Averages_previous_year'!$A:$A,0)))</f>
        <v>0</v>
      </c>
      <c r="J33" s="250">
        <f>IF($M$14="",0,INDEX('LA Averages_previous_year'!$Y:$Y,MATCH($M$14,'LA Averages_previous_year'!$A:$A,0)))</f>
        <v>0</v>
      </c>
      <c r="K33" s="247">
        <f>IFERROR(Open_Proportion*IF($G33="",$I33,$G33)*$E33*SUM($G$22:$G$22),0)</f>
        <v>0</v>
      </c>
      <c r="L33" s="251">
        <f>IFERROR(Open_Proportion*IF($H33="",$J33,$H33)*$F33*SUM($G$23:$G$26),0)</f>
        <v>0</v>
      </c>
      <c r="M33" s="1003"/>
      <c r="N33" s="232"/>
      <c r="P33" s="559" t="s">
        <v>684</v>
      </c>
      <c r="Q33" s="560">
        <f>IFERROR(IF($G33="",$I33,$G33)*$E33*Q$15,0)+IFERROR(IF($H33="",$J33,$H33)*$F33*SUM(Q$16:Q$19),0)</f>
        <v>0</v>
      </c>
      <c r="R33" s="560">
        <f>IFERROR(IF($G33="",$I33,$G33)*$E33*R$15,0)+IFERROR(IF($H33="",$J33,$H33)*$F33*SUM(R$16:R$19),0)</f>
        <v>0</v>
      </c>
      <c r="S33" s="560">
        <f>IFERROR(IF($G33="",$I33,$G33)*$E33*S$15,0)+IFERROR(IF($H33="",$J33,$H33)*$F33*SUM(S$16:S$19),0)</f>
        <v>0</v>
      </c>
      <c r="T33" s="560">
        <f>IFERROR(IF($G33="",$I33,$G33)*$E33*T$15,0)+IFERROR(IF($H33="",$J33,$H33)*$F33*SUM(T$16:T$19),0)</f>
        <v>0</v>
      </c>
      <c r="U33" s="560">
        <f>IFERROR(IF($G33="",$I33,$G33)*$E33*U$15,0)+IFERROR(IF($H33="",$J33,$H33)*$F33*SUM(U$16:U$19),0)</f>
        <v>0</v>
      </c>
      <c r="V33" s="560">
        <f>IFERROR(IF($G33="",$I33,$G33)*$E33*V$15,0)+IFERROR(IF($H33="",$J33,$H33)*$F33*SUM(V$16:V$19),0)</f>
        <v>0</v>
      </c>
      <c r="W33" s="560">
        <f>IFERROR(IF($G33="",$I33,$G33)*$E33*W$15,0)+IFERROR(IF($H33="",$J33,$H33)*$F33*SUM(W$16:W$19),0)</f>
        <v>0</v>
      </c>
    </row>
    <row r="34" spans="2:23" ht="15">
      <c r="B34" s="226"/>
      <c r="C34" s="1000"/>
      <c r="D34" s="237" t="s">
        <v>1084</v>
      </c>
      <c r="E34" s="252">
        <f>IF($M$14="",0,INDEX(Proforma_previous_year!$V:$V,MATCH($M$14,Proforma_previous_year!$A:$A,0)))</f>
        <v>0</v>
      </c>
      <c r="F34" s="249">
        <f>IF($M$14="",0,INDEX(Proforma_previous_year!$W:$W,MATCH($M$14,Proforma_previous_year!$A:$A,0)))</f>
        <v>0</v>
      </c>
      <c r="G34" s="358"/>
      <c r="H34" s="357"/>
      <c r="I34" s="253">
        <f>IF($M$14="",0,INDEX('LA Averages_previous_year'!$S:$S,MATCH($M$14,'LA Averages_previous_year'!$A:$A,0)))</f>
        <v>0</v>
      </c>
      <c r="J34" s="250">
        <f>IF($M$14="",0,INDEX('LA Averages_previous_year'!$Z:$Z,MATCH($M$14,'LA Averages_previous_year'!$A:$A,0)))</f>
        <v>0</v>
      </c>
      <c r="K34" s="247">
        <f>IFERROR(Open_Proportion*IF($G34="",$I34,$G34)*$E34*SUM($G$22:$G$22),0)</f>
        <v>0</v>
      </c>
      <c r="L34" s="251">
        <f>IFERROR(Open_Proportion*IF($H34="",$J34,$H34)*$F34*SUM($G$23:$G$26),0)</f>
        <v>0</v>
      </c>
      <c r="M34" s="1003"/>
      <c r="N34" s="232"/>
      <c r="P34" s="559" t="s">
        <v>685</v>
      </c>
      <c r="Q34" s="560">
        <f>IFERROR(IF($G34="",$I34,$G34)*$E34*Q$15,0)+IFERROR(IF($H34="",$J34,$H34)*$F34*SUM(Q$16:Q$19),0)</f>
        <v>0</v>
      </c>
      <c r="R34" s="560">
        <f>IFERROR(IF($G34="",$I34,$G34)*$E34*R$15,0)+IFERROR(IF($H34="",$J34,$H34)*$F34*SUM(R$16:R$19),0)</f>
        <v>0</v>
      </c>
      <c r="S34" s="560">
        <f>IFERROR(IF($G34="",$I34,$G34)*$E34*S$15,0)+IFERROR(IF($H34="",$J34,$H34)*$F34*SUM(S$16:S$19),0)</f>
        <v>0</v>
      </c>
      <c r="T34" s="560">
        <f>IFERROR(IF($G34="",$I34,$G34)*$E34*T$15,0)+IFERROR(IF($H34="",$J34,$H34)*$F34*SUM(T$16:T$19),0)</f>
        <v>0</v>
      </c>
      <c r="U34" s="560">
        <f>IFERROR(IF($G34="",$I34,$G34)*$E34*U$15,0)+IFERROR(IF($H34="",$J34,$H34)*$F34*SUM(U$16:U$19),0)</f>
        <v>0</v>
      </c>
      <c r="V34" s="560">
        <f>IFERROR(IF($G34="",$I34,$G34)*$E34*V$15,0)+IFERROR(IF($H34="",$J34,$H34)*$F34*SUM(V$16:V$19),0)</f>
        <v>0</v>
      </c>
      <c r="W34" s="560">
        <f>IFERROR(IF($G34="",$I34,$G34)*$E34*W$15,0)+IFERROR(IF($H34="",$J34,$H34)*$F34*SUM(W$16:W$19),0)</f>
        <v>0</v>
      </c>
    </row>
    <row r="35" spans="2:23" ht="15.75" thickBot="1">
      <c r="B35" s="226"/>
      <c r="C35" s="1022"/>
      <c r="D35" s="239" t="s">
        <v>1085</v>
      </c>
      <c r="E35" s="254">
        <f>IF($M$14="",0,INDEX(Proforma_previous_year!$X:$X,MATCH($M$14,Proforma_previous_year!$A:$A,0)))</f>
        <v>0</v>
      </c>
      <c r="F35" s="255">
        <f>IF($M$14="",0,INDEX(Proforma_previous_year!$Y:$Y,MATCH($M$14,Proforma_previous_year!$A:$A,0)))</f>
        <v>0</v>
      </c>
      <c r="G35" s="690"/>
      <c r="H35" s="359"/>
      <c r="I35" s="256">
        <f>IF($M$14="",0,INDEX('LA Averages_previous_year'!$T:$T,MATCH($M$14,'LA Averages_previous_year'!$A:$A,0)))</f>
        <v>0</v>
      </c>
      <c r="J35" s="257">
        <f>IF($M$14="",0,INDEX('LA Averages_previous_year'!$AA:$AA,MATCH($M$14,'LA Averages_previous_year'!$A:$A,0)))</f>
        <v>0</v>
      </c>
      <c r="K35" s="247">
        <f>IFERROR(Open_Proportion*IF($G35="",$I35,$G35)*$E35*SUM($G$22:$G$22),0)</f>
        <v>0</v>
      </c>
      <c r="L35" s="251">
        <f>IFERROR(Open_Proportion*IF($H35="",$J35,$H35)*$F35*SUM($G$23:$G$26),0)</f>
        <v>0</v>
      </c>
      <c r="M35" s="1004"/>
      <c r="N35" s="232"/>
      <c r="P35" s="559" t="s">
        <v>686</v>
      </c>
      <c r="Q35" s="560">
        <f>IFERROR(IF($G35="",$I35,$G35)*$E35*Q$15,0)+IFERROR(IF($H35="",$J35,$H35)*$F35*SUM(Q$16:Q$19),0)</f>
        <v>0</v>
      </c>
      <c r="R35" s="560">
        <f>IFERROR(IF($G35="",$I35,$G35)*$E35*R$15,0)+IFERROR(IF($H35="",$J35,$H35)*$F35*SUM(R$16:R$19),0)</f>
        <v>0</v>
      </c>
      <c r="S35" s="560">
        <f>IFERROR(IF($G35="",$I35,$G35)*$E35*S$15,0)+IFERROR(IF($H35="",$J35,$H35)*$F35*SUM(S$16:S$19),0)</f>
        <v>0</v>
      </c>
      <c r="T35" s="560">
        <f>IFERROR(IF($G35="",$I35,$G35)*$E35*T$15,0)+IFERROR(IF($H35="",$J35,$H35)*$F35*SUM(T$16:T$19),0)</f>
        <v>0</v>
      </c>
      <c r="U35" s="560">
        <f>IFERROR(IF($G35="",$I35,$G35)*$E35*U$15,0)+IFERROR(IF($H35="",$J35,$H35)*$F35*SUM(U$16:U$19),0)</f>
        <v>0</v>
      </c>
      <c r="V35" s="560">
        <f>IFERROR(IF($G35="",$I35,$G35)*$E35*V$15,0)+IFERROR(IF($H35="",$J35,$H35)*$F35*SUM(V$16:V$19),0)</f>
        <v>0</v>
      </c>
      <c r="W35" s="560">
        <f>IFERROR(IF($G35="",$I35,$G35)*$E35*W$15,0)+IFERROR(IF($H35="",$J35,$H35)*$F35*SUM(W$16:W$19),0)</f>
        <v>0</v>
      </c>
    </row>
    <row r="36" spans="2:14" ht="72" customHeight="1" thickBot="1">
      <c r="B36" s="226"/>
      <c r="C36" s="258"/>
      <c r="D36" s="684" t="s">
        <v>665</v>
      </c>
      <c r="E36" s="259" t="s">
        <v>673</v>
      </c>
      <c r="F36" s="260" t="s">
        <v>674</v>
      </c>
      <c r="G36" s="261" t="s">
        <v>675</v>
      </c>
      <c r="H36" s="262" t="s">
        <v>676</v>
      </c>
      <c r="I36" s="263" t="s">
        <v>677</v>
      </c>
      <c r="J36" s="264" t="s">
        <v>678</v>
      </c>
      <c r="K36" s="682" t="s">
        <v>668</v>
      </c>
      <c r="L36" s="967"/>
      <c r="M36" s="265" t="s">
        <v>669</v>
      </c>
      <c r="N36" s="232"/>
    </row>
    <row r="37" spans="2:23" ht="27" customHeight="1" thickBot="1">
      <c r="B37" s="226"/>
      <c r="C37" s="266" t="s">
        <v>687</v>
      </c>
      <c r="D37" s="267" t="s">
        <v>723</v>
      </c>
      <c r="E37" s="1005">
        <f>IF($M$14="",0,INDEX(Proforma_previous_year!$Z:$Z,MATCH($M$14,Proforma_previous_year!$A:$A,0)))</f>
        <v>0</v>
      </c>
      <c r="F37" s="1006"/>
      <c r="G37" s="356"/>
      <c r="H37" s="360"/>
      <c r="I37" s="707"/>
      <c r="J37" s="271"/>
      <c r="K37" s="1007">
        <f>IFERROR(Open_Proportion*IF($E$37="",0,$G$37*$E$37*SUM($G$22:$G$22)+$H$37*$E$37*SUM($G$23:$G$26)),0)</f>
        <v>0</v>
      </c>
      <c r="L37" s="1008"/>
      <c r="M37" s="268">
        <f>SUM(K37)</f>
        <v>0</v>
      </c>
      <c r="N37" s="232"/>
      <c r="P37" s="561" t="s">
        <v>715</v>
      </c>
      <c r="Q37" s="562">
        <f>IFERROR(IF($E$37="",0,$G$37*$E$37*Q$15+$H$37*$E$37*SUM(Q$16:Q$19)),0)</f>
        <v>0</v>
      </c>
      <c r="R37" s="562">
        <f>IFERROR(IF($E$37="",0,$G$37*$E$37*R$15+$H$37*$E$37*SUM(R$16:R$19)),0)</f>
        <v>0</v>
      </c>
      <c r="S37" s="562">
        <f>IFERROR(IF($E$37="",0,$G$37*$E$37*S$15+$H$37*$E$37*SUM(S$16:S$19)),0)</f>
        <v>0</v>
      </c>
      <c r="T37" s="562">
        <f>IFERROR(IF($E$37="",0,$G$37*$E$37*T$15+$H$37*$E$37*SUM(T$16:T$19)),0)</f>
        <v>0</v>
      </c>
      <c r="U37" s="562">
        <f>IFERROR(IF($E$37="",0,$G$37*$E$37*U$15+$H$37*$E$37*SUM(U$16:U$19)),0)</f>
        <v>0</v>
      </c>
      <c r="V37" s="562">
        <f>IFERROR(IF($E$37="",0,$G$37*$E$37*V$15+$H$37*$E$37*SUM(V$16:V$19)),0)</f>
        <v>0</v>
      </c>
      <c r="W37" s="562">
        <f>IFERROR(IF($E$37="",0,$G$37*$E$37*W$15+$H$37*$E$37*SUM(W$16:W$19)),0)</f>
        <v>0</v>
      </c>
    </row>
    <row r="38" spans="2:23" ht="15.75" customHeight="1" thickBot="1">
      <c r="B38" s="226"/>
      <c r="C38" s="1014" t="s">
        <v>688</v>
      </c>
      <c r="D38" s="406" t="str">
        <f>IF($M$14="","",IF(INDEX(Proforma_previous_year!$AA:$AA,MATCH($M$14,Proforma_previous_year!$A:$A,0))="N/A","Not Applicable",INDEX(Proforma_previous_year!$AA:$AA,MATCH($M$14,Proforma_previous_year!$A:$A,0))))</f>
        <v/>
      </c>
      <c r="E38" s="404">
        <f>IF($M$14="",0,INDEX(Proforma_previous_year!$AB:$AB,MATCH($M$14,Proforma_previous_year!$A:$A,0)))</f>
        <v>0</v>
      </c>
      <c r="F38" s="269"/>
      <c r="G38" s="686"/>
      <c r="H38" s="270"/>
      <c r="I38" s="253">
        <f>IF(OR($M$14="",$D$38="Not Applicable"),0,IF($D$38="EAL 1 Primary",INDEX('LA Averages_previous_year'!$AB:$AB,MATCH($M$14,'LA Averages_previous_year'!$A:$A,0)),IF($D$38="EAL 2 Primary",INDEX('LA Averages_previous_year'!$AC:$AC,MATCH($M$14,'LA Averages_previous_year'!$A:$A,0)),INDEX('LA Averages_previous_year'!$AD:$AD,MATCH($M$14,'LA Averages_previous_year'!$A:$A,0)))))</f>
        <v>0</v>
      </c>
      <c r="J38" s="271"/>
      <c r="K38" s="1016">
        <f>IFERROR(Open_Proportion*IF($G38="",$I38,$G38)*$E38*SUM($G$22:$G$22),0)</f>
        <v>0</v>
      </c>
      <c r="L38" s="1017"/>
      <c r="M38" s="1018">
        <f>SUM(K38:L39)</f>
        <v>0</v>
      </c>
      <c r="N38" s="232"/>
      <c r="P38" s="561" t="s">
        <v>803</v>
      </c>
      <c r="Q38" s="560">
        <f>IFERROR(IF($G38="",$I38,$G38)*$E38*Q$15,0)+IFERROR(IF($H39="",$J39,$H39)*$F39*SUM(Q$16:Q$19),0)</f>
        <v>0</v>
      </c>
      <c r="R38" s="560">
        <f>IFERROR(IF($G38="",$I38,$G38)*$E38*R$15,0)+IFERROR(IF($H39="",$J39,$H39)*$F39*SUM(R$16:R$19),0)</f>
        <v>0</v>
      </c>
      <c r="S38" s="560">
        <f>IFERROR(IF($G38="",$I38,$G38)*$E38*S$15,0)+IFERROR(IF($H39="",$J39,$H39)*$F39*SUM(S$16:S$19),0)</f>
        <v>0</v>
      </c>
      <c r="T38" s="560">
        <f>IFERROR(IF($G38="",$I38,$G38)*$E38*T$15,0)+IFERROR(IF($H39="",$J39,$H39)*$F39*SUM(T$16:T$19),0)</f>
        <v>0</v>
      </c>
      <c r="U38" s="560">
        <f>IFERROR(IF($G38="",$I38,$G38)*$E38*U$15,0)+IFERROR(IF($H39="",$J39,$H39)*$F39*SUM(U$16:U$19),0)</f>
        <v>0</v>
      </c>
      <c r="V38" s="560">
        <f>IFERROR(IF($G38="",$I38,$G38)*$E38*V$15,0)+IFERROR(IF($H39="",$J39,$H39)*$F39*SUM(V$16:V$19),0)</f>
        <v>0</v>
      </c>
      <c r="W38" s="560">
        <f>IFERROR(IF($G38="",$I38,$G38)*$E38*W$15,0)+IFERROR(IF($H39="",$J39,$H39)*$F39*SUM(W$16:W$19),0)</f>
        <v>0</v>
      </c>
    </row>
    <row r="39" spans="2:14" ht="15.75" thickBot="1">
      <c r="B39" s="226"/>
      <c r="C39" s="1015"/>
      <c r="D39" s="407" t="str">
        <f>IF($M$14="","",IF(INDEX(Proforma_previous_year!$AC:$AC,MATCH($M$14,Proforma_previous_year!$A:$A,0))="N/A","Not Applicable",INDEX(Proforma_previous_year!$AC:$AC,MATCH($M$14,Proforma_previous_year!$A:$A,0))))</f>
        <v/>
      </c>
      <c r="E39" s="405"/>
      <c r="F39" s="272">
        <f>IF($M$14="",0,INDEX(Proforma_previous_year!$AD:$AD,MATCH($M$14,Proforma_previous_year!$A:$A,0)))</f>
        <v>0</v>
      </c>
      <c r="G39" s="270"/>
      <c r="H39" s="357"/>
      <c r="I39" s="270"/>
      <c r="J39" s="250">
        <f>IF(OR($M$14="",$D$39="Not Applicable"),0,IF($D$39="EAL 1 Secondary",INDEX('LA Averages_previous_year'!$AE:$AE,MATCH($M$14,'LA Averages_previous_year'!$A:$A,0)),IF($D$39="EAL 2 Secondary",INDEX('LA Averages_previous_year'!$AF:$AF,MATCH($M$14,'LA Averages_previous_year'!$A:$A,0)),INDEX('LA Averages_previous_year'!$AG:$AG,MATCH($M$14,'LA Averages_previous_year'!$A:$A,0)))))</f>
        <v>0</v>
      </c>
      <c r="K39" s="1020">
        <f>IFERROR(Open_Proportion*IF($H39="",$J39,$H39)*$F39*SUM($G$23:$G$26),0)</f>
        <v>0</v>
      </c>
      <c r="L39" s="1021"/>
      <c r="M39" s="1019"/>
      <c r="N39" s="232"/>
    </row>
    <row r="40" spans="2:23" ht="15.75" customHeight="1" thickBot="1">
      <c r="B40" s="226"/>
      <c r="C40" s="1009" t="s">
        <v>689</v>
      </c>
      <c r="D40" s="1010"/>
      <c r="E40" s="1010"/>
      <c r="F40" s="1010"/>
      <c r="G40" s="1010"/>
      <c r="H40" s="1011"/>
      <c r="I40" s="1012" t="s">
        <v>1185</v>
      </c>
      <c r="J40" s="683"/>
      <c r="K40" s="683"/>
      <c r="L40" s="683"/>
      <c r="M40" s="1013"/>
      <c r="N40" s="232"/>
      <c r="P40" s="561" t="s">
        <v>804</v>
      </c>
      <c r="Q40" s="562">
        <v>0</v>
      </c>
      <c r="R40" s="562">
        <v>0</v>
      </c>
      <c r="S40" s="562">
        <v>0</v>
      </c>
      <c r="T40" s="562">
        <v>0</v>
      </c>
      <c r="U40" s="562">
        <v>0</v>
      </c>
      <c r="V40" s="562">
        <v>0</v>
      </c>
      <c r="W40" s="562">
        <v>0</v>
      </c>
    </row>
    <row r="41" spans="2:16" ht="60.75" thickBot="1">
      <c r="B41" s="226"/>
      <c r="C41" s="984" t="s">
        <v>690</v>
      </c>
      <c r="D41" s="684" t="s">
        <v>665</v>
      </c>
      <c r="E41" s="642" t="s">
        <v>1086</v>
      </c>
      <c r="F41" s="643" t="s">
        <v>1087</v>
      </c>
      <c r="G41" s="1032" t="s">
        <v>691</v>
      </c>
      <c r="H41" s="1033"/>
      <c r="I41" s="274" t="s">
        <v>677</v>
      </c>
      <c r="J41" s="275" t="s">
        <v>678</v>
      </c>
      <c r="K41" s="684" t="s">
        <v>668</v>
      </c>
      <c r="L41" s="685"/>
      <c r="M41" s="265" t="s">
        <v>669</v>
      </c>
      <c r="N41" s="232"/>
      <c r="P41" s="558" t="s">
        <v>805</v>
      </c>
    </row>
    <row r="42" spans="2:23" ht="15" customHeight="1" thickBot="1">
      <c r="B42" s="226"/>
      <c r="C42" s="868"/>
      <c r="D42" s="646" t="s">
        <v>1088</v>
      </c>
      <c r="E42" s="405"/>
      <c r="F42" s="678">
        <f>IF($M$14="",0,INDEX(Proforma_previous_year!$AE:$AE,MATCH($M$14,Proforma_previous_year!$A:$A,0)))</f>
        <v>0</v>
      </c>
      <c r="G42" s="1079"/>
      <c r="H42" s="1080"/>
      <c r="I42" s="647">
        <f>IF($M$14="",0,INDEX('LA Averages_previous_year'!$AI:$AI,MATCH($M$14,'LA Averages_previous_year'!$A:$A,0)))</f>
        <v>0</v>
      </c>
      <c r="J42" s="649"/>
      <c r="K42" s="1081">
        <f>Open_Proportion*G22*IF(OR($G42="",$G42=0),$I42,$G42)*$F42</f>
        <v>0</v>
      </c>
      <c r="L42" s="1035"/>
      <c r="M42" s="1082">
        <f>K43+K42</f>
        <v>0</v>
      </c>
      <c r="N42" s="232"/>
      <c r="P42" s="559" t="s">
        <v>160</v>
      </c>
      <c r="Q42" s="562">
        <f>Q15*IF(OR($G42="",$G42=0),$I42,$G42)*$F42</f>
        <v>0</v>
      </c>
      <c r="R42" s="562">
        <f>R15*IF(OR($G42="",$G42=0),$I42,$G42)*$F42</f>
        <v>0</v>
      </c>
      <c r="S42" s="562">
        <f>S15*IF(OR($G42="",$G42=0),$I42,$G42)*$F42</f>
        <v>0</v>
      </c>
      <c r="T42" s="562">
        <f>T15*IF(OR($G42="",$G42=0),$I42,$G42)*$F42</f>
        <v>0</v>
      </c>
      <c r="U42" s="562">
        <f>U15*IF(OR($G42="",$G42=0),$I42,$G42)*$F42</f>
        <v>0</v>
      </c>
      <c r="V42" s="562">
        <f>V15*IF(OR($G42="",$G42=0),$I42,$G42)*$F42</f>
        <v>0</v>
      </c>
      <c r="W42" s="562">
        <f>W15*IF(OR($G42="",$G42=0),$I42,$G42)*$F42</f>
        <v>0</v>
      </c>
    </row>
    <row r="43" spans="2:23" ht="15">
      <c r="B43" s="226"/>
      <c r="C43" s="868"/>
      <c r="D43" s="645" t="s">
        <v>1089</v>
      </c>
      <c r="E43" s="679">
        <f>IF($M$14="",0,INDEX(Proforma_previous_year!$AF:$AF,MATCH($M$14,Proforma_previous_year!$A:$A,0)))</f>
        <v>0</v>
      </c>
      <c r="F43" s="1085">
        <f>IF($M$14="",0,INDEX(Proforma_previous_year!$AI:$AI,MATCH($M$14,Proforma_previous_year!$A:$A,0)))</f>
        <v>0</v>
      </c>
      <c r="G43" s="1087"/>
      <c r="H43" s="1088"/>
      <c r="I43" s="648"/>
      <c r="J43" s="675">
        <f>IF($M$14="",0,INDEX('LA Averages_previous_year'!$AJ:$AJ,MATCH($M$14,'LA Averages_previous_year'!$A:$A,0)))</f>
        <v>0</v>
      </c>
      <c r="K43" s="1089">
        <f>Open_Proportion*((G23*IF(OR($G43="",$G43=0),$J43,$G43)*$E43)+(G24*IF(OR($G44="",$G44=0),$J44,$G44)*$E44)+(G25*IF(OR($G45="",$G45=0),$J45,$G45)*$E45)+(G26*IF(OR($G46="",$G46=0),$J46,$G46)))*$F43</f>
        <v>0</v>
      </c>
      <c r="L43" s="1090"/>
      <c r="M43" s="1083"/>
      <c r="N43" s="232"/>
      <c r="P43" s="559" t="s">
        <v>1089</v>
      </c>
      <c r="Q43" s="562">
        <f>Q16*IF(OR($G43="",$G43=0),$J43,$G43)*$E43*$F$43</f>
        <v>0</v>
      </c>
      <c r="R43" s="562">
        <f>R16*IF(OR($G43="",$G43=0),$J43,$G43)*$E43*$F$43</f>
        <v>0</v>
      </c>
      <c r="S43" s="562">
        <f>S16*IF(OR($G43="",$G43=0),$J43,$G43)*$E43*$F$43</f>
        <v>0</v>
      </c>
      <c r="T43" s="562">
        <f>T16*IF(OR($G43="",$G43=0),$J43,$G43)*$E43*$F$43</f>
        <v>0</v>
      </c>
      <c r="U43" s="562">
        <f>U16*IF(OR($G43="",$G43=0),$J43,$G43)*$E43*$F$43</f>
        <v>0</v>
      </c>
      <c r="V43" s="562">
        <f>V16*IF(OR($G43="",$G43=0),$J43,$G43)*$E43*$F$43</f>
        <v>0</v>
      </c>
      <c r="W43" s="562">
        <f>W16*IF(OR($G43="",$G43=0),$J43,$G43)*$E43*$F$43</f>
        <v>0</v>
      </c>
    </row>
    <row r="44" spans="2:23" ht="15">
      <c r="B44" s="226"/>
      <c r="C44" s="868"/>
      <c r="D44" s="644" t="s">
        <v>1090</v>
      </c>
      <c r="E44" s="680">
        <f>IF($M$14="",0,INDEX(Proforma_previous_year!$AG:$AG,MATCH($M$14,Proforma_previous_year!$A:$A,0)))</f>
        <v>0</v>
      </c>
      <c r="F44" s="1036"/>
      <c r="G44" s="686"/>
      <c r="H44" s="1095"/>
      <c r="I44" s="270"/>
      <c r="J44" s="676">
        <f>IF($M$14="",0,INDEX('LA Averages_previous_year'!$AK:$AK,MATCH($M$14,'LA Averages_previous_year'!$A:$A,0)))</f>
        <v>0</v>
      </c>
      <c r="K44" s="1091"/>
      <c r="L44" s="1092"/>
      <c r="M44" s="1083"/>
      <c r="N44" s="232"/>
      <c r="P44" s="559" t="s">
        <v>1090</v>
      </c>
      <c r="Q44" s="562">
        <f>Q17*IF(OR($G44="",$G44=0),$J44,$G44)*$E44*$F$43</f>
        <v>0</v>
      </c>
      <c r="R44" s="562">
        <f>R17*IF(OR($G44="",$G44=0),$J44,$G44)*$E44*$F$43</f>
        <v>0</v>
      </c>
      <c r="S44" s="562">
        <f>S17*IF(OR($G44="",$G44=0),$J44,$G44)*$E44*$F$43</f>
        <v>0</v>
      </c>
      <c r="T44" s="562">
        <f>T17*IF(OR($G44="",$G44=0),$J44,$G44)*$E44*$F$43</f>
        <v>0</v>
      </c>
      <c r="U44" s="562">
        <f>U17*IF(OR($G44="",$G44=0),$J44,$G44)*$E44*$F$43</f>
        <v>0</v>
      </c>
      <c r="V44" s="562">
        <f>V17*IF(OR($G44="",$G44=0),$J44,$G44)*$E44*$F$43</f>
        <v>0</v>
      </c>
      <c r="W44" s="562">
        <f>W17*IF(OR($G44="",$G44=0),$J44,$G44)*$E44*$F$43</f>
        <v>0</v>
      </c>
    </row>
    <row r="45" spans="2:23" ht="15.75" thickBot="1">
      <c r="B45" s="226"/>
      <c r="C45" s="868"/>
      <c r="D45" s="644" t="s">
        <v>1091</v>
      </c>
      <c r="E45" s="680">
        <f>IF($M$14="",0,INDEX(Proforma_previous_year!$AH:$AH,MATCH($M$14,Proforma_previous_year!$A:$A,0)))</f>
        <v>0</v>
      </c>
      <c r="F45" s="1036"/>
      <c r="G45" s="686"/>
      <c r="H45" s="1095"/>
      <c r="I45" s="270"/>
      <c r="J45" s="676">
        <f>IF($M$14="",0,INDEX('LA Averages_previous_year'!$AL:$AL,MATCH($M$14,'LA Averages_previous_year'!$A:$A,0)))</f>
        <v>0</v>
      </c>
      <c r="K45" s="1091"/>
      <c r="L45" s="1092"/>
      <c r="M45" s="1083"/>
      <c r="N45" s="232"/>
      <c r="P45" s="559" t="s">
        <v>1091</v>
      </c>
      <c r="Q45" s="562">
        <f>Q18*IF(OR($G45="",$G45=0),$J45,$G45)*$E45*$F$43</f>
        <v>0</v>
      </c>
      <c r="R45" s="562">
        <f>R18*IF(OR($G45="",$G45=0),$J45,$G45)*$E45*$F$43</f>
        <v>0</v>
      </c>
      <c r="S45" s="562">
        <f>S18*IF(OR($G45="",$G45=0),$J45,$G45)*$E45*$F$43</f>
        <v>0</v>
      </c>
      <c r="T45" s="562">
        <f>T18*IF(OR($G45="",$G45=0),$J45,$G45)*$E45*$F$43</f>
        <v>0</v>
      </c>
      <c r="U45" s="562">
        <f>U18*IF(OR($G45="",$G45=0),$J45,$G45)*$E45*$F$43</f>
        <v>0</v>
      </c>
      <c r="V45" s="562">
        <f>V18*IF(OR($G45="",$G45=0),$J45,$G45)*$E45*$F$43</f>
        <v>0</v>
      </c>
      <c r="W45" s="562">
        <f>W18*IF(OR($G45="",$G45=0),$J45,$G45)*$E45*$F$43</f>
        <v>0</v>
      </c>
    </row>
    <row r="46" spans="2:23" ht="15.75" thickBot="1">
      <c r="B46" s="226"/>
      <c r="C46" s="1078"/>
      <c r="D46" s="276" t="s">
        <v>1092</v>
      </c>
      <c r="E46" s="405"/>
      <c r="F46" s="1086"/>
      <c r="G46" s="1038"/>
      <c r="H46" s="1096"/>
      <c r="I46" s="273"/>
      <c r="J46" s="677">
        <f>IF($M$14="",0,INDEX('LA Averages_previous_year'!$AM:$AM,MATCH($M$14,'LA Averages_previous_year'!$A:$A,0)))</f>
        <v>0</v>
      </c>
      <c r="K46" s="1093"/>
      <c r="L46" s="1094"/>
      <c r="M46" s="1084"/>
      <c r="N46" s="232"/>
      <c r="P46" s="559" t="s">
        <v>1092</v>
      </c>
      <c r="Q46" s="562">
        <f>Q19*IF(OR($G46="",$G46=0),$J46,$G46)*$F$43</f>
        <v>0</v>
      </c>
      <c r="R46" s="562">
        <f>R19*IF(OR($G46="",$G46=0),$J46,$G46)*$F$43</f>
        <v>0</v>
      </c>
      <c r="S46" s="562">
        <f>S19*IF(OR($G46="",$G46=0),$J46,$G46)*$F$43</f>
        <v>0</v>
      </c>
      <c r="T46" s="562">
        <f>T19*IF(OR($G46="",$G46=0),$J46,$G46)*$F$43</f>
        <v>0</v>
      </c>
      <c r="U46" s="562">
        <f>U19*IF(OR($G46="",$G46=0),$J46,$G46)*$F$43</f>
        <v>0</v>
      </c>
      <c r="V46" s="562">
        <f>V19*IF(OR($G46="",$G46=0),$J46,$G46)*$F$43</f>
        <v>0</v>
      </c>
      <c r="W46" s="562">
        <f>W19*IF(OR($G46="",$G46=0),$J46,$G46)*$F$43</f>
        <v>0</v>
      </c>
    </row>
    <row r="47" spans="2:14" ht="15">
      <c r="B47" s="226"/>
      <c r="C47" s="277"/>
      <c r="D47" s="278"/>
      <c r="E47" s="279"/>
      <c r="F47" s="280"/>
      <c r="G47" s="281"/>
      <c r="H47" s="282"/>
      <c r="I47" s="283"/>
      <c r="J47" s="681"/>
      <c r="K47" s="278"/>
      <c r="L47" s="278"/>
      <c r="M47" s="284"/>
      <c r="N47" s="232"/>
    </row>
    <row r="48" spans="2:14" ht="15">
      <c r="B48" s="226"/>
      <c r="C48" s="285"/>
      <c r="D48" s="286"/>
      <c r="E48" s="287"/>
      <c r="F48" s="288"/>
      <c r="G48" s="288"/>
      <c r="H48" s="287"/>
      <c r="I48" s="287"/>
      <c r="J48" s="681"/>
      <c r="K48" s="284"/>
      <c r="L48" s="284"/>
      <c r="M48" s="674"/>
      <c r="N48" s="232"/>
    </row>
    <row r="49" spans="2:14" ht="15">
      <c r="B49" s="226"/>
      <c r="C49" s="227" t="s">
        <v>692</v>
      </c>
      <c r="D49" s="289"/>
      <c r="E49" s="290"/>
      <c r="F49" s="290"/>
      <c r="G49" s="291"/>
      <c r="H49" s="291"/>
      <c r="I49" s="292"/>
      <c r="J49" s="681"/>
      <c r="K49" s="293"/>
      <c r="L49" s="293"/>
      <c r="M49" s="284"/>
      <c r="N49" s="232"/>
    </row>
    <row r="50" spans="2:14" ht="15.75" thickBot="1">
      <c r="B50" s="226"/>
      <c r="C50" s="294"/>
      <c r="D50" s="289"/>
      <c r="E50" s="290"/>
      <c r="F50" s="290"/>
      <c r="G50" s="290"/>
      <c r="H50" s="290"/>
      <c r="I50" s="290"/>
      <c r="J50" s="681"/>
      <c r="K50" s="284"/>
      <c r="L50" s="284"/>
      <c r="M50" s="284"/>
      <c r="N50" s="232"/>
    </row>
    <row r="51" spans="2:14" ht="15.75" customHeight="1" thickBot="1">
      <c r="B51" s="226"/>
      <c r="C51" s="295" t="s">
        <v>693</v>
      </c>
      <c r="D51" s="296"/>
      <c r="E51" s="682" t="s">
        <v>694</v>
      </c>
      <c r="F51" s="967"/>
      <c r="G51" s="682" t="s">
        <v>695</v>
      </c>
      <c r="H51" s="967"/>
      <c r="I51" s="682" t="s">
        <v>696</v>
      </c>
      <c r="J51" s="1039"/>
      <c r="K51" s="1039"/>
      <c r="L51" s="967"/>
      <c r="M51" s="685" t="s">
        <v>697</v>
      </c>
      <c r="N51" s="232"/>
    </row>
    <row r="52" spans="2:23" ht="33" customHeight="1" thickBot="1">
      <c r="B52" s="226"/>
      <c r="C52" s="1042" t="s">
        <v>698</v>
      </c>
      <c r="D52" s="1043"/>
      <c r="E52" s="1044">
        <f>IF($M$14="",0,INDEX(Proforma_previous_year!$AJ:$AJ,MATCH($M$14,Proforma_previous_year!$A:$A,0)))</f>
        <v>0</v>
      </c>
      <c r="F52" s="1045">
        <f>IF($M$14="",0,INDEX(#REF!,MATCH($M$14,#REF!,0)))</f>
        <v>0</v>
      </c>
      <c r="G52" s="1044">
        <f>IF($M$14="",0,INDEX(Proforma_previous_year!$AK:$AK,MATCH($M$14,Proforma_previous_year!$A:$A,0)))</f>
        <v>0</v>
      </c>
      <c r="H52" s="1045">
        <f>IF($M$14="",0,INDEX(#REF!,MATCH($M$14,#REF!,0)))</f>
        <v>0</v>
      </c>
      <c r="I52" s="1046"/>
      <c r="J52" s="1047"/>
      <c r="K52" s="1047"/>
      <c r="L52" s="1048"/>
      <c r="M52" s="268">
        <f>IF(OR(School_Type_Value="AP",School_Type_Value="Special"),0,IF(Age_Range_Value="Please select","Please select your school phase",IF(Age_Range_Value="16-19 School",0,IF(Age_Range_Value="Primary",Open_Proportion*$E52,Open_Proportion*$G52))))</f>
        <v>0</v>
      </c>
      <c r="N52" s="232"/>
      <c r="P52" s="561" t="s">
        <v>806</v>
      </c>
      <c r="Q52" s="562">
        <f>IF(OR(School_Type_Value="AP",School_Type_Value="Special"),0,IF(Age_Range_Value="Please select","Please select your school phase",IF(Age_Range_Value="16-19 School",0,IF(Age_Range_Value="Primary",Open_Proportion*$E52,Open_Proportion*$G52))))</f>
        <v>0</v>
      </c>
      <c r="R52" s="562">
        <f>IF(OR(School_Type_Value="AP",School_Type_Value="Special"),0,IF(Age_Range_Value="Please select","Please select your school phase",IF(Age_Range_Value="16-19 School",0,IF(Age_Range_Value="Primary",Open_Proportion*$E52,Open_Proportion*$G52))))</f>
        <v>0</v>
      </c>
      <c r="S52" s="562">
        <f>IF(OR(School_Type_Value="AP",School_Type_Value="Special"),0,IF(Age_Range_Value="Please select","Please select your school phase",IF(Age_Range_Value="16-19 School",0,IF(Age_Range_Value="Primary",Open_Proportion*$E52,Open_Proportion*$G52))))</f>
        <v>0</v>
      </c>
      <c r="T52" s="562">
        <f>IF(OR(School_Type_Value="AP",School_Type_Value="Special"),0,IF(Age_Range_Value="Please select","Please select your school phase",IF(Age_Range_Value="16-19 School",0,IF(Age_Range_Value="Primary",Open_Proportion*$E52,Open_Proportion*$G52))))</f>
        <v>0</v>
      </c>
      <c r="U52" s="562">
        <f>IF(OR(School_Type_Value="AP",School_Type_Value="Special"),0,IF(Age_Range_Value="Please select","Please select your school phase",IF(Age_Range_Value="16-19 School",0,IF(Age_Range_Value="Primary",Open_Proportion*$E52,Open_Proportion*$G52))))</f>
        <v>0</v>
      </c>
      <c r="V52" s="562">
        <f>IF(OR(School_Type_Value="AP",School_Type_Value="Special"),0,IF(Age_Range_Value="Please select","Please select your school phase",IF(Age_Range_Value="16-19 School",0,IF(Age_Range_Value="Primary",Open_Proportion*$E52,Open_Proportion*$G52))))</f>
        <v>0</v>
      </c>
      <c r="W52" s="562">
        <f>IF(OR(School_Type_Value="AP",School_Type_Value="Special"),0,IF(Age_Range_Value="Please select","Please select your school phase",IF(Age_Range_Value="16-19 School",0,IF(Age_Range_Value="Primary",Open_Proportion*$E52,Open_Proportion*$G52))))</f>
        <v>0</v>
      </c>
    </row>
    <row r="53" spans="2:14" ht="15.75" thickBot="1">
      <c r="B53" s="226"/>
      <c r="C53" s="1042" t="s">
        <v>699</v>
      </c>
      <c r="D53" s="1049"/>
      <c r="E53" s="1049"/>
      <c r="F53" s="1049"/>
      <c r="G53" s="1049"/>
      <c r="H53" s="1043"/>
      <c r="I53" s="1050" t="s">
        <v>1185</v>
      </c>
      <c r="J53" s="1051"/>
      <c r="K53" s="1051"/>
      <c r="L53" s="1051"/>
      <c r="M53" s="1052"/>
      <c r="N53" s="232"/>
    </row>
    <row r="54" spans="2:23" ht="15.75" customHeight="1" thickBot="1">
      <c r="B54" s="226"/>
      <c r="C54" s="1042" t="s">
        <v>700</v>
      </c>
      <c r="D54" s="1049"/>
      <c r="E54" s="1049"/>
      <c r="F54" s="1049"/>
      <c r="G54" s="1049"/>
      <c r="H54" s="1043"/>
      <c r="I54" s="1075" t="s">
        <v>1184</v>
      </c>
      <c r="J54" s="1076"/>
      <c r="K54" s="1076"/>
      <c r="L54" s="1076"/>
      <c r="M54" s="1077"/>
      <c r="N54" s="232"/>
      <c r="P54" s="561" t="s">
        <v>762</v>
      </c>
      <c r="Q54" s="562"/>
      <c r="R54" s="562"/>
      <c r="S54" s="562"/>
      <c r="T54" s="562"/>
      <c r="U54" s="562"/>
      <c r="V54" s="562"/>
      <c r="W54" s="562"/>
    </row>
    <row r="55" spans="2:14" ht="14.65" customHeight="1" thickBot="1">
      <c r="B55" s="226"/>
      <c r="C55" s="298" t="s">
        <v>725</v>
      </c>
      <c r="D55" s="299"/>
      <c r="E55" s="299"/>
      <c r="F55" s="299"/>
      <c r="G55" s="299"/>
      <c r="H55" s="299"/>
      <c r="I55" s="1012" t="s">
        <v>1185</v>
      </c>
      <c r="J55" s="683"/>
      <c r="K55" s="683"/>
      <c r="L55" s="683"/>
      <c r="M55" s="1013"/>
      <c r="N55" s="232"/>
    </row>
    <row r="56" spans="2:14" ht="15.75" customHeight="1" thickBot="1">
      <c r="B56" s="226"/>
      <c r="C56" s="300" t="s">
        <v>726</v>
      </c>
      <c r="D56" s="301"/>
      <c r="E56" s="301"/>
      <c r="F56" s="301"/>
      <c r="G56" s="301"/>
      <c r="H56" s="301"/>
      <c r="I56" s="1012" t="s">
        <v>1185</v>
      </c>
      <c r="J56" s="683"/>
      <c r="K56" s="683"/>
      <c r="L56" s="683"/>
      <c r="M56" s="1013"/>
      <c r="N56" s="232"/>
    </row>
    <row r="57" spans="2:14" ht="15.75" thickBot="1">
      <c r="B57" s="226"/>
      <c r="C57" s="361"/>
      <c r="D57" s="361"/>
      <c r="E57" s="361"/>
      <c r="F57" s="361"/>
      <c r="G57" s="361"/>
      <c r="H57" s="362"/>
      <c r="I57" s="683"/>
      <c r="J57" s="683"/>
      <c r="K57" s="683"/>
      <c r="L57" s="683"/>
      <c r="M57" s="683"/>
      <c r="N57" s="232"/>
    </row>
    <row r="58" spans="2:23" ht="30.75" thickBot="1">
      <c r="B58" s="226"/>
      <c r="C58" s="1040" t="s">
        <v>727</v>
      </c>
      <c r="D58" s="1041"/>
      <c r="E58" s="695" t="s">
        <v>823</v>
      </c>
      <c r="F58" s="297" t="e">
        <f>IF(INDEX(Proforma_previous_year!$C:$C,MATCH(RR_previous_year!$M$14,Proforma_previous_year!$A:$A,0))="",0,INDEX(Proforma_previous_year!$C:$C,MATCH(RR_previous_year!$M$14,Proforma_previous_year!$A:$A,0)))</f>
        <v>#N/A</v>
      </c>
      <c r="G58" s="697" t="s">
        <v>1150</v>
      </c>
      <c r="H58" s="297" t="e">
        <f>IF(INDEX(Proforma_previous_year!$D:$D,MATCH(RR_previous_year!$M$14,Proforma_previous_year!$A:$A,0))="",0,INDEX(Proforma_previous_year!$D:$D,MATCH(RR_previous_year!$M$14,Proforma_previous_year!$A:$A,0)))</f>
        <v>#N/A</v>
      </c>
      <c r="I58" s="696" t="s">
        <v>1112</v>
      </c>
      <c r="J58" s="297" t="e">
        <f>IF(INDEX(Proforma_previous_year!$E:$E,MATCH(RR_previous_year!$M$14,Proforma_previous_year!$A:$A,0))="",0,INDEX(Proforma_previous_year!$E:$E,MATCH(RR_previous_year!$M$14,Proforma_previous_year!$A:$A,0)))</f>
        <v>#N/A</v>
      </c>
      <c r="K58" s="695" t="s">
        <v>822</v>
      </c>
      <c r="L58" s="297" t="e">
        <f>IF(INDEX(Proforma_previous_year!$F:$F,MATCH(RR_previous_year!$M$14,Proforma_previous_year!$A:$A,0))="",0,INDEX(Proforma_previous_year!$F:$F,MATCH(RR_previous_year!$M$14,Proforma_previous_year!$A:$A,0)))</f>
        <v>#N/A</v>
      </c>
      <c r="M58" s="687">
        <f>Open_Proportion*MAX(IF($D15="Primary",$F58,IF($D15="All Through",($F58*7+$L58*5)/12,IF(AND(SUM(G23:G25)&gt;0,G26=0),$H58,IF(AND(SUM(G23:G25)=0,G26&gt;0),$J58,IF(AND(SUM(G23:G25)&gt;0,G26&gt;0),$L58)))))*SUM(G22:G26)-SUM(M22,M28,M37,M38,M42,M52,M54),0)</f>
        <v>0</v>
      </c>
      <c r="N58" s="232"/>
      <c r="P58" s="561" t="s">
        <v>807</v>
      </c>
      <c r="Q58" s="562">
        <f>MAX(IF($D15="Primary",$F58,IF($D15="All Through",($F58*7+$L58*5)/12,IF(AND(SUM(Q16:Q18)&gt;0,Q19=0),$H58,IF(AND(SUM(Q16:Q18)=0,Q19&gt;0),$J58,IF(AND(SUM(Q16:Q18)&gt;0,Q19&gt;0),$L58)))))*SUM(Q15:Q19)-SUM(Q22:Q26,Q28:Q35,Q37,Q38,Q42:Q46,Q52,Q54),0)</f>
        <v>0</v>
      </c>
      <c r="R58" s="562">
        <f>MAX(IF($D15="Primary",$F58,IF($D15="All Through",($F58*7+$L58*5)/12,IF(AND(SUM(R16:R18)&gt;0,R19=0),$H58,IF(AND(SUM(R16:R18)=0,R19&gt;0),$J58,IF(AND(SUM(R16:R18)&gt;0,R19&gt;0),$L58)))))*SUM(R15:R19)-SUM(R22:R26,R28:R35,R37,R38,R42:R46,R52,R54),0)</f>
        <v>0</v>
      </c>
      <c r="S58" s="562">
        <f>MAX(IF($D15="Primary",$F58,IF($D15="All Through",($F58*7+$L58*5)/12,IF(AND(SUM(S16:S18)&gt;0,S19=0),$H58,IF(AND(SUM(S16:S18)=0,S19&gt;0),$J58,IF(AND(SUM(S16:S18)&gt;0,S19&gt;0),$L58)))))*SUM(S15:S19)-SUM(S22:S26,S28:S35,S37,S38,S42:S46,S52,S54),0)</f>
        <v>0</v>
      </c>
      <c r="T58" s="562">
        <f>MAX(IF($D15="Primary",$F58,IF($D15="All Through",($F58*7+$L58*5)/12,IF(AND(SUM(T16:T18)&gt;0,T19=0),$H58,IF(AND(SUM(T16:T18)=0,T19&gt;0),$J58,IF(AND(SUM(T16:T18)&gt;0,T19&gt;0),$L58)))))*SUM(T15:T19)-SUM(T22:T26,T28:T35,T37,T38,T42:T46,T52,T54),0)</f>
        <v>0</v>
      </c>
      <c r="U58" s="562">
        <f>MAX(IF($D15="Primary",$F58,IF($D15="All Through",($F58*7+$L58*5)/12,IF(AND(SUM(U16:U18)&gt;0,U19=0),$H58,IF(AND(SUM(U16:U18)=0,U19&gt;0),$J58,IF(AND(SUM(U16:U18)&gt;0,U19&gt;0),$L58)))))*SUM(U15:U19)-SUM(U22:U26,U28:U35,U37,U38,U42:U46,U52,U54),0)</f>
        <v>0</v>
      </c>
      <c r="V58" s="562">
        <f>MAX(IF($D15="Primary",$F58,IF($D15="All Through",($F58*7+$L58*5)/12,IF(AND(SUM(V16:V18)&gt;0,V19=0),$H58,IF(AND(SUM(V16:V18)=0,V19&gt;0),$J58,IF(AND(SUM(V16:V18)&gt;0,V19&gt;0),$L58)))))*SUM(V15:V19)-SUM(V22:V26,V28:V35,V37,V38,V42:V46,V52,V54),0)</f>
        <v>0</v>
      </c>
      <c r="W58" s="562">
        <f>MAX(IF($D15="Primary",$F58,IF($D15="All Through",($F58*7+$L58*5)/12,IF(AND(SUM(W16:W18)&gt;0,W19=0),$H58,IF(AND(SUM(W16:W18)=0,W19&gt;0),$J58,IF(AND(SUM(W16:W18)&gt;0,W19&gt;0),$L58)))))*SUM(W15:W19)-SUM(W22:W26,W28:W35,W37,W38,W42:W46,W52,W54),0)</f>
        <v>0</v>
      </c>
    </row>
    <row r="59" spans="2:23" ht="15.75" thickBot="1">
      <c r="B59" s="226"/>
      <c r="C59" s="314"/>
      <c r="D59" s="302"/>
      <c r="E59" s="1073"/>
      <c r="F59" s="1073"/>
      <c r="G59" s="1073"/>
      <c r="H59" s="1073"/>
      <c r="I59" s="1073"/>
      <c r="J59" s="1073"/>
      <c r="K59" s="1073"/>
      <c r="L59" s="1073"/>
      <c r="M59" s="788"/>
      <c r="N59" s="232"/>
      <c r="P59"/>
      <c r="Q59"/>
      <c r="R59"/>
      <c r="S59"/>
      <c r="T59"/>
      <c r="U59"/>
      <c r="V59"/>
      <c r="W59"/>
    </row>
    <row r="60" spans="2:23" ht="15.75" thickBot="1">
      <c r="B60" s="226"/>
      <c r="D60" s="363"/>
      <c r="E60" s="1069" t="s">
        <v>728</v>
      </c>
      <c r="F60" s="1070"/>
      <c r="G60" s="1070"/>
      <c r="H60" s="1070"/>
      <c r="I60" s="1070"/>
      <c r="J60" s="1070"/>
      <c r="K60" s="1070"/>
      <c r="L60" s="1071"/>
      <c r="M60" s="304">
        <f>SUM(M22,M28,M37,M38,M42,M52,M58,M59)</f>
        <v>0</v>
      </c>
      <c r="N60" s="232"/>
      <c r="P60" s="563" t="s">
        <v>808</v>
      </c>
      <c r="Q60" s="564">
        <f>SUM(Q$22:Q$26,Q$28:Q$35,Q$37:Q$38,Q$40,Q$42:Q$46,Q$52,Q$58)</f>
        <v>0</v>
      </c>
      <c r="R60" s="564">
        <f>SUM(R$22:R$26,R$28:R$35,R$37:R$38,R$40,R$42:R$46,R$52,R$58)</f>
        <v>0</v>
      </c>
      <c r="S60" s="564">
        <f>SUM(S$22:S$26,S$28:S$35,S$37:S$38,S$40,S$42:S$46,S$52,S$58)</f>
        <v>0</v>
      </c>
      <c r="T60" s="564">
        <f>SUM(T$22:T$26,T$28:T$35,T$37:T$38,T$40,T$42:T$46,T$52,T$58)</f>
        <v>0</v>
      </c>
      <c r="U60" s="564">
        <f>SUM(U$22:U$26,U$28:U$35,U$37:U$38,U$40,U$42:U$46,U$52,U$58)</f>
        <v>0</v>
      </c>
      <c r="V60" s="564">
        <f>SUM(V$22:V$26,V$28:V$35,V$37:V$38,V$40,V$42:V$46,V$52,V$58)</f>
        <v>0</v>
      </c>
      <c r="W60" s="564">
        <f>SUM(W$22:W$26,W$28:W$35,W$37:W$38,W$40,W$42:W$46,W$52,W$58)</f>
        <v>0</v>
      </c>
    </row>
    <row r="61" spans="2:16" ht="15">
      <c r="B61" s="226"/>
      <c r="C61" s="377"/>
      <c r="D61" s="302"/>
      <c r="E61" s="303"/>
      <c r="F61" s="303"/>
      <c r="G61" s="303"/>
      <c r="H61" s="303"/>
      <c r="I61" s="305"/>
      <c r="J61" s="306"/>
      <c r="K61" s="284"/>
      <c r="L61" s="284"/>
      <c r="M61" s="641"/>
      <c r="N61" s="232"/>
      <c r="P61" s="233"/>
    </row>
    <row r="62" spans="2:16" ht="15.75" thickBot="1">
      <c r="B62" s="307"/>
      <c r="C62" s="376"/>
      <c r="D62" s="308"/>
      <c r="E62" s="309"/>
      <c r="F62" s="309"/>
      <c r="G62" s="309"/>
      <c r="H62" s="310"/>
      <c r="I62" s="311"/>
      <c r="J62" s="311"/>
      <c r="K62" s="312"/>
      <c r="L62" s="629"/>
      <c r="M62" s="629"/>
      <c r="N62" s="313"/>
      <c r="P62" s="233"/>
    </row>
    <row r="63" spans="2:16" s="210" customFormat="1" ht="15">
      <c r="B63" s="215"/>
      <c r="C63" s="314"/>
      <c r="D63" s="315"/>
      <c r="E63" s="315"/>
      <c r="F63" s="315"/>
      <c r="G63" s="315"/>
      <c r="H63" s="315"/>
      <c r="I63" s="315"/>
      <c r="J63" s="315"/>
      <c r="K63" s="315"/>
      <c r="L63" s="315"/>
      <c r="M63" s="316"/>
      <c r="N63" s="217"/>
      <c r="O63" s="206"/>
      <c r="P63" s="565"/>
    </row>
    <row r="64" spans="2:16" s="210" customFormat="1" ht="15">
      <c r="B64" s="215"/>
      <c r="C64" s="317" t="s">
        <v>1191</v>
      </c>
      <c r="D64" s="318"/>
      <c r="E64" s="319"/>
      <c r="F64" s="319"/>
      <c r="G64" s="319"/>
      <c r="H64" s="319"/>
      <c r="I64" s="319"/>
      <c r="J64" s="319"/>
      <c r="K64" s="320"/>
      <c r="L64" s="320"/>
      <c r="M64" s="321"/>
      <c r="N64" s="217"/>
      <c r="O64" s="206"/>
      <c r="P64" s="565"/>
    </row>
    <row r="65" spans="2:16" s="210" customFormat="1" ht="21.75" thickBot="1">
      <c r="B65" s="215"/>
      <c r="C65" s="322" t="s">
        <v>1007</v>
      </c>
      <c r="D65" s="318"/>
      <c r="E65" s="319"/>
      <c r="F65" s="319"/>
      <c r="G65" s="319"/>
      <c r="H65" s="319"/>
      <c r="I65" s="319"/>
      <c r="J65" s="319"/>
      <c r="K65" s="320"/>
      <c r="L65" s="320"/>
      <c r="M65" s="321"/>
      <c r="N65" s="217"/>
      <c r="O65" s="206"/>
      <c r="P65" s="565"/>
    </row>
    <row r="66" spans="2:16" s="210" customFormat="1" ht="65.25" customHeight="1" thickBot="1">
      <c r="B66" s="215"/>
      <c r="C66" s="1059" t="s">
        <v>701</v>
      </c>
      <c r="D66" s="323" t="s">
        <v>702</v>
      </c>
      <c r="E66" s="235" t="s">
        <v>703</v>
      </c>
      <c r="F66" s="235" t="s">
        <v>704</v>
      </c>
      <c r="G66" s="682" t="s">
        <v>705</v>
      </c>
      <c r="H66" s="241" t="s">
        <v>706</v>
      </c>
      <c r="I66" s="324" t="s">
        <v>677</v>
      </c>
      <c r="J66" s="325" t="s">
        <v>678</v>
      </c>
      <c r="K66" s="1062" t="s">
        <v>707</v>
      </c>
      <c r="L66" s="1063"/>
      <c r="M66" s="326" t="s">
        <v>131</v>
      </c>
      <c r="N66" s="217"/>
      <c r="O66" s="206"/>
      <c r="P66" s="556" t="s">
        <v>701</v>
      </c>
    </row>
    <row r="67" spans="2:23" s="210" customFormat="1" ht="15">
      <c r="B67" s="215"/>
      <c r="C67" s="1060"/>
      <c r="D67" s="327" t="s">
        <v>722</v>
      </c>
      <c r="E67" s="328">
        <f>'Input Data'!AT4</f>
        <v>1345</v>
      </c>
      <c r="F67" s="328">
        <f>'Input Data'!AU4</f>
        <v>995</v>
      </c>
      <c r="G67" s="689"/>
      <c r="H67" s="360"/>
      <c r="I67" s="329">
        <f>IFERROR(IF($M$14="",0,INDEX('LA Averages_previous_year'!$K:$K,MATCH($M$14,'LA Averages_previous_year'!$A:$A,0))),0)</f>
        <v>0</v>
      </c>
      <c r="J67" s="330">
        <f>IFERROR(IF($M$14="",0,INDEX('LA Averages_previous_year'!$M:$M,MATCH($M$14,'LA Averages_previous_year'!$A:$A,0))),0)</f>
        <v>0</v>
      </c>
      <c r="K67" s="1016">
        <f>Open_Proportion*IFERROR(IF(G67="",I67,G67)*E67*SUM($G$22:$G$22),0)+IFERROR(IF(H67="",J67,H67)*F67*SUM($G$23:$G$26),0)</f>
        <v>0</v>
      </c>
      <c r="L67" s="1017"/>
      <c r="M67" s="1064">
        <f>SUM(K67:L69)</f>
        <v>0</v>
      </c>
      <c r="N67" s="217"/>
      <c r="O67" s="206"/>
      <c r="P67" s="557" t="s">
        <v>722</v>
      </c>
      <c r="Q67" s="566">
        <f>IFERROR(IF($G$67="",$I$67,$G$67)*$E$67*Q$15,0)+IFERROR(IF($H$67="",$J$67,$H$67)*$F$67*SUM(Q$16:Q$19),0)</f>
        <v>0</v>
      </c>
      <c r="R67" s="566">
        <f>IFERROR(IF($G$67="",$I$67,$G$67)*$E$67*R$15,0)+IFERROR(IF($H$67="",$J$67,$H$67)*$F$67*SUM(R$16:R$19),0)</f>
        <v>0</v>
      </c>
      <c r="S67" s="566">
        <f>IFERROR(IF($G$67="",$I$67,$G$67)*$E$67*S$15,0)+IFERROR(IF($H$67="",$J$67,$H$67)*$F$67*SUM(S$16:S$19),0)</f>
        <v>0</v>
      </c>
      <c r="T67" s="566">
        <f>IFERROR(IF($G$67="",$I$67,$G$67)*$E$67*T$15,0)+IFERROR(IF($H$67="",$J$67,$H$67)*$F$67*SUM(T$16:T$19),0)</f>
        <v>0</v>
      </c>
      <c r="U67" s="566">
        <f>IFERROR(IF($G$67="",$I$67,$G$67)*$E$67*U$15,0)+IFERROR(IF($H$67="",$J$67,$H$67)*$F$67*SUM(U$16:U$19),0)</f>
        <v>0</v>
      </c>
      <c r="V67" s="566">
        <f>IFERROR(IF($G$67="",$I$67,$G$67)*$E$67*V$15,0)+IFERROR(IF($H$67="",$J$67,$H$67)*$F$67*SUM(V$16:V$19),0)</f>
        <v>0</v>
      </c>
      <c r="W67" s="566">
        <f>IFERROR(IF($G$67="",$I$67,$G$67)*$E$67*W$15,0)+IFERROR(IF($H$67="",$J$67,$H$67)*$F$67*SUM(W$16:W$19),0)</f>
        <v>0</v>
      </c>
    </row>
    <row r="68" spans="2:23" s="210" customFormat="1" ht="15">
      <c r="B68" s="215"/>
      <c r="C68" s="1060"/>
      <c r="D68" s="331" t="s">
        <v>708</v>
      </c>
      <c r="E68" s="328">
        <f>'Input Data'!AV4</f>
        <v>2345</v>
      </c>
      <c r="F68" s="328">
        <f>'Input Data'!AV4</f>
        <v>2345</v>
      </c>
      <c r="G68" s="358"/>
      <c r="H68" s="364"/>
      <c r="I68" s="271"/>
      <c r="J68" s="271"/>
      <c r="K68" s="1067">
        <f>Open_Proportion*IF(G68="",I68,G68)*E68*SUM($G$22:$G$22)+IF(H68="",J68,H68)*F68*SUM($G$23:$G$26)</f>
        <v>0</v>
      </c>
      <c r="L68" s="1068"/>
      <c r="M68" s="1065"/>
      <c r="N68" s="217"/>
      <c r="O68" s="206"/>
      <c r="P68" s="557" t="s">
        <v>715</v>
      </c>
      <c r="Q68" s="566">
        <f>IF($G$68="",$I$68,$G$68)*$E$68*Q$15+IF($H$68="",$J$68,$H$68)*$F$68*SUM(Q$16:Q$19)</f>
        <v>0</v>
      </c>
      <c r="R68" s="566">
        <f>IF($G$68="",$I$68,$G$68)*$E$68*R$15+IF($H$68="",$J$68,$H$68)*$F$68*SUM(R$16:R$19)</f>
        <v>0</v>
      </c>
      <c r="S68" s="566">
        <f>IF($G$68="",$I$68,$G$68)*$E$68*S$15+IF($H$68="",$J$68,$H$68)*$F$68*SUM(S$16:S$19)</f>
        <v>0</v>
      </c>
      <c r="T68" s="566">
        <f>IF($G$68="",$I$68,$G$68)*$E$68*T$15+IF($H$68="",$J$68,$H$68)*$F$68*SUM(T$16:T$19)</f>
        <v>0</v>
      </c>
      <c r="U68" s="566">
        <f>IF($G$68="",$I$68,$G$68)*$E$68*U$15+IF($H$68="",$J$68,$H$68)*$F$68*SUM(U$16:U$19)</f>
        <v>0</v>
      </c>
      <c r="V68" s="566">
        <f>IF($G$68="",$I$68,$G$68)*$E$68*V$15+IF($H$68="",$J$68,$H$68)*$F$68*SUM(V$16:V$19)</f>
        <v>0</v>
      </c>
      <c r="W68" s="566">
        <f>IF($G$68="",$I$68,$G$68)*$E$68*W$15+IF($H$68="",$J$68,$H$68)*$F$68*SUM(W$16:W$19)</f>
        <v>0</v>
      </c>
    </row>
    <row r="69" spans="2:23" s="210" customFormat="1" ht="63" customHeight="1" thickBot="1">
      <c r="B69" s="215"/>
      <c r="C69" s="1061"/>
      <c r="D69" s="332" t="s">
        <v>709</v>
      </c>
      <c r="E69" s="786">
        <f>'Input Data'!AW4</f>
        <v>310</v>
      </c>
      <c r="F69" s="787">
        <f>'Input Data'!AW4</f>
        <v>310</v>
      </c>
      <c r="G69" s="688"/>
      <c r="H69" s="359"/>
      <c r="I69" s="271"/>
      <c r="J69" s="271"/>
      <c r="K69" s="1020">
        <f>Open_Proportion*IF(G69="",I69,G69)*E69*SUM($G$22:$G$22)+IF(H69="",J69,H69)*F69*SUM($G$23:$G$26)</f>
        <v>0</v>
      </c>
      <c r="L69" s="1021"/>
      <c r="M69" s="1066"/>
      <c r="N69" s="217"/>
      <c r="O69" s="206"/>
      <c r="P69" s="557" t="s">
        <v>716</v>
      </c>
      <c r="Q69" s="566">
        <f>IF($G$69="",$I$69,$G$69)*$E$69*Q$15+IF($H$69="",$J$69,$H$69)*$F$69*SUM(Q$16:Q$19)</f>
        <v>0</v>
      </c>
      <c r="R69" s="566">
        <f>IF($G$69="",$I$69,$G$69)*$E$69*R$15+IF($H$69="",$J$69,$H$69)*$F$69*SUM(R$16:R$19)</f>
        <v>0</v>
      </c>
      <c r="S69" s="566">
        <f>IF($G$69="",$I$69,$G$69)*$E$69*S$15+IF($H$69="",$J$69,$H$69)*$F$69*SUM(S$16:S$19)</f>
        <v>0</v>
      </c>
      <c r="T69" s="566">
        <f>IF($G$69="",$I$69,$G$69)*$E$69*T$15+IF($H$69="",$J$69,$H$69)*$F$69*SUM(T$16:T$19)</f>
        <v>0</v>
      </c>
      <c r="U69" s="566">
        <f>IF($G$69="",$I$69,$G$69)*$E$69*U$15+IF($H$69="",$J$69,$H$69)*$F$69*SUM(U$16:U$19)</f>
        <v>0</v>
      </c>
      <c r="V69" s="566">
        <f>IF($G$69="",$I$69,$G$69)*$E$69*V$15+IF($H$69="",$J$69,$H$69)*$F$69*SUM(V$16:V$19)</f>
        <v>0</v>
      </c>
      <c r="W69" s="566">
        <f>IF($G$69="",$I$69,$G$69)*$E$69*W$15+IF($H$69="",$J$69,$H$69)*$F$69*SUM(W$16:W$19)</f>
        <v>0</v>
      </c>
    </row>
    <row r="70" spans="2:16" s="210" customFormat="1" ht="15">
      <c r="B70" s="215"/>
      <c r="C70" s="333"/>
      <c r="D70" s="334"/>
      <c r="E70" s="334"/>
      <c r="F70" s="335"/>
      <c r="G70" s="335"/>
      <c r="H70" s="336"/>
      <c r="I70" s="336"/>
      <c r="J70" s="337"/>
      <c r="K70" s="338"/>
      <c r="L70" s="338"/>
      <c r="M70" s="339"/>
      <c r="N70" s="217"/>
      <c r="O70" s="206"/>
      <c r="P70" s="565"/>
    </row>
    <row r="71" spans="2:16" s="210" customFormat="1" ht="15.75" thickBot="1">
      <c r="B71" s="215"/>
      <c r="C71" s="340"/>
      <c r="D71" s="334"/>
      <c r="E71" s="334"/>
      <c r="F71" s="335"/>
      <c r="G71" s="335"/>
      <c r="H71" s="336"/>
      <c r="I71" s="336"/>
      <c r="J71" s="337"/>
      <c r="K71" s="338"/>
      <c r="L71" s="338"/>
      <c r="M71" s="339"/>
      <c r="N71" s="217"/>
      <c r="O71" s="206"/>
      <c r="P71" s="565"/>
    </row>
    <row r="72" spans="2:23" s="210" customFormat="1" ht="15.75" thickBot="1">
      <c r="B72" s="215"/>
      <c r="D72" s="315"/>
      <c r="E72" s="1069" t="s">
        <v>1104</v>
      </c>
      <c r="F72" s="1070"/>
      <c r="G72" s="1070"/>
      <c r="H72" s="1070"/>
      <c r="I72" s="1070"/>
      <c r="J72" s="1070"/>
      <c r="K72" s="1070"/>
      <c r="L72" s="1071"/>
      <c r="M72" s="304">
        <f>M67+M60</f>
        <v>0</v>
      </c>
      <c r="N72" s="217"/>
      <c r="O72" s="206"/>
      <c r="P72" s="567" t="s">
        <v>809</v>
      </c>
      <c r="Q72" s="568">
        <f>SUM(Q$60,Q$67:Q$69)</f>
        <v>0</v>
      </c>
      <c r="R72" s="568">
        <f>SUM(R$60,R$67:R$69)</f>
        <v>0</v>
      </c>
      <c r="S72" s="568">
        <f>SUM(S$60,S$67:S$69)</f>
        <v>0</v>
      </c>
      <c r="T72" s="568">
        <f>SUM(T$60,T$67:T$69)</f>
        <v>0</v>
      </c>
      <c r="U72" s="568">
        <f>SUM(U$60,U$67:U$69)</f>
        <v>0</v>
      </c>
      <c r="V72" s="568">
        <f>SUM(V$60,V$67:V$69)</f>
        <v>0</v>
      </c>
      <c r="W72" s="568">
        <f>SUM(W$60,W$67:W$69)</f>
        <v>0</v>
      </c>
    </row>
    <row r="73" spans="2:14" ht="15">
      <c r="B73" s="226"/>
      <c r="N73" s="232"/>
    </row>
    <row r="74" spans="2:14" ht="15">
      <c r="B74" s="226"/>
      <c r="N74" s="232"/>
    </row>
    <row r="75" spans="2:14" ht="15.75" thickBot="1">
      <c r="B75" s="343"/>
      <c r="C75" s="344"/>
      <c r="D75" s="345"/>
      <c r="E75" s="346"/>
      <c r="F75" s="346"/>
      <c r="G75" s="346"/>
      <c r="H75" s="346"/>
      <c r="I75" s="346"/>
      <c r="J75" s="346"/>
      <c r="K75" s="346"/>
      <c r="L75" s="346"/>
      <c r="M75" s="346"/>
      <c r="N75" s="347"/>
    </row>
    <row r="76" ht="15.75" thickTop="1"/>
    <row r="77" spans="9:9" ht="15" hidden="1">
      <c r="I77" s="348"/>
    </row>
    <row r="78" spans="9:9" ht="15" hidden="1">
      <c r="I78" s="348"/>
    </row>
    <row r="79" spans="1:1" ht="15" hidden="1">
      <c r="A79"/>
    </row>
    <row r="80" spans="1:1" ht="15" hidden="1">
      <c r="A80"/>
    </row>
    <row r="81" spans="1:1" customHeight="1" hidden="1">
      <c r="A81"/>
    </row>
  </sheetData>
  <sheetProtection algorithmName="SHA-512" hashValue="mr5XSzjIRJhlC/f89WSff3UP8vIe1/oxiGqSxczYI+57Uc3MxSMbZjewIvi9yYkRlRKQYjs+i3wFIwj0s7Dy0g==" saltValue="/oibGlKckP/6iwG+tVj12A==" spinCount="100000" sheet="1" objects="1" scenarios="1"/>
  <mergeCells count="72">
    <mergeCell ref="E26:F26"/>
    <mergeCell ref="G26:J26"/>
    <mergeCell ref="K26:L26"/>
    <mergeCell ref="D6:N7"/>
    <mergeCell ref="B8:N8"/>
    <mergeCell ref="C11:M11"/>
    <mergeCell ref="G12:G13"/>
    <mergeCell ref="D14:E14"/>
    <mergeCell ref="D15:E15"/>
    <mergeCell ref="G21:J21"/>
    <mergeCell ref="K21:L21"/>
    <mergeCell ref="E22:F22"/>
    <mergeCell ref="G22:J22"/>
    <mergeCell ref="K22:L22"/>
    <mergeCell ref="C38:C39"/>
    <mergeCell ref="K38:L38"/>
    <mergeCell ref="M38:M39"/>
    <mergeCell ref="K39:L39"/>
    <mergeCell ref="M22:M26"/>
    <mergeCell ref="E23:F23"/>
    <mergeCell ref="G23:J23"/>
    <mergeCell ref="K23:L23"/>
    <mergeCell ref="E24:F24"/>
    <mergeCell ref="G24:J24"/>
    <mergeCell ref="K24:L24"/>
    <mergeCell ref="E25:F25"/>
    <mergeCell ref="G25:J25"/>
    <mergeCell ref="K25:L25"/>
    <mergeCell ref="C21:C26"/>
    <mergeCell ref="E21:F21"/>
    <mergeCell ref="C27:C35"/>
    <mergeCell ref="M28:M35"/>
    <mergeCell ref="K36:L36"/>
    <mergeCell ref="E37:F37"/>
    <mergeCell ref="K37:L37"/>
    <mergeCell ref="C40:H40"/>
    <mergeCell ref="I40:M40"/>
    <mergeCell ref="C41:C46"/>
    <mergeCell ref="G41:H41"/>
    <mergeCell ref="K41:L41"/>
    <mergeCell ref="G42:H42"/>
    <mergeCell ref="K42:L42"/>
    <mergeCell ref="M42:M46"/>
    <mergeCell ref="F43:F46"/>
    <mergeCell ref="G43:H43"/>
    <mergeCell ref="K43:L46"/>
    <mergeCell ref="G44:H44"/>
    <mergeCell ref="G45:H45"/>
    <mergeCell ref="G46:H46"/>
    <mergeCell ref="E51:F51"/>
    <mergeCell ref="G51:H51"/>
    <mergeCell ref="I51:L51"/>
    <mergeCell ref="C52:D52"/>
    <mergeCell ref="E52:F52"/>
    <mergeCell ref="G52:H52"/>
    <mergeCell ref="I52:L52"/>
    <mergeCell ref="C53:H53"/>
    <mergeCell ref="I53:M53"/>
    <mergeCell ref="M67:M69"/>
    <mergeCell ref="K68:L68"/>
    <mergeCell ref="K69:L69"/>
    <mergeCell ref="C54:H54"/>
    <mergeCell ref="I54:M54"/>
    <mergeCell ref="I55:M55"/>
    <mergeCell ref="I56:M56"/>
    <mergeCell ref="C58:D58"/>
    <mergeCell ref="E59:L59"/>
    <mergeCell ref="E72:L72"/>
    <mergeCell ref="E60:L60"/>
    <mergeCell ref="C66:C69"/>
    <mergeCell ref="K66:L66"/>
    <mergeCell ref="K67:L67"/>
  </mergeCells>
  <conditionalFormatting sqref="G28:H35 G38 H39 G42:H46 G67:H67">
    <cfRule type="expression" dxfId="2" priority="1">
      <formula>Opening_Date_Value&gt;=DATE(2020,9,1)</formula>
    </cfRule>
  </conditionalFormatting>
  <dataValidations count="17">
    <dataValidation type="custom" allowBlank="1" showInputMessage="1" showErrorMessage="1" errorTitle="Error" error="The percentage of eligible primary pupils for this factor cannot be negative or higher than 100%. Please insert the correct figure or leave the cell blank to use an LA Average." sqref="G28:H35 G38 H39 G42:H46 G67:H67">
      <formula1>AND(Opening_Date_Value&lt;DATE(2020,9,1),G28&gt;=0,G28&lt;=1)</formula1>
    </dataValidation>
    <dataValidation type="decimal" allowBlank="1" showInputMessage="1" showErrorMessage="1" errorTitle="Error" error="The percentage of eligible secondary pupils for this factor cannot be negative or higher than 100%. Please insert the correct figure or leave the cell blank to use an LA average." sqref="WDH983082 AR67:AR69 KN67:KN69 UJ67:UJ69 AEF67:AEF69 AOB67:AOB69 AXX67:AXX69 BHT67:BHT69 BRP67:BRP69 CBL67:CBL69 CLH67:CLH69 CVD67:CVD69 DEZ67:DEZ69 DOV67:DOV69 DYR67:DYR69 EIN67:EIN69 ESJ67:ESJ69 FCF67:FCF69 FMB67:FMB69 FVX67:FVX69 GFT67:GFT69 GPP67:GPP69 GZL67:GZL69 HJH67:HJH69 HTD67:HTD69 ICZ67:ICZ69 IMV67:IMV69 IWR67:IWR69 JGN67:JGN69 JQJ67:JQJ69 KAF67:KAF69 KKB67:KKB69 KTX67:KTX69 LDT67:LDT69 LNP67:LNP69 LXL67:LXL69 MHH67:MHH69 MRD67:MRD69 NAZ67:NAZ69 NKV67:NKV69 NUR67:NUR69 OEN67:OEN69 OOJ67:OOJ69 OYF67:OYF69 PIB67:PIB69 PRX67:PRX69 QBT67:QBT69 QLP67:QLP69 QVL67:QVL69 RFH67:RFH69 RPD67:RPD69 RYZ67:RYZ69 SIV67:SIV69 SSR67:SSR69 TCN67:TCN69 TMJ67:TMJ69 TWF67:TWF69 UGB67:UGB69 UPX67:UPX69 UZT67:UZT69 VJP67:VJP69 VTL67:VTL69 WDH67:WDH69 WND67:WND69 H65603:H65605 AR65603:AR65605 KN65603:KN65605 UJ65603:UJ65605 AEF65603:AEF65605 AOB65603:AOB65605 AXX65603:AXX65605 BHT65603:BHT65605 BRP65603:BRP65605 CBL65603:CBL65605 CLH65603:CLH65605 CVD65603:CVD65605 DEZ65603:DEZ65605 DOV65603:DOV65605 DYR65603:DYR65605 EIN65603:EIN65605 ESJ65603:ESJ65605 FCF65603:FCF65605 FMB65603:FMB65605 FVX65603:FVX65605 GFT65603:GFT65605 GPP65603:GPP65605 GZL65603:GZL65605 HJH65603:HJH65605 HTD65603:HTD65605 ICZ65603:ICZ65605 IMV65603:IMV65605 IWR65603:IWR65605 JGN65603:JGN65605 JQJ65603:JQJ65605 KAF65603:KAF65605 KKB65603:KKB65605 KTX65603:KTX65605 LDT65603:LDT65605 LNP65603:LNP65605 LXL65603:LXL65605 MHH65603:MHH65605 MRD65603:MRD65605 NAZ65603:NAZ65605 NKV65603:NKV65605 NUR65603:NUR65605 OEN65603:OEN65605 OOJ65603:OOJ65605 OYF65603:OYF65605 PIB65603:PIB65605 PRX65603:PRX65605 QBT65603:QBT65605 QLP65603:QLP65605 QVL65603:QVL65605 RFH65603:RFH65605 RPD65603:RPD65605 RYZ65603:RYZ65605 SIV65603:SIV65605 SSR65603:SSR65605 TCN65603:TCN65605 TMJ65603:TMJ65605 TWF65603:TWF65605 UGB65603:UGB65605 UPX65603:UPX65605 UZT65603:UZT65605 VJP65603:VJP65605 VTL65603:VTL65605 WDH65603:WDH65605 WND65603:WND65605 H131139:H131141 AR131139:AR131141 KN131139:KN131141 UJ131139:UJ131141 AEF131139:AEF131141 AOB131139:AOB131141 AXX131139:AXX131141 BHT131139:BHT131141 BRP131139:BRP131141 CBL131139:CBL131141 CLH131139:CLH131141 CVD131139:CVD131141 DEZ131139:DEZ131141 DOV131139:DOV131141 DYR131139:DYR131141 EIN131139:EIN131141 ESJ131139:ESJ131141 FCF131139:FCF131141 FMB131139:FMB131141 FVX131139:FVX131141 GFT131139:GFT131141 GPP131139:GPP131141 GZL131139:GZL131141 HJH131139:HJH131141 HTD131139:HTD131141 ICZ131139:ICZ131141 IMV131139:IMV131141 IWR131139:IWR131141 JGN131139:JGN131141 JQJ131139:JQJ131141 KAF131139:KAF131141 KKB131139:KKB131141 KTX131139:KTX131141 LDT131139:LDT131141 LNP131139:LNP131141 LXL131139:LXL131141 MHH131139:MHH131141 MRD131139:MRD131141 NAZ131139:NAZ131141 NKV131139:NKV131141 NUR131139:NUR131141 OEN131139:OEN131141 OOJ131139:OOJ131141 OYF131139:OYF131141 PIB131139:PIB131141 PRX131139:PRX131141 QBT131139:QBT131141 QLP131139:QLP131141 QVL131139:QVL131141 RFH131139:RFH131141 RPD131139:RPD131141 RYZ131139:RYZ131141 SIV131139:SIV131141 SSR131139:SSR131141 TCN131139:TCN131141 TMJ131139:TMJ131141 TWF131139:TWF131141 UGB131139:UGB131141 UPX131139:UPX131141 UZT131139:UZT131141 VJP131139:VJP131141 VTL131139:VTL131141 WDH131139:WDH131141 WND131139:WND131141 H196675:H196677 AR196675:AR196677 KN196675:KN196677 UJ196675:UJ196677 AEF196675:AEF196677 AOB196675:AOB196677 AXX196675:AXX196677 BHT196675:BHT196677 BRP196675:BRP196677 CBL196675:CBL196677 CLH196675:CLH196677 CVD196675:CVD196677 DEZ196675:DEZ196677 DOV196675:DOV196677 DYR196675:DYR196677 EIN196675:EIN196677 ESJ196675:ESJ196677 FCF196675:FCF196677 FMB196675:FMB196677 FVX196675:FVX196677 GFT196675:GFT196677 GPP196675:GPP196677 GZL196675:GZL196677 HJH196675:HJH196677 HTD196675:HTD196677 ICZ196675:ICZ196677 IMV196675:IMV196677 IWR196675:IWR196677 JGN196675:JGN196677 JQJ196675:JQJ196677 KAF196675:KAF196677 KKB196675:KKB196677 KTX196675:KTX196677 LDT196675:LDT196677 LNP196675:LNP196677 LXL196675:LXL196677 MHH196675:MHH196677 MRD196675:MRD196677 NAZ196675:NAZ196677 NKV196675:NKV196677 NUR196675:NUR196677 OEN196675:OEN196677 OOJ196675:OOJ196677 OYF196675:OYF196677 PIB196675:PIB196677 PRX196675:PRX196677 QBT196675:QBT196677 QLP196675:QLP196677 QVL196675:QVL196677 RFH196675:RFH196677 RPD196675:RPD196677 RYZ196675:RYZ196677 SIV196675:SIV196677 SSR196675:SSR196677 TCN196675:TCN196677 TMJ196675:TMJ196677 TWF196675:TWF196677 UGB196675:UGB196677 UPX196675:UPX196677 UZT196675:UZT196677 VJP196675:VJP196677 VTL196675:VTL196677 WDH196675:WDH196677 WND196675:WND196677 H262211:H262213 AR262211:AR262213 KN262211:KN262213 UJ262211:UJ262213 AEF262211:AEF262213 AOB262211:AOB262213 AXX262211:AXX262213 BHT262211:BHT262213 BRP262211:BRP262213 CBL262211:CBL262213 CLH262211:CLH262213 CVD262211:CVD262213 DEZ262211:DEZ262213 DOV262211:DOV262213 DYR262211:DYR262213 EIN262211:EIN262213 ESJ262211:ESJ262213 FCF262211:FCF262213 FMB262211:FMB262213 FVX262211:FVX262213 GFT262211:GFT262213 GPP262211:GPP262213 GZL262211:GZL262213 HJH262211:HJH262213 HTD262211:HTD262213 ICZ262211:ICZ262213 IMV262211:IMV262213 IWR262211:IWR262213 JGN262211:JGN262213 JQJ262211:JQJ262213 KAF262211:KAF262213 KKB262211:KKB262213 KTX262211:KTX262213 LDT262211:LDT262213 LNP262211:LNP262213 LXL262211:LXL262213 MHH262211:MHH262213 MRD262211:MRD262213 NAZ262211:NAZ262213 NKV262211:NKV262213 NUR262211:NUR262213 OEN262211:OEN262213 OOJ262211:OOJ262213 OYF262211:OYF262213 PIB262211:PIB262213 PRX262211:PRX262213 QBT262211:QBT262213 QLP262211:QLP262213 QVL262211:QVL262213 RFH262211:RFH262213 RPD262211:RPD262213 RYZ262211:RYZ262213 SIV262211:SIV262213 SSR262211:SSR262213 TCN262211:TCN262213 TMJ262211:TMJ262213 TWF262211:TWF262213 UGB262211:UGB262213 UPX262211:UPX262213 UZT262211:UZT262213 VJP262211:VJP262213 VTL262211:VTL262213 WDH262211:WDH262213 WND262211:WND262213 H327747:H327749 AR327747:AR327749 KN327747:KN327749 UJ327747:UJ327749 AEF327747:AEF327749 AOB327747:AOB327749 AXX327747:AXX327749 BHT327747:BHT327749 BRP327747:BRP327749 CBL327747:CBL327749 CLH327747:CLH327749 CVD327747:CVD327749 DEZ327747:DEZ327749 DOV327747:DOV327749 DYR327747:DYR327749 EIN327747:EIN327749 ESJ327747:ESJ327749 FCF327747:FCF327749 FMB327747:FMB327749 FVX327747:FVX327749 GFT327747:GFT327749 GPP327747:GPP327749 GZL327747:GZL327749 HJH327747:HJH327749 HTD327747:HTD327749 ICZ327747:ICZ327749 IMV327747:IMV327749 IWR327747:IWR327749 JGN327747:JGN327749 JQJ327747:JQJ327749 KAF327747:KAF327749 KKB327747:KKB327749 KTX327747:KTX327749 LDT327747:LDT327749 LNP327747:LNP327749 LXL327747:LXL327749 MHH327747:MHH327749 MRD327747:MRD327749 NAZ327747:NAZ327749 NKV327747:NKV327749 NUR327747:NUR327749 OEN327747:OEN327749 OOJ327747:OOJ327749 OYF327747:OYF327749 PIB327747:PIB327749 PRX327747:PRX327749 QBT327747:QBT327749 QLP327747:QLP327749 QVL327747:QVL327749 RFH327747:RFH327749 RPD327747:RPD327749 RYZ327747:RYZ327749 SIV327747:SIV327749 SSR327747:SSR327749 TCN327747:TCN327749 TMJ327747:TMJ327749 TWF327747:TWF327749 UGB327747:UGB327749 UPX327747:UPX327749 UZT327747:UZT327749 VJP327747:VJP327749 VTL327747:VTL327749 WDH327747:WDH327749 WND327747:WND327749 H393283:H393285 AR393283:AR393285 KN393283:KN393285 UJ393283:UJ393285 AEF393283:AEF393285 AOB393283:AOB393285 AXX393283:AXX393285 BHT393283:BHT393285 BRP393283:BRP393285 CBL393283:CBL393285 CLH393283:CLH393285 CVD393283:CVD393285 DEZ393283:DEZ393285 DOV393283:DOV393285 DYR393283:DYR393285 EIN393283:EIN393285 ESJ393283:ESJ393285 FCF393283:FCF393285 FMB393283:FMB393285 FVX393283:FVX393285 GFT393283:GFT393285 GPP393283:GPP393285 GZL393283:GZL393285 HJH393283:HJH393285 HTD393283:HTD393285 ICZ393283:ICZ393285 IMV393283:IMV393285 IWR393283:IWR393285 JGN393283:JGN393285 JQJ393283:JQJ393285 KAF393283:KAF393285 KKB393283:KKB393285 KTX393283:KTX393285 LDT393283:LDT393285 LNP393283:LNP393285 LXL393283:LXL393285 MHH393283:MHH393285 MRD393283:MRD393285 NAZ393283:NAZ393285 NKV393283:NKV393285 NUR393283:NUR393285 OEN393283:OEN393285 OOJ393283:OOJ393285 OYF393283:OYF393285 PIB393283:PIB393285 PRX393283:PRX393285 QBT393283:QBT393285 QLP393283:QLP393285 QVL393283:QVL393285 RFH393283:RFH393285 RPD393283:RPD393285 RYZ393283:RYZ393285 SIV393283:SIV393285 SSR393283:SSR393285 TCN393283:TCN393285 TMJ393283:TMJ393285 TWF393283:TWF393285 UGB393283:UGB393285 UPX393283:UPX393285 UZT393283:UZT393285 VJP393283:VJP393285 VTL393283:VTL393285 WDH393283:WDH393285 WND393283:WND393285 H458819:H458821 AR458819:AR458821 KN458819:KN458821 UJ458819:UJ458821 AEF458819:AEF458821 AOB458819:AOB458821 AXX458819:AXX458821 BHT458819:BHT458821 BRP458819:BRP458821 CBL458819:CBL458821 CLH458819:CLH458821 CVD458819:CVD458821 DEZ458819:DEZ458821 DOV458819:DOV458821 DYR458819:DYR458821 EIN458819:EIN458821 ESJ458819:ESJ458821 FCF458819:FCF458821 FMB458819:FMB458821 FVX458819:FVX458821 GFT458819:GFT458821 GPP458819:GPP458821 GZL458819:GZL458821 HJH458819:HJH458821 HTD458819:HTD458821 ICZ458819:ICZ458821 IMV458819:IMV458821 IWR458819:IWR458821 JGN458819:JGN458821 JQJ458819:JQJ458821 KAF458819:KAF458821 KKB458819:KKB458821 KTX458819:KTX458821 LDT458819:LDT458821 LNP458819:LNP458821 LXL458819:LXL458821 MHH458819:MHH458821 MRD458819:MRD458821 NAZ458819:NAZ458821 NKV458819:NKV458821 NUR458819:NUR458821 OEN458819:OEN458821 OOJ458819:OOJ458821 OYF458819:OYF458821 PIB458819:PIB458821 PRX458819:PRX458821 QBT458819:QBT458821 QLP458819:QLP458821 QVL458819:QVL458821 RFH458819:RFH458821 RPD458819:RPD458821 RYZ458819:RYZ458821 SIV458819:SIV458821 SSR458819:SSR458821 TCN458819:TCN458821 TMJ458819:TMJ458821 TWF458819:TWF458821 UGB458819:UGB458821 UPX458819:UPX458821 UZT458819:UZT458821 VJP458819:VJP458821 VTL458819:VTL458821 WDH458819:WDH458821 WND458819:WND458821 H524355:H524357 AR524355:AR524357 KN524355:KN524357 UJ524355:UJ524357 AEF524355:AEF524357 AOB524355:AOB524357 AXX524355:AXX524357 BHT524355:BHT524357 BRP524355:BRP524357 CBL524355:CBL524357 CLH524355:CLH524357 CVD524355:CVD524357 DEZ524355:DEZ524357 DOV524355:DOV524357 DYR524355:DYR524357 EIN524355:EIN524357 ESJ524355:ESJ524357 FCF524355:FCF524357 FMB524355:FMB524357 FVX524355:FVX524357 GFT524355:GFT524357 GPP524355:GPP524357 GZL524355:GZL524357 HJH524355:HJH524357 HTD524355:HTD524357 ICZ524355:ICZ524357 IMV524355:IMV524357 IWR524355:IWR524357 JGN524355:JGN524357 JQJ524355:JQJ524357 KAF524355:KAF524357 KKB524355:KKB524357 KTX524355:KTX524357 LDT524355:LDT524357 LNP524355:LNP524357 LXL524355:LXL524357 MHH524355:MHH524357 MRD524355:MRD524357 NAZ524355:NAZ524357 NKV524355:NKV524357 NUR524355:NUR524357 OEN524355:OEN524357 OOJ524355:OOJ524357 OYF524355:OYF524357 PIB524355:PIB524357 PRX524355:PRX524357 QBT524355:QBT524357 QLP524355:QLP524357 QVL524355:QVL524357 RFH524355:RFH524357 RPD524355:RPD524357 RYZ524355:RYZ524357 SIV524355:SIV524357 SSR524355:SSR524357 TCN524355:TCN524357 TMJ524355:TMJ524357 TWF524355:TWF524357 UGB524355:UGB524357 UPX524355:UPX524357 UZT524355:UZT524357 VJP524355:VJP524357 VTL524355:VTL524357 WDH524355:WDH524357 WND524355:WND524357 H589891:H589893 AR589891:AR589893 KN589891:KN589893 UJ589891:UJ589893 AEF589891:AEF589893 AOB589891:AOB589893 AXX589891:AXX589893 BHT589891:BHT589893 BRP589891:BRP589893 CBL589891:CBL589893 CLH589891:CLH589893 CVD589891:CVD589893 DEZ589891:DEZ589893 DOV589891:DOV589893 DYR589891:DYR589893 EIN589891:EIN589893 ESJ589891:ESJ589893 FCF589891:FCF589893 FMB589891:FMB589893 FVX589891:FVX589893 GFT589891:GFT589893 GPP589891:GPP589893 GZL589891:GZL589893 HJH589891:HJH589893 HTD589891:HTD589893 ICZ589891:ICZ589893 IMV589891:IMV589893 IWR589891:IWR589893 JGN589891:JGN589893 JQJ589891:JQJ589893 KAF589891:KAF589893 KKB589891:KKB589893 KTX589891:KTX589893 LDT589891:LDT589893 LNP589891:LNP589893 LXL589891:LXL589893 MHH589891:MHH589893 MRD589891:MRD589893 NAZ589891:NAZ589893 NKV589891:NKV589893 NUR589891:NUR589893 OEN589891:OEN589893 OOJ589891:OOJ589893 OYF589891:OYF589893 PIB589891:PIB589893 PRX589891:PRX589893 QBT589891:QBT589893 QLP589891:QLP589893 QVL589891:QVL589893 RFH589891:RFH589893 RPD589891:RPD589893 RYZ589891:RYZ589893 SIV589891:SIV589893 SSR589891:SSR589893 TCN589891:TCN589893 TMJ589891:TMJ589893 TWF589891:TWF589893 UGB589891:UGB589893 UPX589891:UPX589893 UZT589891:UZT589893 VJP589891:VJP589893 VTL589891:VTL589893 WDH589891:WDH589893 WND589891:WND589893 H655427:H655429 AR655427:AR655429 KN655427:KN655429 UJ655427:UJ655429 AEF655427:AEF655429 AOB655427:AOB655429 AXX655427:AXX655429 BHT655427:BHT655429 BRP655427:BRP655429 CBL655427:CBL655429 CLH655427:CLH655429 CVD655427:CVD655429 DEZ655427:DEZ655429 DOV655427:DOV655429 DYR655427:DYR655429 EIN655427:EIN655429 ESJ655427:ESJ655429 FCF655427:FCF655429 FMB655427:FMB655429 FVX655427:FVX655429 GFT655427:GFT655429 GPP655427:GPP655429 GZL655427:GZL655429 HJH655427:HJH655429 HTD655427:HTD655429 ICZ655427:ICZ655429 IMV655427:IMV655429 IWR655427:IWR655429 JGN655427:JGN655429 JQJ655427:JQJ655429 KAF655427:KAF655429 KKB655427:KKB655429 KTX655427:KTX655429 LDT655427:LDT655429 LNP655427:LNP655429 LXL655427:LXL655429 MHH655427:MHH655429 MRD655427:MRD655429 NAZ655427:NAZ655429 NKV655427:NKV655429 NUR655427:NUR655429 OEN655427:OEN655429 OOJ655427:OOJ655429 OYF655427:OYF655429 PIB655427:PIB655429 PRX655427:PRX655429 QBT655427:QBT655429 QLP655427:QLP655429 QVL655427:QVL655429 RFH655427:RFH655429 RPD655427:RPD655429 RYZ655427:RYZ655429 SIV655427:SIV655429 SSR655427:SSR655429 TCN655427:TCN655429 TMJ655427:TMJ655429 TWF655427:TWF655429 UGB655427:UGB655429 UPX655427:UPX655429 UZT655427:UZT655429 VJP655427:VJP655429 VTL655427:VTL655429 WDH655427:WDH655429 WND655427:WND655429 H720963:H720965 AR720963:AR720965 KN720963:KN720965 UJ720963:UJ720965 AEF720963:AEF720965 AOB720963:AOB720965 AXX720963:AXX720965 BHT720963:BHT720965 BRP720963:BRP720965 CBL720963:CBL720965 CLH720963:CLH720965 CVD720963:CVD720965 DEZ720963:DEZ720965 DOV720963:DOV720965 DYR720963:DYR720965 EIN720963:EIN720965 ESJ720963:ESJ720965 FCF720963:FCF720965 FMB720963:FMB720965 FVX720963:FVX720965 GFT720963:GFT720965 GPP720963:GPP720965 GZL720963:GZL720965 HJH720963:HJH720965 HTD720963:HTD720965 ICZ720963:ICZ720965 IMV720963:IMV720965 IWR720963:IWR720965 JGN720963:JGN720965 JQJ720963:JQJ720965 KAF720963:KAF720965 KKB720963:KKB720965 KTX720963:KTX720965 LDT720963:LDT720965 LNP720963:LNP720965 LXL720963:LXL720965 MHH720963:MHH720965 MRD720963:MRD720965 NAZ720963:NAZ720965 NKV720963:NKV720965 NUR720963:NUR720965 OEN720963:OEN720965 OOJ720963:OOJ720965 OYF720963:OYF720965 PIB720963:PIB720965 PRX720963:PRX720965 QBT720963:QBT720965 QLP720963:QLP720965 QVL720963:QVL720965 RFH720963:RFH720965 RPD720963:RPD720965 RYZ720963:RYZ720965 SIV720963:SIV720965 SSR720963:SSR720965 TCN720963:TCN720965 TMJ720963:TMJ720965 TWF720963:TWF720965 UGB720963:UGB720965 UPX720963:UPX720965 UZT720963:UZT720965 VJP720963:VJP720965 VTL720963:VTL720965 WDH720963:WDH720965 WND720963:WND720965 H786499:H786501 AR786499:AR786501 KN786499:KN786501 UJ786499:UJ786501 AEF786499:AEF786501 AOB786499:AOB786501 AXX786499:AXX786501 BHT786499:BHT786501 BRP786499:BRP786501 CBL786499:CBL786501 CLH786499:CLH786501 CVD786499:CVD786501 DEZ786499:DEZ786501 DOV786499:DOV786501 DYR786499:DYR786501 EIN786499:EIN786501 ESJ786499:ESJ786501 FCF786499:FCF786501 FMB786499:FMB786501 FVX786499:FVX786501 GFT786499:GFT786501 GPP786499:GPP786501 GZL786499:GZL786501 HJH786499:HJH786501 HTD786499:HTD786501 ICZ786499:ICZ786501 IMV786499:IMV786501 IWR786499:IWR786501 JGN786499:JGN786501 JQJ786499:JQJ786501 KAF786499:KAF786501 KKB786499:KKB786501 KTX786499:KTX786501 LDT786499:LDT786501 LNP786499:LNP786501 LXL786499:LXL786501 MHH786499:MHH786501 MRD786499:MRD786501 NAZ786499:NAZ786501 NKV786499:NKV786501 NUR786499:NUR786501 OEN786499:OEN786501 OOJ786499:OOJ786501 OYF786499:OYF786501 PIB786499:PIB786501 PRX786499:PRX786501 QBT786499:QBT786501 QLP786499:QLP786501 QVL786499:QVL786501 RFH786499:RFH786501 RPD786499:RPD786501 RYZ786499:RYZ786501 SIV786499:SIV786501 SSR786499:SSR786501 TCN786499:TCN786501 TMJ786499:TMJ786501 TWF786499:TWF786501 UGB786499:UGB786501 UPX786499:UPX786501 UZT786499:UZT786501 VJP786499:VJP786501 VTL786499:VTL786501 WDH786499:WDH786501 WND786499:WND786501 H852035:H852037 AR852035:AR852037 KN852035:KN852037 UJ852035:UJ852037 AEF852035:AEF852037 AOB852035:AOB852037 AXX852035:AXX852037 BHT852035:BHT852037 BRP852035:BRP852037 CBL852035:CBL852037 CLH852035:CLH852037 CVD852035:CVD852037 DEZ852035:DEZ852037 DOV852035:DOV852037 DYR852035:DYR852037 EIN852035:EIN852037 ESJ852035:ESJ852037 FCF852035:FCF852037 FMB852035:FMB852037 FVX852035:FVX852037 GFT852035:GFT852037 GPP852035:GPP852037 GZL852035:GZL852037 HJH852035:HJH852037 HTD852035:HTD852037 ICZ852035:ICZ852037 IMV852035:IMV852037 IWR852035:IWR852037 JGN852035:JGN852037 JQJ852035:JQJ852037 KAF852035:KAF852037 KKB852035:KKB852037 KTX852035:KTX852037 LDT852035:LDT852037 LNP852035:LNP852037 LXL852035:LXL852037 MHH852035:MHH852037 MRD852035:MRD852037 NAZ852035:NAZ852037 NKV852035:NKV852037 NUR852035:NUR852037 OEN852035:OEN852037 OOJ852035:OOJ852037 OYF852035:OYF852037 PIB852035:PIB852037 PRX852035:PRX852037 QBT852035:QBT852037 QLP852035:QLP852037 QVL852035:QVL852037 RFH852035:RFH852037 RPD852035:RPD852037 RYZ852035:RYZ852037 SIV852035:SIV852037 SSR852035:SSR852037 TCN852035:TCN852037 TMJ852035:TMJ852037 TWF852035:TWF852037 UGB852035:UGB852037 UPX852035:UPX852037 UZT852035:UZT852037 VJP852035:VJP852037 VTL852035:VTL852037 WDH852035:WDH852037 WND852035:WND852037 H917571:H917573 AR917571:AR917573 KN917571:KN917573 UJ917571:UJ917573 AEF917571:AEF917573 AOB917571:AOB917573 AXX917571:AXX917573 BHT917571:BHT917573 BRP917571:BRP917573 CBL917571:CBL917573 CLH917571:CLH917573 CVD917571:CVD917573 DEZ917571:DEZ917573 DOV917571:DOV917573 DYR917571:DYR917573 EIN917571:EIN917573 ESJ917571:ESJ917573 FCF917571:FCF917573 FMB917571:FMB917573 FVX917571:FVX917573 GFT917571:GFT917573 GPP917571:GPP917573 GZL917571:GZL917573 HJH917571:HJH917573 HTD917571:HTD917573 ICZ917571:ICZ917573 IMV917571:IMV917573 IWR917571:IWR917573 JGN917571:JGN917573 JQJ917571:JQJ917573 KAF917571:KAF917573 KKB917571:KKB917573 KTX917571:KTX917573 LDT917571:LDT917573 LNP917571:LNP917573 LXL917571:LXL917573 MHH917571:MHH917573 MRD917571:MRD917573 NAZ917571:NAZ917573 NKV917571:NKV917573 NUR917571:NUR917573 OEN917571:OEN917573 OOJ917571:OOJ917573 OYF917571:OYF917573 PIB917571:PIB917573 PRX917571:PRX917573 QBT917571:QBT917573 QLP917571:QLP917573 QVL917571:QVL917573 RFH917571:RFH917573 RPD917571:RPD917573 RYZ917571:RYZ917573 SIV917571:SIV917573 SSR917571:SSR917573 TCN917571:TCN917573 TMJ917571:TMJ917573 TWF917571:TWF917573 UGB917571:UGB917573 UPX917571:UPX917573 UZT917571:UZT917573 VJP917571:VJP917573 VTL917571:VTL917573 WDH917571:WDH917573 WND917571:WND917573 H983107:H983109 AR983107:AR983109 KN983107:KN983109 UJ983107:UJ983109 AEF983107:AEF983109 AOB983107:AOB983109 AXX983107:AXX983109 BHT983107:BHT983109 BRP983107:BRP983109 CBL983107:CBL983109 CLH983107:CLH983109 CVD983107:CVD983109 DEZ983107:DEZ983109 DOV983107:DOV983109 DYR983107:DYR983109 EIN983107:EIN983109 ESJ983107:ESJ983109 FCF983107:FCF983109 FMB983107:FMB983109 FVX983107:FVX983109 GFT983107:GFT983109 GPP983107:GPP983109 GZL983107:GZL983109 HJH983107:HJH983109 HTD983107:HTD983109 ICZ983107:ICZ983109 IMV983107:IMV983109 IWR983107:IWR983109 JGN983107:JGN983109 JQJ983107:JQJ983109 KAF983107:KAF983109 KKB983107:KKB983109 KTX983107:KTX983109 LDT983107:LDT983109 LNP983107:LNP983109 LXL983107:LXL983109 MHH983107:MHH983109 MRD983107:MRD983109 NAZ983107:NAZ983109 NKV983107:NKV983109 NUR983107:NUR983109 OEN983107:OEN983109 OOJ983107:OOJ983109 OYF983107:OYF983109 PIB983107:PIB983109 PRX983107:PRX983109 QBT983107:QBT983109 QLP983107:QLP983109 QVL983107:QVL983109 RFH983107:RFH983109 RPD983107:RPD983109 RYZ983107:RYZ983109 SIV983107:SIV983109 SSR983107:SSR983109 TCN983107:TCN983109 TMJ983107:TMJ983109 TWF983107:TWF983109 UGB983107:UGB983109 UPX983107:UPX983109 UZT983107:UZT983109 VJP983107:VJP983109 VTL983107:VTL983109 WDH983107:WDH983109 WND983107:WND983109 WND983082 AQ44:AQ46 KM44:KM46 UI44:UI46 AEE44:AEE46 AOA44:AOA46 AXW44:AXW46 BHS44:BHS46 BRO44:BRO46 CBK44:CBK46 CLG44:CLG46 CVC44:CVC46 DEY44:DEY46 DOU44:DOU46 DYQ44:DYQ46 EIM44:EIM46 ESI44:ESI46 FCE44:FCE46 FMA44:FMA46 FVW44:FVW46 GFS44:GFS46 GPO44:GPO46 GZK44:GZK46 HJG44:HJG46 HTC44:HTC46 ICY44:ICY46 IMU44:IMU46 IWQ44:IWQ46 JGM44:JGM46 JQI44:JQI46 KAE44:KAE46 KKA44:KKA46 KTW44:KTW46 LDS44:LDS46 LNO44:LNO46 LXK44:LXK46 MHG44:MHG46 MRC44:MRC46 NAY44:NAY46 NKU44:NKU46 NUQ44:NUQ46 OEM44:OEM46 OOI44:OOI46 OYE44:OYE46 PIA44:PIA46 PRW44:PRW46 QBS44:QBS46 QLO44:QLO46 QVK44:QVK46 RFG44:RFG46 RPC44:RPC46 RYY44:RYY46 SIU44:SIU46 SSQ44:SSQ46 TCM44:TCM46 TMI44:TMI46 TWE44:TWE46 UGA44:UGA46 UPW44:UPW46 UZS44:UZS46 VJO44:VJO46 VTK44:VTK46 WDG44:WDG46 WNC44:WNC46 G65578:G65579 AQ65578:AQ65579 KM65578:KM65579 UI65578:UI65579 AEE65578:AEE65579 AOA65578:AOA65579 AXW65578:AXW65579 BHS65578:BHS65579 BRO65578:BRO65579 CBK65578:CBK65579 CLG65578:CLG65579 CVC65578:CVC65579 DEY65578:DEY65579 DOU65578:DOU65579 DYQ65578:DYQ65579 EIM65578:EIM65579 ESI65578:ESI65579 FCE65578:FCE65579 FMA65578:FMA65579 FVW65578:FVW65579 GFS65578:GFS65579 GPO65578:GPO65579 GZK65578:GZK65579 HJG65578:HJG65579 HTC65578:HTC65579 ICY65578:ICY65579 IMU65578:IMU65579 IWQ65578:IWQ65579 JGM65578:JGM65579 JQI65578:JQI65579 KAE65578:KAE65579 KKA65578:KKA65579 KTW65578:KTW65579 LDS65578:LDS65579 LNO65578:LNO65579 LXK65578:LXK65579 MHG65578:MHG65579 MRC65578:MRC65579 NAY65578:NAY65579 NKU65578:NKU65579 NUQ65578:NUQ65579 OEM65578:OEM65579 OOI65578:OOI65579 OYE65578:OYE65579 PIA65578:PIA65579 PRW65578:PRW65579 QBS65578:QBS65579 QLO65578:QLO65579 QVK65578:QVK65579 RFG65578:RFG65579 RPC65578:RPC65579 RYY65578:RYY65579 SIU65578:SIU65579 SSQ65578:SSQ65579 TCM65578:TCM65579 TMI65578:TMI65579 TWE65578:TWE65579 UGA65578:UGA65579 UPW65578:UPW65579 UZS65578:UZS65579 VJO65578:VJO65579 VTK65578:VTK65579 WDG65578:WDG65579 WNC65578:WNC65579 G131114:G131115 AQ131114:AQ131115 KM131114:KM131115 UI131114:UI131115 AEE131114:AEE131115 AOA131114:AOA131115 AXW131114:AXW131115 BHS131114:BHS131115 BRO131114:BRO131115 CBK131114:CBK131115 CLG131114:CLG131115 CVC131114:CVC131115 DEY131114:DEY131115 DOU131114:DOU131115 DYQ131114:DYQ131115 EIM131114:EIM131115 ESI131114:ESI131115 FCE131114:FCE131115 FMA131114:FMA131115 FVW131114:FVW131115 GFS131114:GFS131115 GPO131114:GPO131115 GZK131114:GZK131115 HJG131114:HJG131115 HTC131114:HTC131115 ICY131114:ICY131115 IMU131114:IMU131115 IWQ131114:IWQ131115 JGM131114:JGM131115 JQI131114:JQI131115 KAE131114:KAE131115 KKA131114:KKA131115 KTW131114:KTW131115 LDS131114:LDS131115 LNO131114:LNO131115 LXK131114:LXK131115 MHG131114:MHG131115 MRC131114:MRC131115 NAY131114:NAY131115 NKU131114:NKU131115 NUQ131114:NUQ131115 OEM131114:OEM131115 OOI131114:OOI131115 OYE131114:OYE131115 PIA131114:PIA131115 PRW131114:PRW131115 QBS131114:QBS131115 QLO131114:QLO131115 QVK131114:QVK131115 RFG131114:RFG131115 RPC131114:RPC131115 RYY131114:RYY131115 SIU131114:SIU131115 SSQ131114:SSQ131115 TCM131114:TCM131115 TMI131114:TMI131115 TWE131114:TWE131115 UGA131114:UGA131115 UPW131114:UPW131115 UZS131114:UZS131115 VJO131114:VJO131115 VTK131114:VTK131115 WDG131114:WDG131115 WNC131114:WNC131115 G196650:G196651 AQ196650:AQ196651 KM196650:KM196651 UI196650:UI196651 AEE196650:AEE196651 AOA196650:AOA196651 AXW196650:AXW196651 BHS196650:BHS196651 BRO196650:BRO196651 CBK196650:CBK196651 CLG196650:CLG196651 CVC196650:CVC196651 DEY196650:DEY196651 DOU196650:DOU196651 DYQ196650:DYQ196651 EIM196650:EIM196651 ESI196650:ESI196651 FCE196650:FCE196651 FMA196650:FMA196651 FVW196650:FVW196651 GFS196650:GFS196651 GPO196650:GPO196651 GZK196650:GZK196651 HJG196650:HJG196651 HTC196650:HTC196651 ICY196650:ICY196651 IMU196650:IMU196651 IWQ196650:IWQ196651 JGM196650:JGM196651 JQI196650:JQI196651 KAE196650:KAE196651 KKA196650:KKA196651 KTW196650:KTW196651 LDS196650:LDS196651 LNO196650:LNO196651 LXK196650:LXK196651 MHG196650:MHG196651 MRC196650:MRC196651 NAY196650:NAY196651 NKU196650:NKU196651 NUQ196650:NUQ196651 OEM196650:OEM196651 OOI196650:OOI196651 OYE196650:OYE196651 PIA196650:PIA196651 PRW196650:PRW196651 QBS196650:QBS196651 QLO196650:QLO196651 QVK196650:QVK196651 RFG196650:RFG196651 RPC196650:RPC196651 RYY196650:RYY196651 SIU196650:SIU196651 SSQ196650:SSQ196651 TCM196650:TCM196651 TMI196650:TMI196651 TWE196650:TWE196651 UGA196650:UGA196651 UPW196650:UPW196651 UZS196650:UZS196651 VJO196650:VJO196651 VTK196650:VTK196651 WDG196650:WDG196651 WNC196650:WNC196651 G262186:G262187 AQ262186:AQ262187 KM262186:KM262187 UI262186:UI262187 AEE262186:AEE262187 AOA262186:AOA262187 AXW262186:AXW262187 BHS262186:BHS262187 BRO262186:BRO262187 CBK262186:CBK262187 CLG262186:CLG262187 CVC262186:CVC262187 DEY262186:DEY262187 DOU262186:DOU262187 DYQ262186:DYQ262187 EIM262186:EIM262187 ESI262186:ESI262187 FCE262186:FCE262187 FMA262186:FMA262187 FVW262186:FVW262187 GFS262186:GFS262187 GPO262186:GPO262187 GZK262186:GZK262187 HJG262186:HJG262187 HTC262186:HTC262187 ICY262186:ICY262187 IMU262186:IMU262187 IWQ262186:IWQ262187 JGM262186:JGM262187 JQI262186:JQI262187 KAE262186:KAE262187 KKA262186:KKA262187 KTW262186:KTW262187 LDS262186:LDS262187 LNO262186:LNO262187 LXK262186:LXK262187 MHG262186:MHG262187 MRC262186:MRC262187 NAY262186:NAY262187 NKU262186:NKU262187 NUQ262186:NUQ262187 OEM262186:OEM262187 OOI262186:OOI262187 OYE262186:OYE262187 PIA262186:PIA262187 PRW262186:PRW262187 QBS262186:QBS262187 QLO262186:QLO262187 QVK262186:QVK262187 RFG262186:RFG262187 RPC262186:RPC262187 RYY262186:RYY262187 SIU262186:SIU262187 SSQ262186:SSQ262187 TCM262186:TCM262187 TMI262186:TMI262187 TWE262186:TWE262187 UGA262186:UGA262187 UPW262186:UPW262187 UZS262186:UZS262187 VJO262186:VJO262187 VTK262186:VTK262187 WDG262186:WDG262187 WNC262186:WNC262187 G327722:G327723 AQ327722:AQ327723 KM327722:KM327723 UI327722:UI327723 AEE327722:AEE327723 AOA327722:AOA327723 AXW327722:AXW327723 BHS327722:BHS327723 BRO327722:BRO327723 CBK327722:CBK327723 CLG327722:CLG327723 CVC327722:CVC327723 DEY327722:DEY327723 DOU327722:DOU327723 DYQ327722:DYQ327723 EIM327722:EIM327723 ESI327722:ESI327723 FCE327722:FCE327723 FMA327722:FMA327723 FVW327722:FVW327723 GFS327722:GFS327723 GPO327722:GPO327723 GZK327722:GZK327723 HJG327722:HJG327723 HTC327722:HTC327723 ICY327722:ICY327723 IMU327722:IMU327723 IWQ327722:IWQ327723 JGM327722:JGM327723 JQI327722:JQI327723 KAE327722:KAE327723 KKA327722:KKA327723 KTW327722:KTW327723 LDS327722:LDS327723 LNO327722:LNO327723 LXK327722:LXK327723 MHG327722:MHG327723 MRC327722:MRC327723 NAY327722:NAY327723 NKU327722:NKU327723 NUQ327722:NUQ327723 OEM327722:OEM327723 OOI327722:OOI327723 OYE327722:OYE327723 PIA327722:PIA327723 PRW327722:PRW327723 QBS327722:QBS327723 QLO327722:QLO327723 QVK327722:QVK327723 RFG327722:RFG327723 RPC327722:RPC327723 RYY327722:RYY327723 SIU327722:SIU327723 SSQ327722:SSQ327723 TCM327722:TCM327723 TMI327722:TMI327723 TWE327722:TWE327723 UGA327722:UGA327723 UPW327722:UPW327723 UZS327722:UZS327723 VJO327722:VJO327723 VTK327722:VTK327723 WDG327722:WDG327723 WNC327722:WNC327723 G393258:G393259 AQ393258:AQ393259 KM393258:KM393259 UI393258:UI393259 AEE393258:AEE393259 AOA393258:AOA393259 AXW393258:AXW393259 BHS393258:BHS393259 BRO393258:BRO393259 CBK393258:CBK393259 CLG393258:CLG393259 CVC393258:CVC393259 DEY393258:DEY393259 DOU393258:DOU393259 DYQ393258:DYQ393259 EIM393258:EIM393259 ESI393258:ESI393259 FCE393258:FCE393259 FMA393258:FMA393259 FVW393258:FVW393259 GFS393258:GFS393259 GPO393258:GPO393259 GZK393258:GZK393259 HJG393258:HJG393259 HTC393258:HTC393259 ICY393258:ICY393259 IMU393258:IMU393259 IWQ393258:IWQ393259 JGM393258:JGM393259 JQI393258:JQI393259 KAE393258:KAE393259 KKA393258:KKA393259 KTW393258:KTW393259 LDS393258:LDS393259 LNO393258:LNO393259 LXK393258:LXK393259 MHG393258:MHG393259 MRC393258:MRC393259 NAY393258:NAY393259 NKU393258:NKU393259 NUQ393258:NUQ393259 OEM393258:OEM393259 OOI393258:OOI393259 OYE393258:OYE393259 PIA393258:PIA393259 PRW393258:PRW393259 QBS393258:QBS393259 QLO393258:QLO393259 QVK393258:QVK393259 RFG393258:RFG393259 RPC393258:RPC393259 RYY393258:RYY393259 SIU393258:SIU393259 SSQ393258:SSQ393259 TCM393258:TCM393259 TMI393258:TMI393259 TWE393258:TWE393259 UGA393258:UGA393259 UPW393258:UPW393259 UZS393258:UZS393259 VJO393258:VJO393259 VTK393258:VTK393259 WDG393258:WDG393259 WNC393258:WNC393259 G458794:G458795 AQ458794:AQ458795 KM458794:KM458795 UI458794:UI458795 AEE458794:AEE458795 AOA458794:AOA458795 AXW458794:AXW458795 BHS458794:BHS458795 BRO458794:BRO458795 CBK458794:CBK458795 CLG458794:CLG458795 CVC458794:CVC458795 DEY458794:DEY458795 DOU458794:DOU458795 DYQ458794:DYQ458795 EIM458794:EIM458795 ESI458794:ESI458795 FCE458794:FCE458795 FMA458794:FMA458795 FVW458794:FVW458795 GFS458794:GFS458795 GPO458794:GPO458795 GZK458794:GZK458795 HJG458794:HJG458795 HTC458794:HTC458795 ICY458794:ICY458795 IMU458794:IMU458795 IWQ458794:IWQ458795 JGM458794:JGM458795 JQI458794:JQI458795 KAE458794:KAE458795 KKA458794:KKA458795 KTW458794:KTW458795 LDS458794:LDS458795 LNO458794:LNO458795 LXK458794:LXK458795 MHG458794:MHG458795 MRC458794:MRC458795 NAY458794:NAY458795 NKU458794:NKU458795 NUQ458794:NUQ458795 OEM458794:OEM458795 OOI458794:OOI458795 OYE458794:OYE458795 PIA458794:PIA458795 PRW458794:PRW458795 QBS458794:QBS458795 QLO458794:QLO458795 QVK458794:QVK458795 RFG458794:RFG458795 RPC458794:RPC458795 RYY458794:RYY458795 SIU458794:SIU458795 SSQ458794:SSQ458795 TCM458794:TCM458795 TMI458794:TMI458795 TWE458794:TWE458795 UGA458794:UGA458795 UPW458794:UPW458795 UZS458794:UZS458795 VJO458794:VJO458795 VTK458794:VTK458795 WDG458794:WDG458795 WNC458794:WNC458795 G524330:G524331 AQ524330:AQ524331 KM524330:KM524331 UI524330:UI524331 AEE524330:AEE524331 AOA524330:AOA524331 AXW524330:AXW524331 BHS524330:BHS524331 BRO524330:BRO524331 CBK524330:CBK524331 CLG524330:CLG524331 CVC524330:CVC524331 DEY524330:DEY524331 DOU524330:DOU524331 DYQ524330:DYQ524331 EIM524330:EIM524331 ESI524330:ESI524331 FCE524330:FCE524331 FMA524330:FMA524331 FVW524330:FVW524331 GFS524330:GFS524331 GPO524330:GPO524331 GZK524330:GZK524331 HJG524330:HJG524331 HTC524330:HTC524331 ICY524330:ICY524331 IMU524330:IMU524331 IWQ524330:IWQ524331 JGM524330:JGM524331 JQI524330:JQI524331 KAE524330:KAE524331 KKA524330:KKA524331 KTW524330:KTW524331 LDS524330:LDS524331 LNO524330:LNO524331 LXK524330:LXK524331 MHG524330:MHG524331 MRC524330:MRC524331 NAY524330:NAY524331 NKU524330:NKU524331 NUQ524330:NUQ524331 OEM524330:OEM524331 OOI524330:OOI524331 OYE524330:OYE524331 PIA524330:PIA524331 PRW524330:PRW524331 QBS524330:QBS524331 QLO524330:QLO524331 QVK524330:QVK524331 RFG524330:RFG524331 RPC524330:RPC524331 RYY524330:RYY524331 SIU524330:SIU524331 SSQ524330:SSQ524331 TCM524330:TCM524331 TMI524330:TMI524331 TWE524330:TWE524331 UGA524330:UGA524331 UPW524330:UPW524331 UZS524330:UZS524331 VJO524330:VJO524331 VTK524330:VTK524331 WDG524330:WDG524331 WNC524330:WNC524331 G589866:G589867 AQ589866:AQ589867 KM589866:KM589867 UI589866:UI589867 AEE589866:AEE589867 AOA589866:AOA589867 AXW589866:AXW589867 BHS589866:BHS589867 BRO589866:BRO589867 CBK589866:CBK589867 CLG589866:CLG589867 CVC589866:CVC589867 DEY589866:DEY589867 DOU589866:DOU589867 DYQ589866:DYQ589867 EIM589866:EIM589867 ESI589866:ESI589867 FCE589866:FCE589867 FMA589866:FMA589867 FVW589866:FVW589867 GFS589866:GFS589867 GPO589866:GPO589867 GZK589866:GZK589867 HJG589866:HJG589867 HTC589866:HTC589867 ICY589866:ICY589867 IMU589866:IMU589867 IWQ589866:IWQ589867 JGM589866:JGM589867 JQI589866:JQI589867 KAE589866:KAE589867 KKA589866:KKA589867 KTW589866:KTW589867 LDS589866:LDS589867 LNO589866:LNO589867 LXK589866:LXK589867 MHG589866:MHG589867 MRC589866:MRC589867 NAY589866:NAY589867 NKU589866:NKU589867 NUQ589866:NUQ589867 OEM589866:OEM589867 OOI589866:OOI589867 OYE589866:OYE589867 PIA589866:PIA589867 PRW589866:PRW589867 QBS589866:QBS589867 QLO589866:QLO589867 QVK589866:QVK589867 RFG589866:RFG589867 RPC589866:RPC589867 RYY589866:RYY589867 SIU589866:SIU589867 SSQ589866:SSQ589867 TCM589866:TCM589867 TMI589866:TMI589867 TWE589866:TWE589867 UGA589866:UGA589867 UPW589866:UPW589867 UZS589866:UZS589867 VJO589866:VJO589867 VTK589866:VTK589867 WDG589866:WDG589867 WNC589866:WNC589867 G655402:G655403 AQ655402:AQ655403 KM655402:KM655403 UI655402:UI655403 AEE655402:AEE655403 AOA655402:AOA655403 AXW655402:AXW655403 BHS655402:BHS655403 BRO655402:BRO655403 CBK655402:CBK655403 CLG655402:CLG655403 CVC655402:CVC655403 DEY655402:DEY655403 DOU655402:DOU655403 DYQ655402:DYQ655403 EIM655402:EIM655403 ESI655402:ESI655403 FCE655402:FCE655403 FMA655402:FMA655403 FVW655402:FVW655403 GFS655402:GFS655403 GPO655402:GPO655403 GZK655402:GZK655403 HJG655402:HJG655403 HTC655402:HTC655403 ICY655402:ICY655403 IMU655402:IMU655403 IWQ655402:IWQ655403 JGM655402:JGM655403 JQI655402:JQI655403 KAE655402:KAE655403 KKA655402:KKA655403 KTW655402:KTW655403 LDS655402:LDS655403 LNO655402:LNO655403 LXK655402:LXK655403 MHG655402:MHG655403 MRC655402:MRC655403 NAY655402:NAY655403 NKU655402:NKU655403 NUQ655402:NUQ655403 OEM655402:OEM655403 OOI655402:OOI655403 OYE655402:OYE655403 PIA655402:PIA655403 PRW655402:PRW655403 QBS655402:QBS655403 QLO655402:QLO655403 QVK655402:QVK655403 RFG655402:RFG655403 RPC655402:RPC655403 RYY655402:RYY655403 SIU655402:SIU655403 SSQ655402:SSQ655403 TCM655402:TCM655403 TMI655402:TMI655403 TWE655402:TWE655403 UGA655402:UGA655403 UPW655402:UPW655403 UZS655402:UZS655403 VJO655402:VJO655403 VTK655402:VTK655403 WDG655402:WDG655403 WNC655402:WNC655403 G720938:G720939 AQ720938:AQ720939 KM720938:KM720939 UI720938:UI720939 AEE720938:AEE720939 AOA720938:AOA720939 AXW720938:AXW720939 BHS720938:BHS720939 BRO720938:BRO720939 CBK720938:CBK720939 CLG720938:CLG720939 CVC720938:CVC720939 DEY720938:DEY720939 DOU720938:DOU720939 DYQ720938:DYQ720939 EIM720938:EIM720939 ESI720938:ESI720939 FCE720938:FCE720939 FMA720938:FMA720939 FVW720938:FVW720939 GFS720938:GFS720939 GPO720938:GPO720939 GZK720938:GZK720939 HJG720938:HJG720939 HTC720938:HTC720939 ICY720938:ICY720939 IMU720938:IMU720939 IWQ720938:IWQ720939 JGM720938:JGM720939 JQI720938:JQI720939 KAE720938:KAE720939 KKA720938:KKA720939 KTW720938:KTW720939 LDS720938:LDS720939 LNO720938:LNO720939 LXK720938:LXK720939 MHG720938:MHG720939 MRC720938:MRC720939 NAY720938:NAY720939 NKU720938:NKU720939 NUQ720938:NUQ720939 OEM720938:OEM720939 OOI720938:OOI720939 OYE720938:OYE720939 PIA720938:PIA720939 PRW720938:PRW720939 QBS720938:QBS720939 QLO720938:QLO720939 QVK720938:QVK720939 RFG720938:RFG720939 RPC720938:RPC720939 RYY720938:RYY720939 SIU720938:SIU720939 SSQ720938:SSQ720939 TCM720938:TCM720939 TMI720938:TMI720939 TWE720938:TWE720939 UGA720938:UGA720939 UPW720938:UPW720939 UZS720938:UZS720939 VJO720938:VJO720939 VTK720938:VTK720939 WDG720938:WDG720939 WNC720938:WNC720939 G786474:G786475 AQ786474:AQ786475 KM786474:KM786475 UI786474:UI786475 AEE786474:AEE786475 AOA786474:AOA786475 AXW786474:AXW786475 BHS786474:BHS786475 BRO786474:BRO786475 CBK786474:CBK786475 CLG786474:CLG786475 CVC786474:CVC786475 DEY786474:DEY786475 DOU786474:DOU786475 DYQ786474:DYQ786475 EIM786474:EIM786475 ESI786474:ESI786475 FCE786474:FCE786475 FMA786474:FMA786475 FVW786474:FVW786475 GFS786474:GFS786475 GPO786474:GPO786475 GZK786474:GZK786475 HJG786474:HJG786475 HTC786474:HTC786475 ICY786474:ICY786475 IMU786474:IMU786475 IWQ786474:IWQ786475 JGM786474:JGM786475 JQI786474:JQI786475 KAE786474:KAE786475 KKA786474:KKA786475 KTW786474:KTW786475 LDS786474:LDS786475 LNO786474:LNO786475 LXK786474:LXK786475 MHG786474:MHG786475 MRC786474:MRC786475 NAY786474:NAY786475 NKU786474:NKU786475 NUQ786474:NUQ786475 OEM786474:OEM786475 OOI786474:OOI786475 OYE786474:OYE786475 PIA786474:PIA786475 PRW786474:PRW786475 QBS786474:QBS786475 QLO786474:QLO786475 QVK786474:QVK786475 RFG786474:RFG786475 RPC786474:RPC786475 RYY786474:RYY786475 SIU786474:SIU786475 SSQ786474:SSQ786475 TCM786474:TCM786475 TMI786474:TMI786475 TWE786474:TWE786475 UGA786474:UGA786475 UPW786474:UPW786475 UZS786474:UZS786475 VJO786474:VJO786475 VTK786474:VTK786475 WDG786474:WDG786475 WNC786474:WNC786475 G852010:G852011 AQ852010:AQ852011 KM852010:KM852011 UI852010:UI852011 AEE852010:AEE852011 AOA852010:AOA852011 AXW852010:AXW852011 BHS852010:BHS852011 BRO852010:BRO852011 CBK852010:CBK852011 CLG852010:CLG852011 CVC852010:CVC852011 DEY852010:DEY852011 DOU852010:DOU852011 DYQ852010:DYQ852011 EIM852010:EIM852011 ESI852010:ESI852011 FCE852010:FCE852011 FMA852010:FMA852011 FVW852010:FVW852011 GFS852010:GFS852011 GPO852010:GPO852011 GZK852010:GZK852011 HJG852010:HJG852011 HTC852010:HTC852011 ICY852010:ICY852011 IMU852010:IMU852011 IWQ852010:IWQ852011 JGM852010:JGM852011 JQI852010:JQI852011 KAE852010:KAE852011 KKA852010:KKA852011 KTW852010:KTW852011 LDS852010:LDS852011 LNO852010:LNO852011 LXK852010:LXK852011 MHG852010:MHG852011 MRC852010:MRC852011 NAY852010:NAY852011 NKU852010:NKU852011 NUQ852010:NUQ852011 OEM852010:OEM852011 OOI852010:OOI852011 OYE852010:OYE852011 PIA852010:PIA852011 PRW852010:PRW852011 QBS852010:QBS852011 QLO852010:QLO852011 QVK852010:QVK852011 RFG852010:RFG852011 RPC852010:RPC852011 RYY852010:RYY852011 SIU852010:SIU852011 SSQ852010:SSQ852011 TCM852010:TCM852011 TMI852010:TMI852011 TWE852010:TWE852011 UGA852010:UGA852011 UPW852010:UPW852011 UZS852010:UZS852011 VJO852010:VJO852011 VTK852010:VTK852011 WDG852010:WDG852011 WNC852010:WNC852011 G917546:G917547 AQ917546:AQ917547 KM917546:KM917547 UI917546:UI917547 AEE917546:AEE917547 AOA917546:AOA917547 AXW917546:AXW917547 BHS917546:BHS917547 BRO917546:BRO917547 CBK917546:CBK917547 CLG917546:CLG917547 CVC917546:CVC917547 DEY917546:DEY917547 DOU917546:DOU917547 DYQ917546:DYQ917547 EIM917546:EIM917547 ESI917546:ESI917547 FCE917546:FCE917547 FMA917546:FMA917547 FVW917546:FVW917547 GFS917546:GFS917547 GPO917546:GPO917547 GZK917546:GZK917547 HJG917546:HJG917547 HTC917546:HTC917547 ICY917546:ICY917547 IMU917546:IMU917547 IWQ917546:IWQ917547 JGM917546:JGM917547 JQI917546:JQI917547 KAE917546:KAE917547 KKA917546:KKA917547 KTW917546:KTW917547 LDS917546:LDS917547 LNO917546:LNO917547 LXK917546:LXK917547 MHG917546:MHG917547 MRC917546:MRC917547 NAY917546:NAY917547 NKU917546:NKU917547 NUQ917546:NUQ917547 OEM917546:OEM917547 OOI917546:OOI917547 OYE917546:OYE917547 PIA917546:PIA917547 PRW917546:PRW917547 QBS917546:QBS917547 QLO917546:QLO917547 QVK917546:QVK917547 RFG917546:RFG917547 RPC917546:RPC917547 RYY917546:RYY917547 SIU917546:SIU917547 SSQ917546:SSQ917547 TCM917546:TCM917547 TMI917546:TMI917547 TWE917546:TWE917547 UGA917546:UGA917547 UPW917546:UPW917547 UZS917546:UZS917547 VJO917546:VJO917547 VTK917546:VTK917547 WDG917546:WDG917547 WNC917546:WNC917547 G983082:G983083 AQ983082:AQ983083 KM983082:KM983083 UI983082:UI983083 AEE983082:AEE983083 AOA983082:AOA983083 AXW983082:AXW983083 BHS983082:BHS983083 BRO983082:BRO983083 CBK983082:CBK983083 CLG983082:CLG983083 CVC983082:CVC983083 DEY983082:DEY983083 DOU983082:DOU983083 DYQ983082:DYQ983083 EIM983082:EIM983083 ESI983082:ESI983083 FCE983082:FCE983083 FMA983082:FMA983083 FVW983082:FVW983083 GFS983082:GFS983083 GPO983082:GPO983083 GZK983082:GZK983083 HJG983082:HJG983083 HTC983082:HTC983083 ICY983082:ICY983083 IMU983082:IMU983083 IWQ983082:IWQ983083 JGM983082:JGM983083 JQI983082:JQI983083 KAE983082:KAE983083 KKA983082:KKA983083 KTW983082:KTW983083 LDS983082:LDS983083 LNO983082:LNO983083 LXK983082:LXK983083 MHG983082:MHG983083 MRC983082:MRC983083 NAY983082:NAY983083 NKU983082:NKU983083 NUQ983082:NUQ983083 OEM983082:OEM983083 OOI983082:OOI983083 OYE983082:OYE983083 PIA983082:PIA983083 PRW983082:PRW983083 QBS983082:QBS983083 QLO983082:QLO983083 QVK983082:QVK983083 RFG983082:RFG983083 RPC983082:RPC983083 RYY983082:RYY983083 SIU983082:SIU983083 SSQ983082:SSQ983083 TCM983082:TCM983083 TMI983082:TMI983083 TWE983082:TWE983083 UGA983082:UGA983083 UPW983082:UPW983083 UZS983082:UZS983083 VJO983082:VJO983083 VTK983082:VTK983083 WDG983082:WDG983083 WNC983082:WNC983083 AR44:AR45 KN44:KN45 UJ44:UJ45 AEF44:AEF45 AOB44:AOB45 AXX44:AXX45 BHT44:BHT45 BRP44:BRP45 CBL44:CBL45 CLH44:CLH45 CVD44:CVD45 DEZ44:DEZ45 DOV44:DOV45 DYR44:DYR45 EIN44:EIN45 ESJ44:ESJ45 FCF44:FCF45 FMB44:FMB45 FVX44:FVX45 GFT44:GFT45 GPP44:GPP45 GZL44:GZL45 HJH44:HJH45 HTD44:HTD45 ICZ44:ICZ45 IMV44:IMV45 IWR44:IWR45 JGN44:JGN45 JQJ44:JQJ45 KAF44:KAF45 KKB44:KKB45 KTX44:KTX45 LDT44:LDT45 LNP44:LNP45 LXL44:LXL45 MHH44:MHH45 MRD44:MRD45 NAZ44:NAZ45 NKV44:NKV45 NUR44:NUR45 OEN44:OEN45 OOJ44:OOJ45 OYF44:OYF45 PIB44:PIB45 PRX44:PRX45 QBT44:QBT45 QLP44:QLP45 QVL44:QVL45 RFH44:RFH45 RPD44:RPD45 RYZ44:RYZ45 SIV44:SIV45 SSR44:SSR45 TCN44:TCN45 TMJ44:TMJ45 TWF44:TWF45 UGB44:UGB45 UPX44:UPX45 UZT44:UZT45 VJP44:VJP45 VTL44:VTL45 WDH44:WDH45 WND44:WND45 H65578 AR65578 KN65578 UJ65578 AEF65578 AOB65578 AXX65578 BHT65578 BRP65578 CBL65578 CLH65578 CVD65578 DEZ65578 DOV65578 DYR65578 EIN65578 ESJ65578 FCF65578 FMB65578 FVX65578 GFT65578 GPP65578 GZL65578 HJH65578 HTD65578 ICZ65578 IMV65578 IWR65578 JGN65578 JQJ65578 KAF65578 KKB65578 KTX65578 LDT65578 LNP65578 LXL65578 MHH65578 MRD65578 NAZ65578 NKV65578 NUR65578 OEN65578 OOJ65578 OYF65578 PIB65578 PRX65578 QBT65578 QLP65578 QVL65578 RFH65578 RPD65578 RYZ65578 SIV65578 SSR65578 TCN65578 TMJ65578 TWF65578 UGB65578 UPX65578 UZT65578 VJP65578 VTL65578 WDH65578 WND65578 H131114 AR131114 KN131114 UJ131114 AEF131114 AOB131114 AXX131114 BHT131114 BRP131114 CBL131114 CLH131114 CVD131114 DEZ131114 DOV131114 DYR131114 EIN131114 ESJ131114 FCF131114 FMB131114 FVX131114 GFT131114 GPP131114 GZL131114 HJH131114 HTD131114 ICZ131114 IMV131114 IWR131114 JGN131114 JQJ131114 KAF131114 KKB131114 KTX131114 LDT131114 LNP131114 LXL131114 MHH131114 MRD131114 NAZ131114 NKV131114 NUR131114 OEN131114 OOJ131114 OYF131114 PIB131114 PRX131114 QBT131114 QLP131114 QVL131114 RFH131114 RPD131114 RYZ131114 SIV131114 SSR131114 TCN131114 TMJ131114 TWF131114 UGB131114 UPX131114 UZT131114 VJP131114 VTL131114 WDH131114 WND131114 H196650 AR196650 KN196650 UJ196650 AEF196650 AOB196650 AXX196650 BHT196650 BRP196650 CBL196650 CLH196650 CVD196650 DEZ196650 DOV196650 DYR196650 EIN196650 ESJ196650 FCF196650 FMB196650 FVX196650 GFT196650 GPP196650 GZL196650 HJH196650 HTD196650 ICZ196650 IMV196650 IWR196650 JGN196650 JQJ196650 KAF196650 KKB196650 KTX196650 LDT196650 LNP196650 LXL196650 MHH196650 MRD196650 NAZ196650 NKV196650 NUR196650 OEN196650 OOJ196650 OYF196650 PIB196650 PRX196650 QBT196650 QLP196650 QVL196650 RFH196650 RPD196650 RYZ196650 SIV196650 SSR196650 TCN196650 TMJ196650 TWF196650 UGB196650 UPX196650 UZT196650 VJP196650 VTL196650 WDH196650 WND196650 H262186 AR262186 KN262186 UJ262186 AEF262186 AOB262186 AXX262186 BHT262186 BRP262186 CBL262186 CLH262186 CVD262186 DEZ262186 DOV262186 DYR262186 EIN262186 ESJ262186 FCF262186 FMB262186 FVX262186 GFT262186 GPP262186 GZL262186 HJH262186 HTD262186 ICZ262186 IMV262186 IWR262186 JGN262186 JQJ262186 KAF262186 KKB262186 KTX262186 LDT262186 LNP262186 LXL262186 MHH262186 MRD262186 NAZ262186 NKV262186 NUR262186 OEN262186 OOJ262186 OYF262186 PIB262186 PRX262186 QBT262186 QLP262186 QVL262186 RFH262186 RPD262186 RYZ262186 SIV262186 SSR262186 TCN262186 TMJ262186 TWF262186 UGB262186 UPX262186 UZT262186 VJP262186 VTL262186 WDH262186 WND262186 H327722 AR327722 KN327722 UJ327722 AEF327722 AOB327722 AXX327722 BHT327722 BRP327722 CBL327722 CLH327722 CVD327722 DEZ327722 DOV327722 DYR327722 EIN327722 ESJ327722 FCF327722 FMB327722 FVX327722 GFT327722 GPP327722 GZL327722 HJH327722 HTD327722 ICZ327722 IMV327722 IWR327722 JGN327722 JQJ327722 KAF327722 KKB327722 KTX327722 LDT327722 LNP327722 LXL327722 MHH327722 MRD327722 NAZ327722 NKV327722 NUR327722 OEN327722 OOJ327722 OYF327722 PIB327722 PRX327722 QBT327722 QLP327722 QVL327722 RFH327722 RPD327722 RYZ327722 SIV327722 SSR327722 TCN327722 TMJ327722 TWF327722 UGB327722 UPX327722 UZT327722 VJP327722 VTL327722 WDH327722 WND327722 H393258 AR393258 KN393258 UJ393258 AEF393258 AOB393258 AXX393258 BHT393258 BRP393258 CBL393258 CLH393258 CVD393258 DEZ393258 DOV393258 DYR393258 EIN393258 ESJ393258 FCF393258 FMB393258 FVX393258 GFT393258 GPP393258 GZL393258 HJH393258 HTD393258 ICZ393258 IMV393258 IWR393258 JGN393258 JQJ393258 KAF393258 KKB393258 KTX393258 LDT393258 LNP393258 LXL393258 MHH393258 MRD393258 NAZ393258 NKV393258 NUR393258 OEN393258 OOJ393258 OYF393258 PIB393258 PRX393258 QBT393258 QLP393258 QVL393258 RFH393258 RPD393258 RYZ393258 SIV393258 SSR393258 TCN393258 TMJ393258 TWF393258 UGB393258 UPX393258 UZT393258 VJP393258 VTL393258 WDH393258 WND393258 H458794 AR458794 KN458794 UJ458794 AEF458794 AOB458794 AXX458794 BHT458794 BRP458794 CBL458794 CLH458794 CVD458794 DEZ458794 DOV458794 DYR458794 EIN458794 ESJ458794 FCF458794 FMB458794 FVX458794 GFT458794 GPP458794 GZL458794 HJH458794 HTD458794 ICZ458794 IMV458794 IWR458794 JGN458794 JQJ458794 KAF458794 KKB458794 KTX458794 LDT458794 LNP458794 LXL458794 MHH458794 MRD458794 NAZ458794 NKV458794 NUR458794 OEN458794 OOJ458794 OYF458794 PIB458794 PRX458794 QBT458794 QLP458794 QVL458794 RFH458794 RPD458794 RYZ458794 SIV458794 SSR458794 TCN458794 TMJ458794 TWF458794 UGB458794 UPX458794 UZT458794 VJP458794 VTL458794 WDH458794 WND458794 H524330 AR524330 KN524330 UJ524330 AEF524330 AOB524330 AXX524330 BHT524330 BRP524330 CBL524330 CLH524330 CVD524330 DEZ524330 DOV524330 DYR524330 EIN524330 ESJ524330 FCF524330 FMB524330 FVX524330 GFT524330 GPP524330 GZL524330 HJH524330 HTD524330 ICZ524330 IMV524330 IWR524330 JGN524330 JQJ524330 KAF524330 KKB524330 KTX524330 LDT524330 LNP524330 LXL524330 MHH524330 MRD524330 NAZ524330 NKV524330 NUR524330 OEN524330 OOJ524330 OYF524330 PIB524330 PRX524330 QBT524330 QLP524330 QVL524330 RFH524330 RPD524330 RYZ524330 SIV524330 SSR524330 TCN524330 TMJ524330 TWF524330 UGB524330 UPX524330 UZT524330 VJP524330 VTL524330 WDH524330 WND524330 H589866 AR589866 KN589866 UJ589866 AEF589866 AOB589866 AXX589866 BHT589866 BRP589866 CBL589866 CLH589866 CVD589866 DEZ589866 DOV589866 DYR589866 EIN589866 ESJ589866 FCF589866 FMB589866 FVX589866 GFT589866 GPP589866 GZL589866 HJH589866 HTD589866 ICZ589866 IMV589866 IWR589866 JGN589866 JQJ589866 KAF589866 KKB589866 KTX589866 LDT589866 LNP589866 LXL589866 MHH589866 MRD589866 NAZ589866 NKV589866 NUR589866 OEN589866 OOJ589866 OYF589866 PIB589866 PRX589866 QBT589866 QLP589866 QVL589866 RFH589866 RPD589866 RYZ589866 SIV589866 SSR589866 TCN589866 TMJ589866 TWF589866 UGB589866 UPX589866 UZT589866 VJP589866 VTL589866 WDH589866 WND589866 H655402 AR655402 KN655402 UJ655402 AEF655402 AOB655402 AXX655402 BHT655402 BRP655402 CBL655402 CLH655402 CVD655402 DEZ655402 DOV655402 DYR655402 EIN655402 ESJ655402 FCF655402 FMB655402 FVX655402 GFT655402 GPP655402 GZL655402 HJH655402 HTD655402 ICZ655402 IMV655402 IWR655402 JGN655402 JQJ655402 KAF655402 KKB655402 KTX655402 LDT655402 LNP655402 LXL655402 MHH655402 MRD655402 NAZ655402 NKV655402 NUR655402 OEN655402 OOJ655402 OYF655402 PIB655402 PRX655402 QBT655402 QLP655402 QVL655402 RFH655402 RPD655402 RYZ655402 SIV655402 SSR655402 TCN655402 TMJ655402 TWF655402 UGB655402 UPX655402 UZT655402 VJP655402 VTL655402 WDH655402 WND655402 H720938 AR720938 KN720938 UJ720938 AEF720938 AOB720938 AXX720938 BHT720938 BRP720938 CBL720938 CLH720938 CVD720938 DEZ720938 DOV720938 DYR720938 EIN720938 ESJ720938 FCF720938 FMB720938 FVX720938 GFT720938 GPP720938 GZL720938 HJH720938 HTD720938 ICZ720938 IMV720938 IWR720938 JGN720938 JQJ720938 KAF720938 KKB720938 KTX720938 LDT720938 LNP720938 LXL720938 MHH720938 MRD720938 NAZ720938 NKV720938 NUR720938 OEN720938 OOJ720938 OYF720938 PIB720938 PRX720938 QBT720938 QLP720938 QVL720938 RFH720938 RPD720938 RYZ720938 SIV720938 SSR720938 TCN720938 TMJ720938 TWF720938 UGB720938 UPX720938 UZT720938 VJP720938 VTL720938 WDH720938 WND720938 H786474 AR786474 KN786474 UJ786474 AEF786474 AOB786474 AXX786474 BHT786474 BRP786474 CBL786474 CLH786474 CVD786474 DEZ786474 DOV786474 DYR786474 EIN786474 ESJ786474 FCF786474 FMB786474 FVX786474 GFT786474 GPP786474 GZL786474 HJH786474 HTD786474 ICZ786474 IMV786474 IWR786474 JGN786474 JQJ786474 KAF786474 KKB786474 KTX786474 LDT786474 LNP786474 LXL786474 MHH786474 MRD786474 NAZ786474 NKV786474 NUR786474 OEN786474 OOJ786474 OYF786474 PIB786474 PRX786474 QBT786474 QLP786474 QVL786474 RFH786474 RPD786474 RYZ786474 SIV786474 SSR786474 TCN786474 TMJ786474 TWF786474 UGB786474 UPX786474 UZT786474 VJP786474 VTL786474 WDH786474 WND786474 H852010 AR852010 KN852010 UJ852010 AEF852010 AOB852010 AXX852010 BHT852010 BRP852010 CBL852010 CLH852010 CVD852010 DEZ852010 DOV852010 DYR852010 EIN852010 ESJ852010 FCF852010 FMB852010 FVX852010 GFT852010 GPP852010 GZL852010 HJH852010 HTD852010 ICZ852010 IMV852010 IWR852010 JGN852010 JQJ852010 KAF852010 KKB852010 KTX852010 LDT852010 LNP852010 LXL852010 MHH852010 MRD852010 NAZ852010 NKV852010 NUR852010 OEN852010 OOJ852010 OYF852010 PIB852010 PRX852010 QBT852010 QLP852010 QVL852010 RFH852010 RPD852010 RYZ852010 SIV852010 SSR852010 TCN852010 TMJ852010 TWF852010 UGB852010 UPX852010 UZT852010 VJP852010 VTL852010 WDH852010 WND852010 H917546 AR917546 KN917546 UJ917546 AEF917546 AOB917546 AXX917546 BHT917546 BRP917546 CBL917546 CLH917546 CVD917546 DEZ917546 DOV917546 DYR917546 EIN917546 ESJ917546 FCF917546 FMB917546 FVX917546 GFT917546 GPP917546 GZL917546 HJH917546 HTD917546 ICZ917546 IMV917546 IWR917546 JGN917546 JQJ917546 KAF917546 KKB917546 KTX917546 LDT917546 LNP917546 LXL917546 MHH917546 MRD917546 NAZ917546 NKV917546 NUR917546 OEN917546 OOJ917546 OYF917546 PIB917546 PRX917546 QBT917546 QLP917546 QVL917546 RFH917546 RPD917546 RYZ917546 SIV917546 SSR917546 TCN917546 TMJ917546 TWF917546 UGB917546 UPX917546 UZT917546 VJP917546 VTL917546 WDH917546 WND917546 H983082 AR983082 KN983082 UJ983082 AEF983082 AOB983082 AXX983082 BHT983082 BRP983082 CBL983082 CLH983082 CVD983082 DEZ983082 DOV983082 DYR983082 EIN983082 ESJ983082 FCF983082 FMB983082 FVX983082 GFT983082 GPP983082 GZL983082 HJH983082 HTD983082 ICZ983082 IMV983082 IWR983082 JGN983082 JQJ983082 KAF983082 KKB983082 KTX983082 LDT983082 LNP983082 LXL983082 MHH983082 MRD983082 NAZ983082 NKV983082 NUR983082 OEN983082 OOJ983082 OYF983082 PIB983082 PRX983082 QBT983082 QLP983082 QVL983082 RFH983082 RPD983082 RYZ983082 SIV983082 SSR983082 TCN983082 TMJ983082 TWF983082 UGB983082 UPX983082 UZT983082 VJP983082 VTL983082">
      <formula1>0</formula1>
      <formula2>1</formula2>
    </dataValidation>
    <dataValidation type="decimal" allowBlank="1" showInputMessage="1" showErrorMessage="1" errorTitle="Error" error="The number of eligible secondary pupils for this factor cannot be negative or higher than the total number of KS3 and KS4 pupils in the school. Please insert the correct figure or leave the cell blank to use an LA average." sqref="WND983076 AR28 KN28 UJ28 AEF28 AOB28 AXX28 BHT28 BRP28 CBL28 CLH28 CVD28 DEZ28 DOV28 DYR28 EIN28 ESJ28 FCF28 FMB28 FVX28 GFT28 GPP28 GZL28 HJH28 HTD28 ICZ28 IMV28 IWR28 JGN28 JQJ28 KAF28 KKB28 KTX28 LDT28 LNP28 LXL28 MHH28 MRD28 NAZ28 NKV28 NUR28 OEN28 OOJ28 OYF28 PIB28 PRX28 QBT28 QLP28 QVL28 RFH28 RPD28 RYZ28 SIV28 SSR28 TCN28 TMJ28 TWF28 UGB28 UPX28 UZT28 VJP28 VTL28 WDH28 WND28 H65562 AR65562 KN65562 UJ65562 AEF65562 AOB65562 AXX65562 BHT65562 BRP65562 CBL65562 CLH65562 CVD65562 DEZ65562 DOV65562 DYR65562 EIN65562 ESJ65562 FCF65562 FMB65562 FVX65562 GFT65562 GPP65562 GZL65562 HJH65562 HTD65562 ICZ65562 IMV65562 IWR65562 JGN65562 JQJ65562 KAF65562 KKB65562 KTX65562 LDT65562 LNP65562 LXL65562 MHH65562 MRD65562 NAZ65562 NKV65562 NUR65562 OEN65562 OOJ65562 OYF65562 PIB65562 PRX65562 QBT65562 QLP65562 QVL65562 RFH65562 RPD65562 RYZ65562 SIV65562 SSR65562 TCN65562 TMJ65562 TWF65562 UGB65562 UPX65562 UZT65562 VJP65562 VTL65562 WDH65562 WND65562 H131098 AR131098 KN131098 UJ131098 AEF131098 AOB131098 AXX131098 BHT131098 BRP131098 CBL131098 CLH131098 CVD131098 DEZ131098 DOV131098 DYR131098 EIN131098 ESJ131098 FCF131098 FMB131098 FVX131098 GFT131098 GPP131098 GZL131098 HJH131098 HTD131098 ICZ131098 IMV131098 IWR131098 JGN131098 JQJ131098 KAF131098 KKB131098 KTX131098 LDT131098 LNP131098 LXL131098 MHH131098 MRD131098 NAZ131098 NKV131098 NUR131098 OEN131098 OOJ131098 OYF131098 PIB131098 PRX131098 QBT131098 QLP131098 QVL131098 RFH131098 RPD131098 RYZ131098 SIV131098 SSR131098 TCN131098 TMJ131098 TWF131098 UGB131098 UPX131098 UZT131098 VJP131098 VTL131098 WDH131098 WND131098 H196634 AR196634 KN196634 UJ196634 AEF196634 AOB196634 AXX196634 BHT196634 BRP196634 CBL196634 CLH196634 CVD196634 DEZ196634 DOV196634 DYR196634 EIN196634 ESJ196634 FCF196634 FMB196634 FVX196634 GFT196634 GPP196634 GZL196634 HJH196634 HTD196634 ICZ196634 IMV196634 IWR196634 JGN196634 JQJ196634 KAF196634 KKB196634 KTX196634 LDT196634 LNP196634 LXL196634 MHH196634 MRD196634 NAZ196634 NKV196634 NUR196634 OEN196634 OOJ196634 OYF196634 PIB196634 PRX196634 QBT196634 QLP196634 QVL196634 RFH196634 RPD196634 RYZ196634 SIV196634 SSR196634 TCN196634 TMJ196634 TWF196634 UGB196634 UPX196634 UZT196634 VJP196634 VTL196634 WDH196634 WND196634 H262170 AR262170 KN262170 UJ262170 AEF262170 AOB262170 AXX262170 BHT262170 BRP262170 CBL262170 CLH262170 CVD262170 DEZ262170 DOV262170 DYR262170 EIN262170 ESJ262170 FCF262170 FMB262170 FVX262170 GFT262170 GPP262170 GZL262170 HJH262170 HTD262170 ICZ262170 IMV262170 IWR262170 JGN262170 JQJ262170 KAF262170 KKB262170 KTX262170 LDT262170 LNP262170 LXL262170 MHH262170 MRD262170 NAZ262170 NKV262170 NUR262170 OEN262170 OOJ262170 OYF262170 PIB262170 PRX262170 QBT262170 QLP262170 QVL262170 RFH262170 RPD262170 RYZ262170 SIV262170 SSR262170 TCN262170 TMJ262170 TWF262170 UGB262170 UPX262170 UZT262170 VJP262170 VTL262170 WDH262170 WND262170 H327706 AR327706 KN327706 UJ327706 AEF327706 AOB327706 AXX327706 BHT327706 BRP327706 CBL327706 CLH327706 CVD327706 DEZ327706 DOV327706 DYR327706 EIN327706 ESJ327706 FCF327706 FMB327706 FVX327706 GFT327706 GPP327706 GZL327706 HJH327706 HTD327706 ICZ327706 IMV327706 IWR327706 JGN327706 JQJ327706 KAF327706 KKB327706 KTX327706 LDT327706 LNP327706 LXL327706 MHH327706 MRD327706 NAZ327706 NKV327706 NUR327706 OEN327706 OOJ327706 OYF327706 PIB327706 PRX327706 QBT327706 QLP327706 QVL327706 RFH327706 RPD327706 RYZ327706 SIV327706 SSR327706 TCN327706 TMJ327706 TWF327706 UGB327706 UPX327706 UZT327706 VJP327706 VTL327706 WDH327706 WND327706 H393242 AR393242 KN393242 UJ393242 AEF393242 AOB393242 AXX393242 BHT393242 BRP393242 CBL393242 CLH393242 CVD393242 DEZ393242 DOV393242 DYR393242 EIN393242 ESJ393242 FCF393242 FMB393242 FVX393242 GFT393242 GPP393242 GZL393242 HJH393242 HTD393242 ICZ393242 IMV393242 IWR393242 JGN393242 JQJ393242 KAF393242 KKB393242 KTX393242 LDT393242 LNP393242 LXL393242 MHH393242 MRD393242 NAZ393242 NKV393242 NUR393242 OEN393242 OOJ393242 OYF393242 PIB393242 PRX393242 QBT393242 QLP393242 QVL393242 RFH393242 RPD393242 RYZ393242 SIV393242 SSR393242 TCN393242 TMJ393242 TWF393242 UGB393242 UPX393242 UZT393242 VJP393242 VTL393242 WDH393242 WND393242 H458778 AR458778 KN458778 UJ458778 AEF458778 AOB458778 AXX458778 BHT458778 BRP458778 CBL458778 CLH458778 CVD458778 DEZ458778 DOV458778 DYR458778 EIN458778 ESJ458778 FCF458778 FMB458778 FVX458778 GFT458778 GPP458778 GZL458778 HJH458778 HTD458778 ICZ458778 IMV458778 IWR458778 JGN458778 JQJ458778 KAF458778 KKB458778 KTX458778 LDT458778 LNP458778 LXL458778 MHH458778 MRD458778 NAZ458778 NKV458778 NUR458778 OEN458778 OOJ458778 OYF458778 PIB458778 PRX458778 QBT458778 QLP458778 QVL458778 RFH458778 RPD458778 RYZ458778 SIV458778 SSR458778 TCN458778 TMJ458778 TWF458778 UGB458778 UPX458778 UZT458778 VJP458778 VTL458778 WDH458778 WND458778 H524314 AR524314 KN524314 UJ524314 AEF524314 AOB524314 AXX524314 BHT524314 BRP524314 CBL524314 CLH524314 CVD524314 DEZ524314 DOV524314 DYR524314 EIN524314 ESJ524314 FCF524314 FMB524314 FVX524314 GFT524314 GPP524314 GZL524314 HJH524314 HTD524314 ICZ524314 IMV524314 IWR524314 JGN524314 JQJ524314 KAF524314 KKB524314 KTX524314 LDT524314 LNP524314 LXL524314 MHH524314 MRD524314 NAZ524314 NKV524314 NUR524314 OEN524314 OOJ524314 OYF524314 PIB524314 PRX524314 QBT524314 QLP524314 QVL524314 RFH524314 RPD524314 RYZ524314 SIV524314 SSR524314 TCN524314 TMJ524314 TWF524314 UGB524314 UPX524314 UZT524314 VJP524314 VTL524314 WDH524314 WND524314 H589850 AR589850 KN589850 UJ589850 AEF589850 AOB589850 AXX589850 BHT589850 BRP589850 CBL589850 CLH589850 CVD589850 DEZ589850 DOV589850 DYR589850 EIN589850 ESJ589850 FCF589850 FMB589850 FVX589850 GFT589850 GPP589850 GZL589850 HJH589850 HTD589850 ICZ589850 IMV589850 IWR589850 JGN589850 JQJ589850 KAF589850 KKB589850 KTX589850 LDT589850 LNP589850 LXL589850 MHH589850 MRD589850 NAZ589850 NKV589850 NUR589850 OEN589850 OOJ589850 OYF589850 PIB589850 PRX589850 QBT589850 QLP589850 QVL589850 RFH589850 RPD589850 RYZ589850 SIV589850 SSR589850 TCN589850 TMJ589850 TWF589850 UGB589850 UPX589850 UZT589850 VJP589850 VTL589850 WDH589850 WND589850 H655386 AR655386 KN655386 UJ655386 AEF655386 AOB655386 AXX655386 BHT655386 BRP655386 CBL655386 CLH655386 CVD655386 DEZ655386 DOV655386 DYR655386 EIN655386 ESJ655386 FCF655386 FMB655386 FVX655386 GFT655386 GPP655386 GZL655386 HJH655386 HTD655386 ICZ655386 IMV655386 IWR655386 JGN655386 JQJ655386 KAF655386 KKB655386 KTX655386 LDT655386 LNP655386 LXL655386 MHH655386 MRD655386 NAZ655386 NKV655386 NUR655386 OEN655386 OOJ655386 OYF655386 PIB655386 PRX655386 QBT655386 QLP655386 QVL655386 RFH655386 RPD655386 RYZ655386 SIV655386 SSR655386 TCN655386 TMJ655386 TWF655386 UGB655386 UPX655386 UZT655386 VJP655386 VTL655386 WDH655386 WND655386 H720922 AR720922 KN720922 UJ720922 AEF720922 AOB720922 AXX720922 BHT720922 BRP720922 CBL720922 CLH720922 CVD720922 DEZ720922 DOV720922 DYR720922 EIN720922 ESJ720922 FCF720922 FMB720922 FVX720922 GFT720922 GPP720922 GZL720922 HJH720922 HTD720922 ICZ720922 IMV720922 IWR720922 JGN720922 JQJ720922 KAF720922 KKB720922 KTX720922 LDT720922 LNP720922 LXL720922 MHH720922 MRD720922 NAZ720922 NKV720922 NUR720922 OEN720922 OOJ720922 OYF720922 PIB720922 PRX720922 QBT720922 QLP720922 QVL720922 RFH720922 RPD720922 RYZ720922 SIV720922 SSR720922 TCN720922 TMJ720922 TWF720922 UGB720922 UPX720922 UZT720922 VJP720922 VTL720922 WDH720922 WND720922 H786458 AR786458 KN786458 UJ786458 AEF786458 AOB786458 AXX786458 BHT786458 BRP786458 CBL786458 CLH786458 CVD786458 DEZ786458 DOV786458 DYR786458 EIN786458 ESJ786458 FCF786458 FMB786458 FVX786458 GFT786458 GPP786458 GZL786458 HJH786458 HTD786458 ICZ786458 IMV786458 IWR786458 JGN786458 JQJ786458 KAF786458 KKB786458 KTX786458 LDT786458 LNP786458 LXL786458 MHH786458 MRD786458 NAZ786458 NKV786458 NUR786458 OEN786458 OOJ786458 OYF786458 PIB786458 PRX786458 QBT786458 QLP786458 QVL786458 RFH786458 RPD786458 RYZ786458 SIV786458 SSR786458 TCN786458 TMJ786458 TWF786458 UGB786458 UPX786458 UZT786458 VJP786458 VTL786458 WDH786458 WND786458 H851994 AR851994 KN851994 UJ851994 AEF851994 AOB851994 AXX851994 BHT851994 BRP851994 CBL851994 CLH851994 CVD851994 DEZ851994 DOV851994 DYR851994 EIN851994 ESJ851994 FCF851994 FMB851994 FVX851994 GFT851994 GPP851994 GZL851994 HJH851994 HTD851994 ICZ851994 IMV851994 IWR851994 JGN851994 JQJ851994 KAF851994 KKB851994 KTX851994 LDT851994 LNP851994 LXL851994 MHH851994 MRD851994 NAZ851994 NKV851994 NUR851994 OEN851994 OOJ851994 OYF851994 PIB851994 PRX851994 QBT851994 QLP851994 QVL851994 RFH851994 RPD851994 RYZ851994 SIV851994 SSR851994 TCN851994 TMJ851994 TWF851994 UGB851994 UPX851994 UZT851994 VJP851994 VTL851994 WDH851994 WND851994 H917530 AR917530 KN917530 UJ917530 AEF917530 AOB917530 AXX917530 BHT917530 BRP917530 CBL917530 CLH917530 CVD917530 DEZ917530 DOV917530 DYR917530 EIN917530 ESJ917530 FCF917530 FMB917530 FVX917530 GFT917530 GPP917530 GZL917530 HJH917530 HTD917530 ICZ917530 IMV917530 IWR917530 JGN917530 JQJ917530 KAF917530 KKB917530 KTX917530 LDT917530 LNP917530 LXL917530 MHH917530 MRD917530 NAZ917530 NKV917530 NUR917530 OEN917530 OOJ917530 OYF917530 PIB917530 PRX917530 QBT917530 QLP917530 QVL917530 RFH917530 RPD917530 RYZ917530 SIV917530 SSR917530 TCN917530 TMJ917530 TWF917530 UGB917530 UPX917530 UZT917530 VJP917530 VTL917530 WDH917530 WND917530 H983066 AR983066 KN983066 UJ983066 AEF983066 AOB983066 AXX983066 BHT983066 BRP983066 CBL983066 CLH983066 CVD983066 DEZ983066 DOV983066 DYR983066 EIN983066 ESJ983066 FCF983066 FMB983066 FVX983066 GFT983066 GPP983066 GZL983066 HJH983066 HTD983066 ICZ983066 IMV983066 IWR983066 JGN983066 JQJ983066 KAF983066 KKB983066 KTX983066 LDT983066 LNP983066 LXL983066 MHH983066 MRD983066 NAZ983066 NKV983066 NUR983066 OEN983066 OOJ983066 OYF983066 PIB983066 PRX983066 QBT983066 QLP983066 QVL983066 RFH983066 RPD983066 RYZ983066 SIV983066 SSR983066 TCN983066 TMJ983066 TWF983066 UGB983066 UPX983066 UZT983066 VJP983066 VTL983066 WDH983066 WND983066 VTL983076 AR40 KN40 UJ40 AEF40 AOB40 AXX40 BHT40 BRP40 CBL40 CLH40 CVD40 DEZ40 DOV40 DYR40 EIN40 ESJ40 FCF40 FMB40 FVX40 GFT40 GPP40 GZL40 HJH40 HTD40 ICZ40 IMV40 IWR40 JGN40 JQJ40 KAF40 KKB40 KTX40 LDT40 LNP40 LXL40 MHH40 MRD40 NAZ40 NKV40 NUR40 OEN40 OOJ40 OYF40 PIB40 PRX40 QBT40 QLP40 QVL40 RFH40 RPD40 RYZ40 SIV40 SSR40 TCN40 TMJ40 TWF40 UGB40 UPX40 UZT40 VJP40 VTL40 WDH40 WND40 H65574 AR65574 KN65574 UJ65574 AEF65574 AOB65574 AXX65574 BHT65574 BRP65574 CBL65574 CLH65574 CVD65574 DEZ65574 DOV65574 DYR65574 EIN65574 ESJ65574 FCF65574 FMB65574 FVX65574 GFT65574 GPP65574 GZL65574 HJH65574 HTD65574 ICZ65574 IMV65574 IWR65574 JGN65574 JQJ65574 KAF65574 KKB65574 KTX65574 LDT65574 LNP65574 LXL65574 MHH65574 MRD65574 NAZ65574 NKV65574 NUR65574 OEN65574 OOJ65574 OYF65574 PIB65574 PRX65574 QBT65574 QLP65574 QVL65574 RFH65574 RPD65574 RYZ65574 SIV65574 SSR65574 TCN65574 TMJ65574 TWF65574 UGB65574 UPX65574 UZT65574 VJP65574 VTL65574 WDH65574 WND65574 H131110 AR131110 KN131110 UJ131110 AEF131110 AOB131110 AXX131110 BHT131110 BRP131110 CBL131110 CLH131110 CVD131110 DEZ131110 DOV131110 DYR131110 EIN131110 ESJ131110 FCF131110 FMB131110 FVX131110 GFT131110 GPP131110 GZL131110 HJH131110 HTD131110 ICZ131110 IMV131110 IWR131110 JGN131110 JQJ131110 KAF131110 KKB131110 KTX131110 LDT131110 LNP131110 LXL131110 MHH131110 MRD131110 NAZ131110 NKV131110 NUR131110 OEN131110 OOJ131110 OYF131110 PIB131110 PRX131110 QBT131110 QLP131110 QVL131110 RFH131110 RPD131110 RYZ131110 SIV131110 SSR131110 TCN131110 TMJ131110 TWF131110 UGB131110 UPX131110 UZT131110 VJP131110 VTL131110 WDH131110 WND131110 H196646 AR196646 KN196646 UJ196646 AEF196646 AOB196646 AXX196646 BHT196646 BRP196646 CBL196646 CLH196646 CVD196646 DEZ196646 DOV196646 DYR196646 EIN196646 ESJ196646 FCF196646 FMB196646 FVX196646 GFT196646 GPP196646 GZL196646 HJH196646 HTD196646 ICZ196646 IMV196646 IWR196646 JGN196646 JQJ196646 KAF196646 KKB196646 KTX196646 LDT196646 LNP196646 LXL196646 MHH196646 MRD196646 NAZ196646 NKV196646 NUR196646 OEN196646 OOJ196646 OYF196646 PIB196646 PRX196646 QBT196646 QLP196646 QVL196646 RFH196646 RPD196646 RYZ196646 SIV196646 SSR196646 TCN196646 TMJ196646 TWF196646 UGB196646 UPX196646 UZT196646 VJP196646 VTL196646 WDH196646 WND196646 H262182 AR262182 KN262182 UJ262182 AEF262182 AOB262182 AXX262182 BHT262182 BRP262182 CBL262182 CLH262182 CVD262182 DEZ262182 DOV262182 DYR262182 EIN262182 ESJ262182 FCF262182 FMB262182 FVX262182 GFT262182 GPP262182 GZL262182 HJH262182 HTD262182 ICZ262182 IMV262182 IWR262182 JGN262182 JQJ262182 KAF262182 KKB262182 KTX262182 LDT262182 LNP262182 LXL262182 MHH262182 MRD262182 NAZ262182 NKV262182 NUR262182 OEN262182 OOJ262182 OYF262182 PIB262182 PRX262182 QBT262182 QLP262182 QVL262182 RFH262182 RPD262182 RYZ262182 SIV262182 SSR262182 TCN262182 TMJ262182 TWF262182 UGB262182 UPX262182 UZT262182 VJP262182 VTL262182 WDH262182 WND262182 H327718 AR327718 KN327718 UJ327718 AEF327718 AOB327718 AXX327718 BHT327718 BRP327718 CBL327718 CLH327718 CVD327718 DEZ327718 DOV327718 DYR327718 EIN327718 ESJ327718 FCF327718 FMB327718 FVX327718 GFT327718 GPP327718 GZL327718 HJH327718 HTD327718 ICZ327718 IMV327718 IWR327718 JGN327718 JQJ327718 KAF327718 KKB327718 KTX327718 LDT327718 LNP327718 LXL327718 MHH327718 MRD327718 NAZ327718 NKV327718 NUR327718 OEN327718 OOJ327718 OYF327718 PIB327718 PRX327718 QBT327718 QLP327718 QVL327718 RFH327718 RPD327718 RYZ327718 SIV327718 SSR327718 TCN327718 TMJ327718 TWF327718 UGB327718 UPX327718 UZT327718 VJP327718 VTL327718 WDH327718 WND327718 H393254 AR393254 KN393254 UJ393254 AEF393254 AOB393254 AXX393254 BHT393254 BRP393254 CBL393254 CLH393254 CVD393254 DEZ393254 DOV393254 DYR393254 EIN393254 ESJ393254 FCF393254 FMB393254 FVX393254 GFT393254 GPP393254 GZL393254 HJH393254 HTD393254 ICZ393254 IMV393254 IWR393254 JGN393254 JQJ393254 KAF393254 KKB393254 KTX393254 LDT393254 LNP393254 LXL393254 MHH393254 MRD393254 NAZ393254 NKV393254 NUR393254 OEN393254 OOJ393254 OYF393254 PIB393254 PRX393254 QBT393254 QLP393254 QVL393254 RFH393254 RPD393254 RYZ393254 SIV393254 SSR393254 TCN393254 TMJ393254 TWF393254 UGB393254 UPX393254 UZT393254 VJP393254 VTL393254 WDH393254 WND393254 H458790 AR458790 KN458790 UJ458790 AEF458790 AOB458790 AXX458790 BHT458790 BRP458790 CBL458790 CLH458790 CVD458790 DEZ458790 DOV458790 DYR458790 EIN458790 ESJ458790 FCF458790 FMB458790 FVX458790 GFT458790 GPP458790 GZL458790 HJH458790 HTD458790 ICZ458790 IMV458790 IWR458790 JGN458790 JQJ458790 KAF458790 KKB458790 KTX458790 LDT458790 LNP458790 LXL458790 MHH458790 MRD458790 NAZ458790 NKV458790 NUR458790 OEN458790 OOJ458790 OYF458790 PIB458790 PRX458790 QBT458790 QLP458790 QVL458790 RFH458790 RPD458790 RYZ458790 SIV458790 SSR458790 TCN458790 TMJ458790 TWF458790 UGB458790 UPX458790 UZT458790 VJP458790 VTL458790 WDH458790 WND458790 H524326 AR524326 KN524326 UJ524326 AEF524326 AOB524326 AXX524326 BHT524326 BRP524326 CBL524326 CLH524326 CVD524326 DEZ524326 DOV524326 DYR524326 EIN524326 ESJ524326 FCF524326 FMB524326 FVX524326 GFT524326 GPP524326 GZL524326 HJH524326 HTD524326 ICZ524326 IMV524326 IWR524326 JGN524326 JQJ524326 KAF524326 KKB524326 KTX524326 LDT524326 LNP524326 LXL524326 MHH524326 MRD524326 NAZ524326 NKV524326 NUR524326 OEN524326 OOJ524326 OYF524326 PIB524326 PRX524326 QBT524326 QLP524326 QVL524326 RFH524326 RPD524326 RYZ524326 SIV524326 SSR524326 TCN524326 TMJ524326 TWF524326 UGB524326 UPX524326 UZT524326 VJP524326 VTL524326 WDH524326 WND524326 H589862 AR589862 KN589862 UJ589862 AEF589862 AOB589862 AXX589862 BHT589862 BRP589862 CBL589862 CLH589862 CVD589862 DEZ589862 DOV589862 DYR589862 EIN589862 ESJ589862 FCF589862 FMB589862 FVX589862 GFT589862 GPP589862 GZL589862 HJH589862 HTD589862 ICZ589862 IMV589862 IWR589862 JGN589862 JQJ589862 KAF589862 KKB589862 KTX589862 LDT589862 LNP589862 LXL589862 MHH589862 MRD589862 NAZ589862 NKV589862 NUR589862 OEN589862 OOJ589862 OYF589862 PIB589862 PRX589862 QBT589862 QLP589862 QVL589862 RFH589862 RPD589862 RYZ589862 SIV589862 SSR589862 TCN589862 TMJ589862 TWF589862 UGB589862 UPX589862 UZT589862 VJP589862 VTL589862 WDH589862 WND589862 H655398 AR655398 KN655398 UJ655398 AEF655398 AOB655398 AXX655398 BHT655398 BRP655398 CBL655398 CLH655398 CVD655398 DEZ655398 DOV655398 DYR655398 EIN655398 ESJ655398 FCF655398 FMB655398 FVX655398 GFT655398 GPP655398 GZL655398 HJH655398 HTD655398 ICZ655398 IMV655398 IWR655398 JGN655398 JQJ655398 KAF655398 KKB655398 KTX655398 LDT655398 LNP655398 LXL655398 MHH655398 MRD655398 NAZ655398 NKV655398 NUR655398 OEN655398 OOJ655398 OYF655398 PIB655398 PRX655398 QBT655398 QLP655398 QVL655398 RFH655398 RPD655398 RYZ655398 SIV655398 SSR655398 TCN655398 TMJ655398 TWF655398 UGB655398 UPX655398 UZT655398 VJP655398 VTL655398 WDH655398 WND655398 H720934 AR720934 KN720934 UJ720934 AEF720934 AOB720934 AXX720934 BHT720934 BRP720934 CBL720934 CLH720934 CVD720934 DEZ720934 DOV720934 DYR720934 EIN720934 ESJ720934 FCF720934 FMB720934 FVX720934 GFT720934 GPP720934 GZL720934 HJH720934 HTD720934 ICZ720934 IMV720934 IWR720934 JGN720934 JQJ720934 KAF720934 KKB720934 KTX720934 LDT720934 LNP720934 LXL720934 MHH720934 MRD720934 NAZ720934 NKV720934 NUR720934 OEN720934 OOJ720934 OYF720934 PIB720934 PRX720934 QBT720934 QLP720934 QVL720934 RFH720934 RPD720934 RYZ720934 SIV720934 SSR720934 TCN720934 TMJ720934 TWF720934 UGB720934 UPX720934 UZT720934 VJP720934 VTL720934 WDH720934 WND720934 H786470 AR786470 KN786470 UJ786470 AEF786470 AOB786470 AXX786470 BHT786470 BRP786470 CBL786470 CLH786470 CVD786470 DEZ786470 DOV786470 DYR786470 EIN786470 ESJ786470 FCF786470 FMB786470 FVX786470 GFT786470 GPP786470 GZL786470 HJH786470 HTD786470 ICZ786470 IMV786470 IWR786470 JGN786470 JQJ786470 KAF786470 KKB786470 KTX786470 LDT786470 LNP786470 LXL786470 MHH786470 MRD786470 NAZ786470 NKV786470 NUR786470 OEN786470 OOJ786470 OYF786470 PIB786470 PRX786470 QBT786470 QLP786470 QVL786470 RFH786470 RPD786470 RYZ786470 SIV786470 SSR786470 TCN786470 TMJ786470 TWF786470 UGB786470 UPX786470 UZT786470 VJP786470 VTL786470 WDH786470 WND786470 H852006 AR852006 KN852006 UJ852006 AEF852006 AOB852006 AXX852006 BHT852006 BRP852006 CBL852006 CLH852006 CVD852006 DEZ852006 DOV852006 DYR852006 EIN852006 ESJ852006 FCF852006 FMB852006 FVX852006 GFT852006 GPP852006 GZL852006 HJH852006 HTD852006 ICZ852006 IMV852006 IWR852006 JGN852006 JQJ852006 KAF852006 KKB852006 KTX852006 LDT852006 LNP852006 LXL852006 MHH852006 MRD852006 NAZ852006 NKV852006 NUR852006 OEN852006 OOJ852006 OYF852006 PIB852006 PRX852006 QBT852006 QLP852006 QVL852006 RFH852006 RPD852006 RYZ852006 SIV852006 SSR852006 TCN852006 TMJ852006 TWF852006 UGB852006 UPX852006 UZT852006 VJP852006 VTL852006 WDH852006 WND852006 H917542 AR917542 KN917542 UJ917542 AEF917542 AOB917542 AXX917542 BHT917542 BRP917542 CBL917542 CLH917542 CVD917542 DEZ917542 DOV917542 DYR917542 EIN917542 ESJ917542 FCF917542 FMB917542 FVX917542 GFT917542 GPP917542 GZL917542 HJH917542 HTD917542 ICZ917542 IMV917542 IWR917542 JGN917542 JQJ917542 KAF917542 KKB917542 KTX917542 LDT917542 LNP917542 LXL917542 MHH917542 MRD917542 NAZ917542 NKV917542 NUR917542 OEN917542 OOJ917542 OYF917542 PIB917542 PRX917542 QBT917542 QLP917542 QVL917542 RFH917542 RPD917542 RYZ917542 SIV917542 SSR917542 TCN917542 TMJ917542 TWF917542 UGB917542 UPX917542 UZT917542 VJP917542 VTL917542 WDH917542 WND917542 H983078 AR983078 KN983078 UJ983078 AEF983078 AOB983078 AXX983078 BHT983078 BRP983078 CBL983078 CLH983078 CVD983078 DEZ983078 DOV983078 DYR983078 EIN983078 ESJ983078 FCF983078 FMB983078 FVX983078 GFT983078 GPP983078 GZL983078 HJH983078 HTD983078 ICZ983078 IMV983078 IWR983078 JGN983078 JQJ983078 KAF983078 KKB983078 KTX983078 LDT983078 LNP983078 LXL983078 MHH983078 MRD983078 NAZ983078 NKV983078 NUR983078 OEN983078 OOJ983078 OYF983078 PIB983078 PRX983078 QBT983078 QLP983078 QVL983078 RFH983078 RPD983078 RYZ983078 SIV983078 SSR983078 TCN983078 TMJ983078 TWF983078 UGB983078 UPX983078 UZT983078 VJP983078 VTL983078 WDH983078 WND983078 WDH983076 AR38 KN38 UJ38 AEF38 AOB38 AXX38 BHT38 BRP38 CBL38 CLH38 CVD38 DEZ38 DOV38 DYR38 EIN38 ESJ38 FCF38 FMB38 FVX38 GFT38 GPP38 GZL38 HJH38 HTD38 ICZ38 IMV38 IWR38 JGN38 JQJ38 KAF38 KKB38 KTX38 LDT38 LNP38 LXL38 MHH38 MRD38 NAZ38 NKV38 NUR38 OEN38 OOJ38 OYF38 PIB38 PRX38 QBT38 QLP38 QVL38 RFH38 RPD38 RYZ38 SIV38 SSR38 TCN38 TMJ38 TWF38 UGB38 UPX38 UZT38 VJP38 VTL38 WDH38 WND38 H65572 AR65572 KN65572 UJ65572 AEF65572 AOB65572 AXX65572 BHT65572 BRP65572 CBL65572 CLH65572 CVD65572 DEZ65572 DOV65572 DYR65572 EIN65572 ESJ65572 FCF65572 FMB65572 FVX65572 GFT65572 GPP65572 GZL65572 HJH65572 HTD65572 ICZ65572 IMV65572 IWR65572 JGN65572 JQJ65572 KAF65572 KKB65572 KTX65572 LDT65572 LNP65572 LXL65572 MHH65572 MRD65572 NAZ65572 NKV65572 NUR65572 OEN65572 OOJ65572 OYF65572 PIB65572 PRX65572 QBT65572 QLP65572 QVL65572 RFH65572 RPD65572 RYZ65572 SIV65572 SSR65572 TCN65572 TMJ65572 TWF65572 UGB65572 UPX65572 UZT65572 VJP65572 VTL65572 WDH65572 WND65572 H131108 AR131108 KN131108 UJ131108 AEF131108 AOB131108 AXX131108 BHT131108 BRP131108 CBL131108 CLH131108 CVD131108 DEZ131108 DOV131108 DYR131108 EIN131108 ESJ131108 FCF131108 FMB131108 FVX131108 GFT131108 GPP131108 GZL131108 HJH131108 HTD131108 ICZ131108 IMV131108 IWR131108 JGN131108 JQJ131108 KAF131108 KKB131108 KTX131108 LDT131108 LNP131108 LXL131108 MHH131108 MRD131108 NAZ131108 NKV131108 NUR131108 OEN131108 OOJ131108 OYF131108 PIB131108 PRX131108 QBT131108 QLP131108 QVL131108 RFH131108 RPD131108 RYZ131108 SIV131108 SSR131108 TCN131108 TMJ131108 TWF131108 UGB131108 UPX131108 UZT131108 VJP131108 VTL131108 WDH131108 WND131108 H196644 AR196644 KN196644 UJ196644 AEF196644 AOB196644 AXX196644 BHT196644 BRP196644 CBL196644 CLH196644 CVD196644 DEZ196644 DOV196644 DYR196644 EIN196644 ESJ196644 FCF196644 FMB196644 FVX196644 GFT196644 GPP196644 GZL196644 HJH196644 HTD196644 ICZ196644 IMV196644 IWR196644 JGN196644 JQJ196644 KAF196644 KKB196644 KTX196644 LDT196644 LNP196644 LXL196644 MHH196644 MRD196644 NAZ196644 NKV196644 NUR196644 OEN196644 OOJ196644 OYF196644 PIB196644 PRX196644 QBT196644 QLP196644 QVL196644 RFH196644 RPD196644 RYZ196644 SIV196644 SSR196644 TCN196644 TMJ196644 TWF196644 UGB196644 UPX196644 UZT196644 VJP196644 VTL196644 WDH196644 WND196644 H262180 AR262180 KN262180 UJ262180 AEF262180 AOB262180 AXX262180 BHT262180 BRP262180 CBL262180 CLH262180 CVD262180 DEZ262180 DOV262180 DYR262180 EIN262180 ESJ262180 FCF262180 FMB262180 FVX262180 GFT262180 GPP262180 GZL262180 HJH262180 HTD262180 ICZ262180 IMV262180 IWR262180 JGN262180 JQJ262180 KAF262180 KKB262180 KTX262180 LDT262180 LNP262180 LXL262180 MHH262180 MRD262180 NAZ262180 NKV262180 NUR262180 OEN262180 OOJ262180 OYF262180 PIB262180 PRX262180 QBT262180 QLP262180 QVL262180 RFH262180 RPD262180 RYZ262180 SIV262180 SSR262180 TCN262180 TMJ262180 TWF262180 UGB262180 UPX262180 UZT262180 VJP262180 VTL262180 WDH262180 WND262180 H327716 AR327716 KN327716 UJ327716 AEF327716 AOB327716 AXX327716 BHT327716 BRP327716 CBL327716 CLH327716 CVD327716 DEZ327716 DOV327716 DYR327716 EIN327716 ESJ327716 FCF327716 FMB327716 FVX327716 GFT327716 GPP327716 GZL327716 HJH327716 HTD327716 ICZ327716 IMV327716 IWR327716 JGN327716 JQJ327716 KAF327716 KKB327716 KTX327716 LDT327716 LNP327716 LXL327716 MHH327716 MRD327716 NAZ327716 NKV327716 NUR327716 OEN327716 OOJ327716 OYF327716 PIB327716 PRX327716 QBT327716 QLP327716 QVL327716 RFH327716 RPD327716 RYZ327716 SIV327716 SSR327716 TCN327716 TMJ327716 TWF327716 UGB327716 UPX327716 UZT327716 VJP327716 VTL327716 WDH327716 WND327716 H393252 AR393252 KN393252 UJ393252 AEF393252 AOB393252 AXX393252 BHT393252 BRP393252 CBL393252 CLH393252 CVD393252 DEZ393252 DOV393252 DYR393252 EIN393252 ESJ393252 FCF393252 FMB393252 FVX393252 GFT393252 GPP393252 GZL393252 HJH393252 HTD393252 ICZ393252 IMV393252 IWR393252 JGN393252 JQJ393252 KAF393252 KKB393252 KTX393252 LDT393252 LNP393252 LXL393252 MHH393252 MRD393252 NAZ393252 NKV393252 NUR393252 OEN393252 OOJ393252 OYF393252 PIB393252 PRX393252 QBT393252 QLP393252 QVL393252 RFH393252 RPD393252 RYZ393252 SIV393252 SSR393252 TCN393252 TMJ393252 TWF393252 UGB393252 UPX393252 UZT393252 VJP393252 VTL393252 WDH393252 WND393252 H458788 AR458788 KN458788 UJ458788 AEF458788 AOB458788 AXX458788 BHT458788 BRP458788 CBL458788 CLH458788 CVD458788 DEZ458788 DOV458788 DYR458788 EIN458788 ESJ458788 FCF458788 FMB458788 FVX458788 GFT458788 GPP458788 GZL458788 HJH458788 HTD458788 ICZ458788 IMV458788 IWR458788 JGN458788 JQJ458788 KAF458788 KKB458788 KTX458788 LDT458788 LNP458788 LXL458788 MHH458788 MRD458788 NAZ458788 NKV458788 NUR458788 OEN458788 OOJ458788 OYF458788 PIB458788 PRX458788 QBT458788 QLP458788 QVL458788 RFH458788 RPD458788 RYZ458788 SIV458788 SSR458788 TCN458788 TMJ458788 TWF458788 UGB458788 UPX458788 UZT458788 VJP458788 VTL458788 WDH458788 WND458788 H524324 AR524324 KN524324 UJ524324 AEF524324 AOB524324 AXX524324 BHT524324 BRP524324 CBL524324 CLH524324 CVD524324 DEZ524324 DOV524324 DYR524324 EIN524324 ESJ524324 FCF524324 FMB524324 FVX524324 GFT524324 GPP524324 GZL524324 HJH524324 HTD524324 ICZ524324 IMV524324 IWR524324 JGN524324 JQJ524324 KAF524324 KKB524324 KTX524324 LDT524324 LNP524324 LXL524324 MHH524324 MRD524324 NAZ524324 NKV524324 NUR524324 OEN524324 OOJ524324 OYF524324 PIB524324 PRX524324 QBT524324 QLP524324 QVL524324 RFH524324 RPD524324 RYZ524324 SIV524324 SSR524324 TCN524324 TMJ524324 TWF524324 UGB524324 UPX524324 UZT524324 VJP524324 VTL524324 WDH524324 WND524324 H589860 AR589860 KN589860 UJ589860 AEF589860 AOB589860 AXX589860 BHT589860 BRP589860 CBL589860 CLH589860 CVD589860 DEZ589860 DOV589860 DYR589860 EIN589860 ESJ589860 FCF589860 FMB589860 FVX589860 GFT589860 GPP589860 GZL589860 HJH589860 HTD589860 ICZ589860 IMV589860 IWR589860 JGN589860 JQJ589860 KAF589860 KKB589860 KTX589860 LDT589860 LNP589860 LXL589860 MHH589860 MRD589860 NAZ589860 NKV589860 NUR589860 OEN589860 OOJ589860 OYF589860 PIB589860 PRX589860 QBT589860 QLP589860 QVL589860 RFH589860 RPD589860 RYZ589860 SIV589860 SSR589860 TCN589860 TMJ589860 TWF589860 UGB589860 UPX589860 UZT589860 VJP589860 VTL589860 WDH589860 WND589860 H655396 AR655396 KN655396 UJ655396 AEF655396 AOB655396 AXX655396 BHT655396 BRP655396 CBL655396 CLH655396 CVD655396 DEZ655396 DOV655396 DYR655396 EIN655396 ESJ655396 FCF655396 FMB655396 FVX655396 GFT655396 GPP655396 GZL655396 HJH655396 HTD655396 ICZ655396 IMV655396 IWR655396 JGN655396 JQJ655396 KAF655396 KKB655396 KTX655396 LDT655396 LNP655396 LXL655396 MHH655396 MRD655396 NAZ655396 NKV655396 NUR655396 OEN655396 OOJ655396 OYF655396 PIB655396 PRX655396 QBT655396 QLP655396 QVL655396 RFH655396 RPD655396 RYZ655396 SIV655396 SSR655396 TCN655396 TMJ655396 TWF655396 UGB655396 UPX655396 UZT655396 VJP655396 VTL655396 WDH655396 WND655396 H720932 AR720932 KN720932 UJ720932 AEF720932 AOB720932 AXX720932 BHT720932 BRP720932 CBL720932 CLH720932 CVD720932 DEZ720932 DOV720932 DYR720932 EIN720932 ESJ720932 FCF720932 FMB720932 FVX720932 GFT720932 GPP720932 GZL720932 HJH720932 HTD720932 ICZ720932 IMV720932 IWR720932 JGN720932 JQJ720932 KAF720932 KKB720932 KTX720932 LDT720932 LNP720932 LXL720932 MHH720932 MRD720932 NAZ720932 NKV720932 NUR720932 OEN720932 OOJ720932 OYF720932 PIB720932 PRX720932 QBT720932 QLP720932 QVL720932 RFH720932 RPD720932 RYZ720932 SIV720932 SSR720932 TCN720932 TMJ720932 TWF720932 UGB720932 UPX720932 UZT720932 VJP720932 VTL720932 WDH720932 WND720932 H786468 AR786468 KN786468 UJ786468 AEF786468 AOB786468 AXX786468 BHT786468 BRP786468 CBL786468 CLH786468 CVD786468 DEZ786468 DOV786468 DYR786468 EIN786468 ESJ786468 FCF786468 FMB786468 FVX786468 GFT786468 GPP786468 GZL786468 HJH786468 HTD786468 ICZ786468 IMV786468 IWR786468 JGN786468 JQJ786468 KAF786468 KKB786468 KTX786468 LDT786468 LNP786468 LXL786468 MHH786468 MRD786468 NAZ786468 NKV786468 NUR786468 OEN786468 OOJ786468 OYF786468 PIB786468 PRX786468 QBT786468 QLP786468 QVL786468 RFH786468 RPD786468 RYZ786468 SIV786468 SSR786468 TCN786468 TMJ786468 TWF786468 UGB786468 UPX786468 UZT786468 VJP786468 VTL786468 WDH786468 WND786468 H852004 AR852004 KN852004 UJ852004 AEF852004 AOB852004 AXX852004 BHT852004 BRP852004 CBL852004 CLH852004 CVD852004 DEZ852004 DOV852004 DYR852004 EIN852004 ESJ852004 FCF852004 FMB852004 FVX852004 GFT852004 GPP852004 GZL852004 HJH852004 HTD852004 ICZ852004 IMV852004 IWR852004 JGN852004 JQJ852004 KAF852004 KKB852004 KTX852004 LDT852004 LNP852004 LXL852004 MHH852004 MRD852004 NAZ852004 NKV852004 NUR852004 OEN852004 OOJ852004 OYF852004 PIB852004 PRX852004 QBT852004 QLP852004 QVL852004 RFH852004 RPD852004 RYZ852004 SIV852004 SSR852004 TCN852004 TMJ852004 TWF852004 UGB852004 UPX852004 UZT852004 VJP852004 VTL852004 WDH852004 WND852004 H917540 AR917540 KN917540 UJ917540 AEF917540 AOB917540 AXX917540 BHT917540 BRP917540 CBL917540 CLH917540 CVD917540 DEZ917540 DOV917540 DYR917540 EIN917540 ESJ917540 FCF917540 FMB917540 FVX917540 GFT917540 GPP917540 GZL917540 HJH917540 HTD917540 ICZ917540 IMV917540 IWR917540 JGN917540 JQJ917540 KAF917540 KKB917540 KTX917540 LDT917540 LNP917540 LXL917540 MHH917540 MRD917540 NAZ917540 NKV917540 NUR917540 OEN917540 OOJ917540 OYF917540 PIB917540 PRX917540 QBT917540 QLP917540 QVL917540 RFH917540 RPD917540 RYZ917540 SIV917540 SSR917540 TCN917540 TMJ917540 TWF917540 UGB917540 UPX917540 UZT917540 VJP917540 VTL917540 WDH917540 WND917540 H983076 AR983076 KN983076 UJ983076 AEF983076 AOB983076 AXX983076 BHT983076 BRP983076 CBL983076 CLH983076 CVD983076 DEZ983076 DOV983076 DYR983076 EIN983076 ESJ983076 FCF983076 FMB983076 FVX983076 GFT983076 GPP983076 GZL983076 HJH983076 HTD983076 ICZ983076 IMV983076 IWR983076 JGN983076 JQJ983076 KAF983076 KKB983076 KTX983076 LDT983076 LNP983076 LXL983076 MHH983076 MRD983076 NAZ983076 NKV983076 NUR983076 OEN983076 OOJ983076 OYF983076 PIB983076 PRX983076 QBT983076 QLP983076 QVL983076 RFH983076 RPD983076 RYZ983076 SIV983076 SSR983076 TCN983076 TMJ983076 TWF983076 UGB983076 UPX983076 UZT983076 VJP983076">
      <formula1>0</formula1>
      <formula2>$G$23+$G$26</formula2>
    </dataValidation>
    <dataValidation type="decimal" allowBlank="1" showInputMessage="1" showErrorMessage="1" errorTitle="Error" error="The number of eligible primary pupils for this factor cannot be negative or higher than the total number of primary pupils in the school. Please insert the correct figure or leave the cell blank to use an LA average." sqref="WDG983067 AQ39 KM39 UI39 AEE39 AOA39 AXW39 BHS39 BRO39 CBK39 CLG39 CVC39 DEY39 DOU39 DYQ39 EIM39 ESI39 FCE39 FMA39 FVW39 GFS39 GPO39 GZK39 HJG39 HTC39 ICY39 IMU39 IWQ39 JGM39 JQI39 KAE39 KKA39 KTW39 LDS39 LNO39 LXK39 MHG39 MRC39 NAY39 NKU39 NUQ39 OEM39 OOI39 OYE39 PIA39 PRW39 QBS39 QLO39 QVK39 RFG39 RPC39 RYY39 SIU39 SSQ39 TCM39 TMI39 TWE39 UGA39 UPW39 UZS39 VJO39 VTK39 WDG39 WNC39 G65573 AQ65573 KM65573 UI65573 AEE65573 AOA65573 AXW65573 BHS65573 BRO65573 CBK65573 CLG65573 CVC65573 DEY65573 DOU65573 DYQ65573 EIM65573 ESI65573 FCE65573 FMA65573 FVW65573 GFS65573 GPO65573 GZK65573 HJG65573 HTC65573 ICY65573 IMU65573 IWQ65573 JGM65573 JQI65573 KAE65573 KKA65573 KTW65573 LDS65573 LNO65573 LXK65573 MHG65573 MRC65573 NAY65573 NKU65573 NUQ65573 OEM65573 OOI65573 OYE65573 PIA65573 PRW65573 QBS65573 QLO65573 QVK65573 RFG65573 RPC65573 RYY65573 SIU65573 SSQ65573 TCM65573 TMI65573 TWE65573 UGA65573 UPW65573 UZS65573 VJO65573 VTK65573 WDG65573 WNC65573 G131109 AQ131109 KM131109 UI131109 AEE131109 AOA131109 AXW131109 BHS131109 BRO131109 CBK131109 CLG131109 CVC131109 DEY131109 DOU131109 DYQ131109 EIM131109 ESI131109 FCE131109 FMA131109 FVW131109 GFS131109 GPO131109 GZK131109 HJG131109 HTC131109 ICY131109 IMU131109 IWQ131109 JGM131109 JQI131109 KAE131109 KKA131109 KTW131109 LDS131109 LNO131109 LXK131109 MHG131109 MRC131109 NAY131109 NKU131109 NUQ131109 OEM131109 OOI131109 OYE131109 PIA131109 PRW131109 QBS131109 QLO131109 QVK131109 RFG131109 RPC131109 RYY131109 SIU131109 SSQ131109 TCM131109 TMI131109 TWE131109 UGA131109 UPW131109 UZS131109 VJO131109 VTK131109 WDG131109 WNC131109 G196645 AQ196645 KM196645 UI196645 AEE196645 AOA196645 AXW196645 BHS196645 BRO196645 CBK196645 CLG196645 CVC196645 DEY196645 DOU196645 DYQ196645 EIM196645 ESI196645 FCE196645 FMA196645 FVW196645 GFS196645 GPO196645 GZK196645 HJG196645 HTC196645 ICY196645 IMU196645 IWQ196645 JGM196645 JQI196645 KAE196645 KKA196645 KTW196645 LDS196645 LNO196645 LXK196645 MHG196645 MRC196645 NAY196645 NKU196645 NUQ196645 OEM196645 OOI196645 OYE196645 PIA196645 PRW196645 QBS196645 QLO196645 QVK196645 RFG196645 RPC196645 RYY196645 SIU196645 SSQ196645 TCM196645 TMI196645 TWE196645 UGA196645 UPW196645 UZS196645 VJO196645 VTK196645 WDG196645 WNC196645 G262181 AQ262181 KM262181 UI262181 AEE262181 AOA262181 AXW262181 BHS262181 BRO262181 CBK262181 CLG262181 CVC262181 DEY262181 DOU262181 DYQ262181 EIM262181 ESI262181 FCE262181 FMA262181 FVW262181 GFS262181 GPO262181 GZK262181 HJG262181 HTC262181 ICY262181 IMU262181 IWQ262181 JGM262181 JQI262181 KAE262181 KKA262181 KTW262181 LDS262181 LNO262181 LXK262181 MHG262181 MRC262181 NAY262181 NKU262181 NUQ262181 OEM262181 OOI262181 OYE262181 PIA262181 PRW262181 QBS262181 QLO262181 QVK262181 RFG262181 RPC262181 RYY262181 SIU262181 SSQ262181 TCM262181 TMI262181 TWE262181 UGA262181 UPW262181 UZS262181 VJO262181 VTK262181 WDG262181 WNC262181 G327717 AQ327717 KM327717 UI327717 AEE327717 AOA327717 AXW327717 BHS327717 BRO327717 CBK327717 CLG327717 CVC327717 DEY327717 DOU327717 DYQ327717 EIM327717 ESI327717 FCE327717 FMA327717 FVW327717 GFS327717 GPO327717 GZK327717 HJG327717 HTC327717 ICY327717 IMU327717 IWQ327717 JGM327717 JQI327717 KAE327717 KKA327717 KTW327717 LDS327717 LNO327717 LXK327717 MHG327717 MRC327717 NAY327717 NKU327717 NUQ327717 OEM327717 OOI327717 OYE327717 PIA327717 PRW327717 QBS327717 QLO327717 QVK327717 RFG327717 RPC327717 RYY327717 SIU327717 SSQ327717 TCM327717 TMI327717 TWE327717 UGA327717 UPW327717 UZS327717 VJO327717 VTK327717 WDG327717 WNC327717 G393253 AQ393253 KM393253 UI393253 AEE393253 AOA393253 AXW393253 BHS393253 BRO393253 CBK393253 CLG393253 CVC393253 DEY393253 DOU393253 DYQ393253 EIM393253 ESI393253 FCE393253 FMA393253 FVW393253 GFS393253 GPO393253 GZK393253 HJG393253 HTC393253 ICY393253 IMU393253 IWQ393253 JGM393253 JQI393253 KAE393253 KKA393253 KTW393253 LDS393253 LNO393253 LXK393253 MHG393253 MRC393253 NAY393253 NKU393253 NUQ393253 OEM393253 OOI393253 OYE393253 PIA393253 PRW393253 QBS393253 QLO393253 QVK393253 RFG393253 RPC393253 RYY393253 SIU393253 SSQ393253 TCM393253 TMI393253 TWE393253 UGA393253 UPW393253 UZS393253 VJO393253 VTK393253 WDG393253 WNC393253 G458789 AQ458789 KM458789 UI458789 AEE458789 AOA458789 AXW458789 BHS458789 BRO458789 CBK458789 CLG458789 CVC458789 DEY458789 DOU458789 DYQ458789 EIM458789 ESI458789 FCE458789 FMA458789 FVW458789 GFS458789 GPO458789 GZK458789 HJG458789 HTC458789 ICY458789 IMU458789 IWQ458789 JGM458789 JQI458789 KAE458789 KKA458789 KTW458789 LDS458789 LNO458789 LXK458789 MHG458789 MRC458789 NAY458789 NKU458789 NUQ458789 OEM458789 OOI458789 OYE458789 PIA458789 PRW458789 QBS458789 QLO458789 QVK458789 RFG458789 RPC458789 RYY458789 SIU458789 SSQ458789 TCM458789 TMI458789 TWE458789 UGA458789 UPW458789 UZS458789 VJO458789 VTK458789 WDG458789 WNC458789 G524325 AQ524325 KM524325 UI524325 AEE524325 AOA524325 AXW524325 BHS524325 BRO524325 CBK524325 CLG524325 CVC524325 DEY524325 DOU524325 DYQ524325 EIM524325 ESI524325 FCE524325 FMA524325 FVW524325 GFS524325 GPO524325 GZK524325 HJG524325 HTC524325 ICY524325 IMU524325 IWQ524325 JGM524325 JQI524325 KAE524325 KKA524325 KTW524325 LDS524325 LNO524325 LXK524325 MHG524325 MRC524325 NAY524325 NKU524325 NUQ524325 OEM524325 OOI524325 OYE524325 PIA524325 PRW524325 QBS524325 QLO524325 QVK524325 RFG524325 RPC524325 RYY524325 SIU524325 SSQ524325 TCM524325 TMI524325 TWE524325 UGA524325 UPW524325 UZS524325 VJO524325 VTK524325 WDG524325 WNC524325 G589861 AQ589861 KM589861 UI589861 AEE589861 AOA589861 AXW589861 BHS589861 BRO589861 CBK589861 CLG589861 CVC589861 DEY589861 DOU589861 DYQ589861 EIM589861 ESI589861 FCE589861 FMA589861 FVW589861 GFS589861 GPO589861 GZK589861 HJG589861 HTC589861 ICY589861 IMU589861 IWQ589861 JGM589861 JQI589861 KAE589861 KKA589861 KTW589861 LDS589861 LNO589861 LXK589861 MHG589861 MRC589861 NAY589861 NKU589861 NUQ589861 OEM589861 OOI589861 OYE589861 PIA589861 PRW589861 QBS589861 QLO589861 QVK589861 RFG589861 RPC589861 RYY589861 SIU589861 SSQ589861 TCM589861 TMI589861 TWE589861 UGA589861 UPW589861 UZS589861 VJO589861 VTK589861 WDG589861 WNC589861 G655397 AQ655397 KM655397 UI655397 AEE655397 AOA655397 AXW655397 BHS655397 BRO655397 CBK655397 CLG655397 CVC655397 DEY655397 DOU655397 DYQ655397 EIM655397 ESI655397 FCE655397 FMA655397 FVW655397 GFS655397 GPO655397 GZK655397 HJG655397 HTC655397 ICY655397 IMU655397 IWQ655397 JGM655397 JQI655397 KAE655397 KKA655397 KTW655397 LDS655397 LNO655397 LXK655397 MHG655397 MRC655397 NAY655397 NKU655397 NUQ655397 OEM655397 OOI655397 OYE655397 PIA655397 PRW655397 QBS655397 QLO655397 QVK655397 RFG655397 RPC655397 RYY655397 SIU655397 SSQ655397 TCM655397 TMI655397 TWE655397 UGA655397 UPW655397 UZS655397 VJO655397 VTK655397 WDG655397 WNC655397 G720933 AQ720933 KM720933 UI720933 AEE720933 AOA720933 AXW720933 BHS720933 BRO720933 CBK720933 CLG720933 CVC720933 DEY720933 DOU720933 DYQ720933 EIM720933 ESI720933 FCE720933 FMA720933 FVW720933 GFS720933 GPO720933 GZK720933 HJG720933 HTC720933 ICY720933 IMU720933 IWQ720933 JGM720933 JQI720933 KAE720933 KKA720933 KTW720933 LDS720933 LNO720933 LXK720933 MHG720933 MRC720933 NAY720933 NKU720933 NUQ720933 OEM720933 OOI720933 OYE720933 PIA720933 PRW720933 QBS720933 QLO720933 QVK720933 RFG720933 RPC720933 RYY720933 SIU720933 SSQ720933 TCM720933 TMI720933 TWE720933 UGA720933 UPW720933 UZS720933 VJO720933 VTK720933 WDG720933 WNC720933 G786469 AQ786469 KM786469 UI786469 AEE786469 AOA786469 AXW786469 BHS786469 BRO786469 CBK786469 CLG786469 CVC786469 DEY786469 DOU786469 DYQ786469 EIM786469 ESI786469 FCE786469 FMA786469 FVW786469 GFS786469 GPO786469 GZK786469 HJG786469 HTC786469 ICY786469 IMU786469 IWQ786469 JGM786469 JQI786469 KAE786469 KKA786469 KTW786469 LDS786469 LNO786469 LXK786469 MHG786469 MRC786469 NAY786469 NKU786469 NUQ786469 OEM786469 OOI786469 OYE786469 PIA786469 PRW786469 QBS786469 QLO786469 QVK786469 RFG786469 RPC786469 RYY786469 SIU786469 SSQ786469 TCM786469 TMI786469 TWE786469 UGA786469 UPW786469 UZS786469 VJO786469 VTK786469 WDG786469 WNC786469 G852005 AQ852005 KM852005 UI852005 AEE852005 AOA852005 AXW852005 BHS852005 BRO852005 CBK852005 CLG852005 CVC852005 DEY852005 DOU852005 DYQ852005 EIM852005 ESI852005 FCE852005 FMA852005 FVW852005 GFS852005 GPO852005 GZK852005 HJG852005 HTC852005 ICY852005 IMU852005 IWQ852005 JGM852005 JQI852005 KAE852005 KKA852005 KTW852005 LDS852005 LNO852005 LXK852005 MHG852005 MRC852005 NAY852005 NKU852005 NUQ852005 OEM852005 OOI852005 OYE852005 PIA852005 PRW852005 QBS852005 QLO852005 QVK852005 RFG852005 RPC852005 RYY852005 SIU852005 SSQ852005 TCM852005 TMI852005 TWE852005 UGA852005 UPW852005 UZS852005 VJO852005 VTK852005 WDG852005 WNC852005 G917541 AQ917541 KM917541 UI917541 AEE917541 AOA917541 AXW917541 BHS917541 BRO917541 CBK917541 CLG917541 CVC917541 DEY917541 DOU917541 DYQ917541 EIM917541 ESI917541 FCE917541 FMA917541 FVW917541 GFS917541 GPO917541 GZK917541 HJG917541 HTC917541 ICY917541 IMU917541 IWQ917541 JGM917541 JQI917541 KAE917541 KKA917541 KTW917541 LDS917541 LNO917541 LXK917541 MHG917541 MRC917541 NAY917541 NKU917541 NUQ917541 OEM917541 OOI917541 OYE917541 PIA917541 PRW917541 QBS917541 QLO917541 QVK917541 RFG917541 RPC917541 RYY917541 SIU917541 SSQ917541 TCM917541 TMI917541 TWE917541 UGA917541 UPW917541 UZS917541 VJO917541 VTK917541 WDG917541 WNC917541 G983077 AQ983077 KM983077 UI983077 AEE983077 AOA983077 AXW983077 BHS983077 BRO983077 CBK983077 CLG983077 CVC983077 DEY983077 DOU983077 DYQ983077 EIM983077 ESI983077 FCE983077 FMA983077 FVW983077 GFS983077 GPO983077 GZK983077 HJG983077 HTC983077 ICY983077 IMU983077 IWQ983077 JGM983077 JQI983077 KAE983077 KKA983077 KTW983077 LDS983077 LNO983077 LXK983077 MHG983077 MRC983077 NAY983077 NKU983077 NUQ983077 OEM983077 OOI983077 OYE983077 PIA983077 PRW983077 QBS983077 QLO983077 QVK983077 RFG983077 RPC983077 RYY983077 SIU983077 SSQ983077 TCM983077 TMI983077 TWE983077 UGA983077 UPW983077 UZS983077 VJO983077 VTK983077 WDG983077 WNC983077 WNC983067 AQ29 KM29 UI29 AEE29 AOA29 AXW29 BHS29 BRO29 CBK29 CLG29 CVC29 DEY29 DOU29 DYQ29 EIM29 ESI29 FCE29 FMA29 FVW29 GFS29 GPO29 GZK29 HJG29 HTC29 ICY29 IMU29 IWQ29 JGM29 JQI29 KAE29 KKA29 KTW29 LDS29 LNO29 LXK29 MHG29 MRC29 NAY29 NKU29 NUQ29 OEM29 OOI29 OYE29 PIA29 PRW29 QBS29 QLO29 QVK29 RFG29 RPC29 RYY29 SIU29 SSQ29 TCM29 TMI29 TWE29 UGA29 UPW29 UZS29 VJO29 VTK29 WDG29 WNC29 G65563 AQ65563 KM65563 UI65563 AEE65563 AOA65563 AXW65563 BHS65563 BRO65563 CBK65563 CLG65563 CVC65563 DEY65563 DOU65563 DYQ65563 EIM65563 ESI65563 FCE65563 FMA65563 FVW65563 GFS65563 GPO65563 GZK65563 HJG65563 HTC65563 ICY65563 IMU65563 IWQ65563 JGM65563 JQI65563 KAE65563 KKA65563 KTW65563 LDS65563 LNO65563 LXK65563 MHG65563 MRC65563 NAY65563 NKU65563 NUQ65563 OEM65563 OOI65563 OYE65563 PIA65563 PRW65563 QBS65563 QLO65563 QVK65563 RFG65563 RPC65563 RYY65563 SIU65563 SSQ65563 TCM65563 TMI65563 TWE65563 UGA65563 UPW65563 UZS65563 VJO65563 VTK65563 WDG65563 WNC65563 G131099 AQ131099 KM131099 UI131099 AEE131099 AOA131099 AXW131099 BHS131099 BRO131099 CBK131099 CLG131099 CVC131099 DEY131099 DOU131099 DYQ131099 EIM131099 ESI131099 FCE131099 FMA131099 FVW131099 GFS131099 GPO131099 GZK131099 HJG131099 HTC131099 ICY131099 IMU131099 IWQ131099 JGM131099 JQI131099 KAE131099 KKA131099 KTW131099 LDS131099 LNO131099 LXK131099 MHG131099 MRC131099 NAY131099 NKU131099 NUQ131099 OEM131099 OOI131099 OYE131099 PIA131099 PRW131099 QBS131099 QLO131099 QVK131099 RFG131099 RPC131099 RYY131099 SIU131099 SSQ131099 TCM131099 TMI131099 TWE131099 UGA131099 UPW131099 UZS131099 VJO131099 VTK131099 WDG131099 WNC131099 G196635 AQ196635 KM196635 UI196635 AEE196635 AOA196635 AXW196635 BHS196635 BRO196635 CBK196635 CLG196635 CVC196635 DEY196635 DOU196635 DYQ196635 EIM196635 ESI196635 FCE196635 FMA196635 FVW196635 GFS196635 GPO196635 GZK196635 HJG196635 HTC196635 ICY196635 IMU196635 IWQ196635 JGM196635 JQI196635 KAE196635 KKA196635 KTW196635 LDS196635 LNO196635 LXK196635 MHG196635 MRC196635 NAY196635 NKU196635 NUQ196635 OEM196635 OOI196635 OYE196635 PIA196635 PRW196635 QBS196635 QLO196635 QVK196635 RFG196635 RPC196635 RYY196635 SIU196635 SSQ196635 TCM196635 TMI196635 TWE196635 UGA196635 UPW196635 UZS196635 VJO196635 VTK196635 WDG196635 WNC196635 G262171 AQ262171 KM262171 UI262171 AEE262171 AOA262171 AXW262171 BHS262171 BRO262171 CBK262171 CLG262171 CVC262171 DEY262171 DOU262171 DYQ262171 EIM262171 ESI262171 FCE262171 FMA262171 FVW262171 GFS262171 GPO262171 GZK262171 HJG262171 HTC262171 ICY262171 IMU262171 IWQ262171 JGM262171 JQI262171 KAE262171 KKA262171 KTW262171 LDS262171 LNO262171 LXK262171 MHG262171 MRC262171 NAY262171 NKU262171 NUQ262171 OEM262171 OOI262171 OYE262171 PIA262171 PRW262171 QBS262171 QLO262171 QVK262171 RFG262171 RPC262171 RYY262171 SIU262171 SSQ262171 TCM262171 TMI262171 TWE262171 UGA262171 UPW262171 UZS262171 VJO262171 VTK262171 WDG262171 WNC262171 G327707 AQ327707 KM327707 UI327707 AEE327707 AOA327707 AXW327707 BHS327707 BRO327707 CBK327707 CLG327707 CVC327707 DEY327707 DOU327707 DYQ327707 EIM327707 ESI327707 FCE327707 FMA327707 FVW327707 GFS327707 GPO327707 GZK327707 HJG327707 HTC327707 ICY327707 IMU327707 IWQ327707 JGM327707 JQI327707 KAE327707 KKA327707 KTW327707 LDS327707 LNO327707 LXK327707 MHG327707 MRC327707 NAY327707 NKU327707 NUQ327707 OEM327707 OOI327707 OYE327707 PIA327707 PRW327707 QBS327707 QLO327707 QVK327707 RFG327707 RPC327707 RYY327707 SIU327707 SSQ327707 TCM327707 TMI327707 TWE327707 UGA327707 UPW327707 UZS327707 VJO327707 VTK327707 WDG327707 WNC327707 G393243 AQ393243 KM393243 UI393243 AEE393243 AOA393243 AXW393243 BHS393243 BRO393243 CBK393243 CLG393243 CVC393243 DEY393243 DOU393243 DYQ393243 EIM393243 ESI393243 FCE393243 FMA393243 FVW393243 GFS393243 GPO393243 GZK393243 HJG393243 HTC393243 ICY393243 IMU393243 IWQ393243 JGM393243 JQI393243 KAE393243 KKA393243 KTW393243 LDS393243 LNO393243 LXK393243 MHG393243 MRC393243 NAY393243 NKU393243 NUQ393243 OEM393243 OOI393243 OYE393243 PIA393243 PRW393243 QBS393243 QLO393243 QVK393243 RFG393243 RPC393243 RYY393243 SIU393243 SSQ393243 TCM393243 TMI393243 TWE393243 UGA393243 UPW393243 UZS393243 VJO393243 VTK393243 WDG393243 WNC393243 G458779 AQ458779 KM458779 UI458779 AEE458779 AOA458779 AXW458779 BHS458779 BRO458779 CBK458779 CLG458779 CVC458779 DEY458779 DOU458779 DYQ458779 EIM458779 ESI458779 FCE458779 FMA458779 FVW458779 GFS458779 GPO458779 GZK458779 HJG458779 HTC458779 ICY458779 IMU458779 IWQ458779 JGM458779 JQI458779 KAE458779 KKA458779 KTW458779 LDS458779 LNO458779 LXK458779 MHG458779 MRC458779 NAY458779 NKU458779 NUQ458779 OEM458779 OOI458779 OYE458779 PIA458779 PRW458779 QBS458779 QLO458779 QVK458779 RFG458779 RPC458779 RYY458779 SIU458779 SSQ458779 TCM458779 TMI458779 TWE458779 UGA458779 UPW458779 UZS458779 VJO458779 VTK458779 WDG458779 WNC458779 G524315 AQ524315 KM524315 UI524315 AEE524315 AOA524315 AXW524315 BHS524315 BRO524315 CBK524315 CLG524315 CVC524315 DEY524315 DOU524315 DYQ524315 EIM524315 ESI524315 FCE524315 FMA524315 FVW524315 GFS524315 GPO524315 GZK524315 HJG524315 HTC524315 ICY524315 IMU524315 IWQ524315 JGM524315 JQI524315 KAE524315 KKA524315 KTW524315 LDS524315 LNO524315 LXK524315 MHG524315 MRC524315 NAY524315 NKU524315 NUQ524315 OEM524315 OOI524315 OYE524315 PIA524315 PRW524315 QBS524315 QLO524315 QVK524315 RFG524315 RPC524315 RYY524315 SIU524315 SSQ524315 TCM524315 TMI524315 TWE524315 UGA524315 UPW524315 UZS524315 VJO524315 VTK524315 WDG524315 WNC524315 G589851 AQ589851 KM589851 UI589851 AEE589851 AOA589851 AXW589851 BHS589851 BRO589851 CBK589851 CLG589851 CVC589851 DEY589851 DOU589851 DYQ589851 EIM589851 ESI589851 FCE589851 FMA589851 FVW589851 GFS589851 GPO589851 GZK589851 HJG589851 HTC589851 ICY589851 IMU589851 IWQ589851 JGM589851 JQI589851 KAE589851 KKA589851 KTW589851 LDS589851 LNO589851 LXK589851 MHG589851 MRC589851 NAY589851 NKU589851 NUQ589851 OEM589851 OOI589851 OYE589851 PIA589851 PRW589851 QBS589851 QLO589851 QVK589851 RFG589851 RPC589851 RYY589851 SIU589851 SSQ589851 TCM589851 TMI589851 TWE589851 UGA589851 UPW589851 UZS589851 VJO589851 VTK589851 WDG589851 WNC589851 G655387 AQ655387 KM655387 UI655387 AEE655387 AOA655387 AXW655387 BHS655387 BRO655387 CBK655387 CLG655387 CVC655387 DEY655387 DOU655387 DYQ655387 EIM655387 ESI655387 FCE655387 FMA655387 FVW655387 GFS655387 GPO655387 GZK655387 HJG655387 HTC655387 ICY655387 IMU655387 IWQ655387 JGM655387 JQI655387 KAE655387 KKA655387 KTW655387 LDS655387 LNO655387 LXK655387 MHG655387 MRC655387 NAY655387 NKU655387 NUQ655387 OEM655387 OOI655387 OYE655387 PIA655387 PRW655387 QBS655387 QLO655387 QVK655387 RFG655387 RPC655387 RYY655387 SIU655387 SSQ655387 TCM655387 TMI655387 TWE655387 UGA655387 UPW655387 UZS655387 VJO655387 VTK655387 WDG655387 WNC655387 G720923 AQ720923 KM720923 UI720923 AEE720923 AOA720923 AXW720923 BHS720923 BRO720923 CBK720923 CLG720923 CVC720923 DEY720923 DOU720923 DYQ720923 EIM720923 ESI720923 FCE720923 FMA720923 FVW720923 GFS720923 GPO720923 GZK720923 HJG720923 HTC720923 ICY720923 IMU720923 IWQ720923 JGM720923 JQI720923 KAE720923 KKA720923 KTW720923 LDS720923 LNO720923 LXK720923 MHG720923 MRC720923 NAY720923 NKU720923 NUQ720923 OEM720923 OOI720923 OYE720923 PIA720923 PRW720923 QBS720923 QLO720923 QVK720923 RFG720923 RPC720923 RYY720923 SIU720923 SSQ720923 TCM720923 TMI720923 TWE720923 UGA720923 UPW720923 UZS720923 VJO720923 VTK720923 WDG720923 WNC720923 G786459 AQ786459 KM786459 UI786459 AEE786459 AOA786459 AXW786459 BHS786459 BRO786459 CBK786459 CLG786459 CVC786459 DEY786459 DOU786459 DYQ786459 EIM786459 ESI786459 FCE786459 FMA786459 FVW786459 GFS786459 GPO786459 GZK786459 HJG786459 HTC786459 ICY786459 IMU786459 IWQ786459 JGM786459 JQI786459 KAE786459 KKA786459 KTW786459 LDS786459 LNO786459 LXK786459 MHG786459 MRC786459 NAY786459 NKU786459 NUQ786459 OEM786459 OOI786459 OYE786459 PIA786459 PRW786459 QBS786459 QLO786459 QVK786459 RFG786459 RPC786459 RYY786459 SIU786459 SSQ786459 TCM786459 TMI786459 TWE786459 UGA786459 UPW786459 UZS786459 VJO786459 VTK786459 WDG786459 WNC786459 G851995 AQ851995 KM851995 UI851995 AEE851995 AOA851995 AXW851995 BHS851995 BRO851995 CBK851995 CLG851995 CVC851995 DEY851995 DOU851995 DYQ851995 EIM851995 ESI851995 FCE851995 FMA851995 FVW851995 GFS851995 GPO851995 GZK851995 HJG851995 HTC851995 ICY851995 IMU851995 IWQ851995 JGM851995 JQI851995 KAE851995 KKA851995 KTW851995 LDS851995 LNO851995 LXK851995 MHG851995 MRC851995 NAY851995 NKU851995 NUQ851995 OEM851995 OOI851995 OYE851995 PIA851995 PRW851995 QBS851995 QLO851995 QVK851995 RFG851995 RPC851995 RYY851995 SIU851995 SSQ851995 TCM851995 TMI851995 TWE851995 UGA851995 UPW851995 UZS851995 VJO851995 VTK851995 WDG851995 WNC851995 G917531 AQ917531 KM917531 UI917531 AEE917531 AOA917531 AXW917531 BHS917531 BRO917531 CBK917531 CLG917531 CVC917531 DEY917531 DOU917531 DYQ917531 EIM917531 ESI917531 FCE917531 FMA917531 FVW917531 GFS917531 GPO917531 GZK917531 HJG917531 HTC917531 ICY917531 IMU917531 IWQ917531 JGM917531 JQI917531 KAE917531 KKA917531 KTW917531 LDS917531 LNO917531 LXK917531 MHG917531 MRC917531 NAY917531 NKU917531 NUQ917531 OEM917531 OOI917531 OYE917531 PIA917531 PRW917531 QBS917531 QLO917531 QVK917531 RFG917531 RPC917531 RYY917531 SIU917531 SSQ917531 TCM917531 TMI917531 TWE917531 UGA917531 UPW917531 UZS917531 VJO917531 VTK917531 WDG917531 WNC917531 G983067 AQ983067 KM983067 UI983067 AEE983067 AOA983067 AXW983067 BHS983067 BRO983067 CBK983067 CLG983067 CVC983067 DEY983067 DOU983067 DYQ983067 EIM983067 ESI983067 FCE983067 FMA983067 FVW983067 GFS983067 GPO983067 GZK983067 HJG983067 HTC983067 ICY983067 IMU983067 IWQ983067 JGM983067 JQI983067 KAE983067 KKA983067 KTW983067 LDS983067 LNO983067 LXK983067 MHG983067 MRC983067 NAY983067 NKU983067 NUQ983067 OEM983067 OOI983067 OYE983067 PIA983067 PRW983067 QBS983067 QLO983067 QVK983067 RFG983067 RPC983067 RYY983067 SIU983067 SSQ983067 TCM983067 TMI983067 TWE983067 UGA983067 UPW983067 UZS983067 VJO983067 VTK983067">
      <formula1>0</formula1>
      <formula2>#REF!</formula2>
    </dataValidation>
    <dataValidation type="decimal" operator="greaterThanOrEqual" allowBlank="1" showInputMessage="1" showErrorMessage="1" errorTitle="Negative value" error="The number of pupils cannot be negative. Please insert a positive figure." sqref="WNC983059:WNF983064 G65555:J65560 AQ65555:AT65560 KM65555:KP65560 UI65555:UL65560 AEE65555:AEH65560 AOA65555:AOD65560 AXW65555:AXZ65560 BHS65555:BHV65560 BRO65555:BRR65560 CBK65555:CBN65560 CLG65555:CLJ65560 CVC65555:CVF65560 DEY65555:DFB65560 DOU65555:DOX65560 DYQ65555:DYT65560 EIM65555:EIP65560 ESI65555:ESL65560 FCE65555:FCH65560 FMA65555:FMD65560 FVW65555:FVZ65560 GFS65555:GFV65560 GPO65555:GPR65560 GZK65555:GZN65560 HJG65555:HJJ65560 HTC65555:HTF65560 ICY65555:IDB65560 IMU65555:IMX65560 IWQ65555:IWT65560 JGM65555:JGP65560 JQI65555:JQL65560 KAE65555:KAH65560 KKA65555:KKD65560 KTW65555:KTZ65560 LDS65555:LDV65560 LNO65555:LNR65560 LXK65555:LXN65560 MHG65555:MHJ65560 MRC65555:MRF65560 NAY65555:NBB65560 NKU65555:NKX65560 NUQ65555:NUT65560 OEM65555:OEP65560 OOI65555:OOL65560 OYE65555:OYH65560 PIA65555:PID65560 PRW65555:PRZ65560 QBS65555:QBV65560 QLO65555:QLR65560 QVK65555:QVN65560 RFG65555:RFJ65560 RPC65555:RPF65560 RYY65555:RZB65560 SIU65555:SIX65560 SSQ65555:SST65560 TCM65555:TCP65560 TMI65555:TML65560 TWE65555:TWH65560 UGA65555:UGD65560 UPW65555:UPZ65560 UZS65555:UZV65560 VJO65555:VJR65560 VTK65555:VTN65560 WDG65555:WDJ65560 WNC65555:WNF65560 G131091:J131096 AQ131091:AT131096 KM131091:KP131096 UI131091:UL131096 AEE131091:AEH131096 AOA131091:AOD131096 AXW131091:AXZ131096 BHS131091:BHV131096 BRO131091:BRR131096 CBK131091:CBN131096 CLG131091:CLJ131096 CVC131091:CVF131096 DEY131091:DFB131096 DOU131091:DOX131096 DYQ131091:DYT131096 EIM131091:EIP131096 ESI131091:ESL131096 FCE131091:FCH131096 FMA131091:FMD131096 FVW131091:FVZ131096 GFS131091:GFV131096 GPO131091:GPR131096 GZK131091:GZN131096 HJG131091:HJJ131096 HTC131091:HTF131096 ICY131091:IDB131096 IMU131091:IMX131096 IWQ131091:IWT131096 JGM131091:JGP131096 JQI131091:JQL131096 KAE131091:KAH131096 KKA131091:KKD131096 KTW131091:KTZ131096 LDS131091:LDV131096 LNO131091:LNR131096 LXK131091:LXN131096 MHG131091:MHJ131096 MRC131091:MRF131096 NAY131091:NBB131096 NKU131091:NKX131096 NUQ131091:NUT131096 OEM131091:OEP131096 OOI131091:OOL131096 OYE131091:OYH131096 PIA131091:PID131096 PRW131091:PRZ131096 QBS131091:QBV131096 QLO131091:QLR131096 QVK131091:QVN131096 RFG131091:RFJ131096 RPC131091:RPF131096 RYY131091:RZB131096 SIU131091:SIX131096 SSQ131091:SST131096 TCM131091:TCP131096 TMI131091:TML131096 TWE131091:TWH131096 UGA131091:UGD131096 UPW131091:UPZ131096 UZS131091:UZV131096 VJO131091:VJR131096 VTK131091:VTN131096 WDG131091:WDJ131096 WNC131091:WNF131096 G196627:J196632 AQ196627:AT196632 KM196627:KP196632 UI196627:UL196632 AEE196627:AEH196632 AOA196627:AOD196632 AXW196627:AXZ196632 BHS196627:BHV196632 BRO196627:BRR196632 CBK196627:CBN196632 CLG196627:CLJ196632 CVC196627:CVF196632 DEY196627:DFB196632 DOU196627:DOX196632 DYQ196627:DYT196632 EIM196627:EIP196632 ESI196627:ESL196632 FCE196627:FCH196632 FMA196627:FMD196632 FVW196627:FVZ196632 GFS196627:GFV196632 GPO196627:GPR196632 GZK196627:GZN196632 HJG196627:HJJ196632 HTC196627:HTF196632 ICY196627:IDB196632 IMU196627:IMX196632 IWQ196627:IWT196632 JGM196627:JGP196632 JQI196627:JQL196632 KAE196627:KAH196632 KKA196627:KKD196632 KTW196627:KTZ196632 LDS196627:LDV196632 LNO196627:LNR196632 LXK196627:LXN196632 MHG196627:MHJ196632 MRC196627:MRF196632 NAY196627:NBB196632 NKU196627:NKX196632 NUQ196627:NUT196632 OEM196627:OEP196632 OOI196627:OOL196632 OYE196627:OYH196632 PIA196627:PID196632 PRW196627:PRZ196632 QBS196627:QBV196632 QLO196627:QLR196632 QVK196627:QVN196632 RFG196627:RFJ196632 RPC196627:RPF196632 RYY196627:RZB196632 SIU196627:SIX196632 SSQ196627:SST196632 TCM196627:TCP196632 TMI196627:TML196632 TWE196627:TWH196632 UGA196627:UGD196632 UPW196627:UPZ196632 UZS196627:UZV196632 VJO196627:VJR196632 VTK196627:VTN196632 WDG196627:WDJ196632 WNC196627:WNF196632 G262163:J262168 AQ262163:AT262168 KM262163:KP262168 UI262163:UL262168 AEE262163:AEH262168 AOA262163:AOD262168 AXW262163:AXZ262168 BHS262163:BHV262168 BRO262163:BRR262168 CBK262163:CBN262168 CLG262163:CLJ262168 CVC262163:CVF262168 DEY262163:DFB262168 DOU262163:DOX262168 DYQ262163:DYT262168 EIM262163:EIP262168 ESI262163:ESL262168 FCE262163:FCH262168 FMA262163:FMD262168 FVW262163:FVZ262168 GFS262163:GFV262168 GPO262163:GPR262168 GZK262163:GZN262168 HJG262163:HJJ262168 HTC262163:HTF262168 ICY262163:IDB262168 IMU262163:IMX262168 IWQ262163:IWT262168 JGM262163:JGP262168 JQI262163:JQL262168 KAE262163:KAH262168 KKA262163:KKD262168 KTW262163:KTZ262168 LDS262163:LDV262168 LNO262163:LNR262168 LXK262163:LXN262168 MHG262163:MHJ262168 MRC262163:MRF262168 NAY262163:NBB262168 NKU262163:NKX262168 NUQ262163:NUT262168 OEM262163:OEP262168 OOI262163:OOL262168 OYE262163:OYH262168 PIA262163:PID262168 PRW262163:PRZ262168 QBS262163:QBV262168 QLO262163:QLR262168 QVK262163:QVN262168 RFG262163:RFJ262168 RPC262163:RPF262168 RYY262163:RZB262168 SIU262163:SIX262168 SSQ262163:SST262168 TCM262163:TCP262168 TMI262163:TML262168 TWE262163:TWH262168 UGA262163:UGD262168 UPW262163:UPZ262168 UZS262163:UZV262168 VJO262163:VJR262168 VTK262163:VTN262168 WDG262163:WDJ262168 WNC262163:WNF262168 G327699:J327704 AQ327699:AT327704 KM327699:KP327704 UI327699:UL327704 AEE327699:AEH327704 AOA327699:AOD327704 AXW327699:AXZ327704 BHS327699:BHV327704 BRO327699:BRR327704 CBK327699:CBN327704 CLG327699:CLJ327704 CVC327699:CVF327704 DEY327699:DFB327704 DOU327699:DOX327704 DYQ327699:DYT327704 EIM327699:EIP327704 ESI327699:ESL327704 FCE327699:FCH327704 FMA327699:FMD327704 FVW327699:FVZ327704 GFS327699:GFV327704 GPO327699:GPR327704 GZK327699:GZN327704 HJG327699:HJJ327704 HTC327699:HTF327704 ICY327699:IDB327704 IMU327699:IMX327704 IWQ327699:IWT327704 JGM327699:JGP327704 JQI327699:JQL327704 KAE327699:KAH327704 KKA327699:KKD327704 KTW327699:KTZ327704 LDS327699:LDV327704 LNO327699:LNR327704 LXK327699:LXN327704 MHG327699:MHJ327704 MRC327699:MRF327704 NAY327699:NBB327704 NKU327699:NKX327704 NUQ327699:NUT327704 OEM327699:OEP327704 OOI327699:OOL327704 OYE327699:OYH327704 PIA327699:PID327704 PRW327699:PRZ327704 QBS327699:QBV327704 QLO327699:QLR327704 QVK327699:QVN327704 RFG327699:RFJ327704 RPC327699:RPF327704 RYY327699:RZB327704 SIU327699:SIX327704 SSQ327699:SST327704 TCM327699:TCP327704 TMI327699:TML327704 TWE327699:TWH327704 UGA327699:UGD327704 UPW327699:UPZ327704 UZS327699:UZV327704 VJO327699:VJR327704 VTK327699:VTN327704 WDG327699:WDJ327704 WNC327699:WNF327704 G393235:J393240 AQ393235:AT393240 KM393235:KP393240 UI393235:UL393240 AEE393235:AEH393240 AOA393235:AOD393240 AXW393235:AXZ393240 BHS393235:BHV393240 BRO393235:BRR393240 CBK393235:CBN393240 CLG393235:CLJ393240 CVC393235:CVF393240 DEY393235:DFB393240 DOU393235:DOX393240 DYQ393235:DYT393240 EIM393235:EIP393240 ESI393235:ESL393240 FCE393235:FCH393240 FMA393235:FMD393240 FVW393235:FVZ393240 GFS393235:GFV393240 GPO393235:GPR393240 GZK393235:GZN393240 HJG393235:HJJ393240 HTC393235:HTF393240 ICY393235:IDB393240 IMU393235:IMX393240 IWQ393235:IWT393240 JGM393235:JGP393240 JQI393235:JQL393240 KAE393235:KAH393240 KKA393235:KKD393240 KTW393235:KTZ393240 LDS393235:LDV393240 LNO393235:LNR393240 LXK393235:LXN393240 MHG393235:MHJ393240 MRC393235:MRF393240 NAY393235:NBB393240 NKU393235:NKX393240 NUQ393235:NUT393240 OEM393235:OEP393240 OOI393235:OOL393240 OYE393235:OYH393240 PIA393235:PID393240 PRW393235:PRZ393240 QBS393235:QBV393240 QLO393235:QLR393240 QVK393235:QVN393240 RFG393235:RFJ393240 RPC393235:RPF393240 RYY393235:RZB393240 SIU393235:SIX393240 SSQ393235:SST393240 TCM393235:TCP393240 TMI393235:TML393240 TWE393235:TWH393240 UGA393235:UGD393240 UPW393235:UPZ393240 UZS393235:UZV393240 VJO393235:VJR393240 VTK393235:VTN393240 WDG393235:WDJ393240 WNC393235:WNF393240 G458771:J458776 AQ458771:AT458776 KM458771:KP458776 UI458771:UL458776 AEE458771:AEH458776 AOA458771:AOD458776 AXW458771:AXZ458776 BHS458771:BHV458776 BRO458771:BRR458776 CBK458771:CBN458776 CLG458771:CLJ458776 CVC458771:CVF458776 DEY458771:DFB458776 DOU458771:DOX458776 DYQ458771:DYT458776 EIM458771:EIP458776 ESI458771:ESL458776 FCE458771:FCH458776 FMA458771:FMD458776 FVW458771:FVZ458776 GFS458771:GFV458776 GPO458771:GPR458776 GZK458771:GZN458776 HJG458771:HJJ458776 HTC458771:HTF458776 ICY458771:IDB458776 IMU458771:IMX458776 IWQ458771:IWT458776 JGM458771:JGP458776 JQI458771:JQL458776 KAE458771:KAH458776 KKA458771:KKD458776 KTW458771:KTZ458776 LDS458771:LDV458776 LNO458771:LNR458776 LXK458771:LXN458776 MHG458771:MHJ458776 MRC458771:MRF458776 NAY458771:NBB458776 NKU458771:NKX458776 NUQ458771:NUT458776 OEM458771:OEP458776 OOI458771:OOL458776 OYE458771:OYH458776 PIA458771:PID458776 PRW458771:PRZ458776 QBS458771:QBV458776 QLO458771:QLR458776 QVK458771:QVN458776 RFG458771:RFJ458776 RPC458771:RPF458776 RYY458771:RZB458776 SIU458771:SIX458776 SSQ458771:SST458776 TCM458771:TCP458776 TMI458771:TML458776 TWE458771:TWH458776 UGA458771:UGD458776 UPW458771:UPZ458776 UZS458771:UZV458776 VJO458771:VJR458776 VTK458771:VTN458776 WDG458771:WDJ458776 WNC458771:WNF458776 G524307:J524312 AQ524307:AT524312 KM524307:KP524312 UI524307:UL524312 AEE524307:AEH524312 AOA524307:AOD524312 AXW524307:AXZ524312 BHS524307:BHV524312 BRO524307:BRR524312 CBK524307:CBN524312 CLG524307:CLJ524312 CVC524307:CVF524312 DEY524307:DFB524312 DOU524307:DOX524312 DYQ524307:DYT524312 EIM524307:EIP524312 ESI524307:ESL524312 FCE524307:FCH524312 FMA524307:FMD524312 FVW524307:FVZ524312 GFS524307:GFV524312 GPO524307:GPR524312 GZK524307:GZN524312 HJG524307:HJJ524312 HTC524307:HTF524312 ICY524307:IDB524312 IMU524307:IMX524312 IWQ524307:IWT524312 JGM524307:JGP524312 JQI524307:JQL524312 KAE524307:KAH524312 KKA524307:KKD524312 KTW524307:KTZ524312 LDS524307:LDV524312 LNO524307:LNR524312 LXK524307:LXN524312 MHG524307:MHJ524312 MRC524307:MRF524312 NAY524307:NBB524312 NKU524307:NKX524312 NUQ524307:NUT524312 OEM524307:OEP524312 OOI524307:OOL524312 OYE524307:OYH524312 PIA524307:PID524312 PRW524307:PRZ524312 QBS524307:QBV524312 QLO524307:QLR524312 QVK524307:QVN524312 RFG524307:RFJ524312 RPC524307:RPF524312 RYY524307:RZB524312 SIU524307:SIX524312 SSQ524307:SST524312 TCM524307:TCP524312 TMI524307:TML524312 TWE524307:TWH524312 UGA524307:UGD524312 UPW524307:UPZ524312 UZS524307:UZV524312 VJO524307:VJR524312 VTK524307:VTN524312 WDG524307:WDJ524312 WNC524307:WNF524312 G589843:J589848 AQ589843:AT589848 KM589843:KP589848 UI589843:UL589848 AEE589843:AEH589848 AOA589843:AOD589848 AXW589843:AXZ589848 BHS589843:BHV589848 BRO589843:BRR589848 CBK589843:CBN589848 CLG589843:CLJ589848 CVC589843:CVF589848 DEY589843:DFB589848 DOU589843:DOX589848 DYQ589843:DYT589848 EIM589843:EIP589848 ESI589843:ESL589848 FCE589843:FCH589848 FMA589843:FMD589848 FVW589843:FVZ589848 GFS589843:GFV589848 GPO589843:GPR589848 GZK589843:GZN589848 HJG589843:HJJ589848 HTC589843:HTF589848 ICY589843:IDB589848 IMU589843:IMX589848 IWQ589843:IWT589848 JGM589843:JGP589848 JQI589843:JQL589848 KAE589843:KAH589848 KKA589843:KKD589848 KTW589843:KTZ589848 LDS589843:LDV589848 LNO589843:LNR589848 LXK589843:LXN589848 MHG589843:MHJ589848 MRC589843:MRF589848 NAY589843:NBB589848 NKU589843:NKX589848 NUQ589843:NUT589848 OEM589843:OEP589848 OOI589843:OOL589848 OYE589843:OYH589848 PIA589843:PID589848 PRW589843:PRZ589848 QBS589843:QBV589848 QLO589843:QLR589848 QVK589843:QVN589848 RFG589843:RFJ589848 RPC589843:RPF589848 RYY589843:RZB589848 SIU589843:SIX589848 SSQ589843:SST589848 TCM589843:TCP589848 TMI589843:TML589848 TWE589843:TWH589848 UGA589843:UGD589848 UPW589843:UPZ589848 UZS589843:UZV589848 VJO589843:VJR589848 VTK589843:VTN589848 WDG589843:WDJ589848 WNC589843:WNF589848 G655379:J655384 AQ655379:AT655384 KM655379:KP655384 UI655379:UL655384 AEE655379:AEH655384 AOA655379:AOD655384 AXW655379:AXZ655384 BHS655379:BHV655384 BRO655379:BRR655384 CBK655379:CBN655384 CLG655379:CLJ655384 CVC655379:CVF655384 DEY655379:DFB655384 DOU655379:DOX655384 DYQ655379:DYT655384 EIM655379:EIP655384 ESI655379:ESL655384 FCE655379:FCH655384 FMA655379:FMD655384 FVW655379:FVZ655384 GFS655379:GFV655384 GPO655379:GPR655384 GZK655379:GZN655384 HJG655379:HJJ655384 HTC655379:HTF655384 ICY655379:IDB655384 IMU655379:IMX655384 IWQ655379:IWT655384 JGM655379:JGP655384 JQI655379:JQL655384 KAE655379:KAH655384 KKA655379:KKD655384 KTW655379:KTZ655384 LDS655379:LDV655384 LNO655379:LNR655384 LXK655379:LXN655384 MHG655379:MHJ655384 MRC655379:MRF655384 NAY655379:NBB655384 NKU655379:NKX655384 NUQ655379:NUT655384 OEM655379:OEP655384 OOI655379:OOL655384 OYE655379:OYH655384 PIA655379:PID655384 PRW655379:PRZ655384 QBS655379:QBV655384 QLO655379:QLR655384 QVK655379:QVN655384 RFG655379:RFJ655384 RPC655379:RPF655384 RYY655379:RZB655384 SIU655379:SIX655384 SSQ655379:SST655384 TCM655379:TCP655384 TMI655379:TML655384 TWE655379:TWH655384 UGA655379:UGD655384 UPW655379:UPZ655384 UZS655379:UZV655384 VJO655379:VJR655384 VTK655379:VTN655384 WDG655379:WDJ655384 WNC655379:WNF655384 G720915:J720920 AQ720915:AT720920 KM720915:KP720920 UI720915:UL720920 AEE720915:AEH720920 AOA720915:AOD720920 AXW720915:AXZ720920 BHS720915:BHV720920 BRO720915:BRR720920 CBK720915:CBN720920 CLG720915:CLJ720920 CVC720915:CVF720920 DEY720915:DFB720920 DOU720915:DOX720920 DYQ720915:DYT720920 EIM720915:EIP720920 ESI720915:ESL720920 FCE720915:FCH720920 FMA720915:FMD720920 FVW720915:FVZ720920 GFS720915:GFV720920 GPO720915:GPR720920 GZK720915:GZN720920 HJG720915:HJJ720920 HTC720915:HTF720920 ICY720915:IDB720920 IMU720915:IMX720920 IWQ720915:IWT720920 JGM720915:JGP720920 JQI720915:JQL720920 KAE720915:KAH720920 KKA720915:KKD720920 KTW720915:KTZ720920 LDS720915:LDV720920 LNO720915:LNR720920 LXK720915:LXN720920 MHG720915:MHJ720920 MRC720915:MRF720920 NAY720915:NBB720920 NKU720915:NKX720920 NUQ720915:NUT720920 OEM720915:OEP720920 OOI720915:OOL720920 OYE720915:OYH720920 PIA720915:PID720920 PRW720915:PRZ720920 QBS720915:QBV720920 QLO720915:QLR720920 QVK720915:QVN720920 RFG720915:RFJ720920 RPC720915:RPF720920 RYY720915:RZB720920 SIU720915:SIX720920 SSQ720915:SST720920 TCM720915:TCP720920 TMI720915:TML720920 TWE720915:TWH720920 UGA720915:UGD720920 UPW720915:UPZ720920 UZS720915:UZV720920 VJO720915:VJR720920 VTK720915:VTN720920 WDG720915:WDJ720920 WNC720915:WNF720920 G786451:J786456 AQ786451:AT786456 KM786451:KP786456 UI786451:UL786456 AEE786451:AEH786456 AOA786451:AOD786456 AXW786451:AXZ786456 BHS786451:BHV786456 BRO786451:BRR786456 CBK786451:CBN786456 CLG786451:CLJ786456 CVC786451:CVF786456 DEY786451:DFB786456 DOU786451:DOX786456 DYQ786451:DYT786456 EIM786451:EIP786456 ESI786451:ESL786456 FCE786451:FCH786456 FMA786451:FMD786456 FVW786451:FVZ786456 GFS786451:GFV786456 GPO786451:GPR786456 GZK786451:GZN786456 HJG786451:HJJ786456 HTC786451:HTF786456 ICY786451:IDB786456 IMU786451:IMX786456 IWQ786451:IWT786456 JGM786451:JGP786456 JQI786451:JQL786456 KAE786451:KAH786456 KKA786451:KKD786456 KTW786451:KTZ786456 LDS786451:LDV786456 LNO786451:LNR786456 LXK786451:LXN786456 MHG786451:MHJ786456 MRC786451:MRF786456 NAY786451:NBB786456 NKU786451:NKX786456 NUQ786451:NUT786456 OEM786451:OEP786456 OOI786451:OOL786456 OYE786451:OYH786456 PIA786451:PID786456 PRW786451:PRZ786456 QBS786451:QBV786456 QLO786451:QLR786456 QVK786451:QVN786456 RFG786451:RFJ786456 RPC786451:RPF786456 RYY786451:RZB786456 SIU786451:SIX786456 SSQ786451:SST786456 TCM786451:TCP786456 TMI786451:TML786456 TWE786451:TWH786456 UGA786451:UGD786456 UPW786451:UPZ786456 UZS786451:UZV786456 VJO786451:VJR786456 VTK786451:VTN786456 WDG786451:WDJ786456 WNC786451:WNF786456 G851987:J851992 AQ851987:AT851992 KM851987:KP851992 UI851987:UL851992 AEE851987:AEH851992 AOA851987:AOD851992 AXW851987:AXZ851992 BHS851987:BHV851992 BRO851987:BRR851992 CBK851987:CBN851992 CLG851987:CLJ851992 CVC851987:CVF851992 DEY851987:DFB851992 DOU851987:DOX851992 DYQ851987:DYT851992 EIM851987:EIP851992 ESI851987:ESL851992 FCE851987:FCH851992 FMA851987:FMD851992 FVW851987:FVZ851992 GFS851987:GFV851992 GPO851987:GPR851992 GZK851987:GZN851992 HJG851987:HJJ851992 HTC851987:HTF851992 ICY851987:IDB851992 IMU851987:IMX851992 IWQ851987:IWT851992 JGM851987:JGP851992 JQI851987:JQL851992 KAE851987:KAH851992 KKA851987:KKD851992 KTW851987:KTZ851992 LDS851987:LDV851992 LNO851987:LNR851992 LXK851987:LXN851992 MHG851987:MHJ851992 MRC851987:MRF851992 NAY851987:NBB851992 NKU851987:NKX851992 NUQ851987:NUT851992 OEM851987:OEP851992 OOI851987:OOL851992 OYE851987:OYH851992 PIA851987:PID851992 PRW851987:PRZ851992 QBS851987:QBV851992 QLO851987:QLR851992 QVK851987:QVN851992 RFG851987:RFJ851992 RPC851987:RPF851992 RYY851987:RZB851992 SIU851987:SIX851992 SSQ851987:SST851992 TCM851987:TCP851992 TMI851987:TML851992 TWE851987:TWH851992 UGA851987:UGD851992 UPW851987:UPZ851992 UZS851987:UZV851992 VJO851987:VJR851992 VTK851987:VTN851992 WDG851987:WDJ851992 WNC851987:WNF851992 G917523:J917528 AQ917523:AT917528 KM917523:KP917528 UI917523:UL917528 AEE917523:AEH917528 AOA917523:AOD917528 AXW917523:AXZ917528 BHS917523:BHV917528 BRO917523:BRR917528 CBK917523:CBN917528 CLG917523:CLJ917528 CVC917523:CVF917528 DEY917523:DFB917528 DOU917523:DOX917528 DYQ917523:DYT917528 EIM917523:EIP917528 ESI917523:ESL917528 FCE917523:FCH917528 FMA917523:FMD917528 FVW917523:FVZ917528 GFS917523:GFV917528 GPO917523:GPR917528 GZK917523:GZN917528 HJG917523:HJJ917528 HTC917523:HTF917528 ICY917523:IDB917528 IMU917523:IMX917528 IWQ917523:IWT917528 JGM917523:JGP917528 JQI917523:JQL917528 KAE917523:KAH917528 KKA917523:KKD917528 KTW917523:KTZ917528 LDS917523:LDV917528 LNO917523:LNR917528 LXK917523:LXN917528 MHG917523:MHJ917528 MRC917523:MRF917528 NAY917523:NBB917528 NKU917523:NKX917528 NUQ917523:NUT917528 OEM917523:OEP917528 OOI917523:OOL917528 OYE917523:OYH917528 PIA917523:PID917528 PRW917523:PRZ917528 QBS917523:QBV917528 QLO917523:QLR917528 QVK917523:QVN917528 RFG917523:RFJ917528 RPC917523:RPF917528 RYY917523:RZB917528 SIU917523:SIX917528 SSQ917523:SST917528 TCM917523:TCP917528 TMI917523:TML917528 TWE917523:TWH917528 UGA917523:UGD917528 UPW917523:UPZ917528 UZS917523:UZV917528 VJO917523:VJR917528 VTK917523:VTN917528 WDG917523:WDJ917528 WNC917523:WNF917528 G983059:J983064 AQ983059:AT983064 KM983059:KP983064 UI983059:UL983064 AEE983059:AEH983064 AOA983059:AOD983064 AXW983059:AXZ983064 BHS983059:BHV983064 BRO983059:BRR983064 CBK983059:CBN983064 CLG983059:CLJ983064 CVC983059:CVF983064 DEY983059:DFB983064 DOU983059:DOX983064 DYQ983059:DYT983064 EIM983059:EIP983064 ESI983059:ESL983064 FCE983059:FCH983064 FMA983059:FMD983064 FVW983059:FVZ983064 GFS983059:GFV983064 GPO983059:GPR983064 GZK983059:GZN983064 HJG983059:HJJ983064 HTC983059:HTF983064 ICY983059:IDB983064 IMU983059:IMX983064 IWQ983059:IWT983064 JGM983059:JGP983064 JQI983059:JQL983064 KAE983059:KAH983064 KKA983059:KKD983064 KTW983059:KTZ983064 LDS983059:LDV983064 LNO983059:LNR983064 LXK983059:LXN983064 MHG983059:MHJ983064 MRC983059:MRF983064 NAY983059:NBB983064 NKU983059:NKX983064 NUQ983059:NUT983064 OEM983059:OEP983064 OOI983059:OOL983064 OYE983059:OYH983064 PIA983059:PID983064 PRW983059:PRZ983064 QBS983059:QBV983064 QLO983059:QLR983064 QVK983059:QVN983064 RFG983059:RFJ983064 RPC983059:RPF983064 RYY983059:RZB983064 SIU983059:SIX983064 SSQ983059:SST983064 TCM983059:TCP983064 TMI983059:TML983064 TWE983059:TWH983064 UGA983059:UGD983064 UPW983059:UPZ983064 UZS983059:UZV983064 VJO983059:VJR983064 VTK983059:VTN983064 WDG983059:WDJ983064 G23:J26 WNC22:WNF26 WDG22:WDJ26 VTK22:VTN26 VJO22:VJR26 UZS22:UZV26 UPW22:UPZ26 UGA22:UGD26 TWE22:TWH26 TMI22:TML26 TCM22:TCP26 SSQ22:SST26 SIU22:SIX26 RYY22:RZB26 RPC22:RPF26 RFG22:RFJ26 QVK22:QVN26 QLO22:QLR26 QBS22:QBV26 PRW22:PRZ26 PIA22:PID26 OYE22:OYH26 OOI22:OOL26 OEM22:OEP26 NUQ22:NUT26 NKU22:NKX26 NAY22:NBB26 MRC22:MRF26 MHG22:MHJ26 LXK22:LXN26 LNO22:LNR26 LDS22:LDV26 KTW22:KTZ26 KKA22:KKD26 KAE22:KAH26 JQI22:JQL26 JGM22:JGP26 IWQ22:IWT26 IMU22:IMX26 ICY22:IDB26 HTC22:HTF26 HJG22:HJJ26 GZK22:GZN26 GPO22:GPR26 GFS22:GFV26 FVW22:FVZ26 FMA22:FMD26 FCE22:FCH26 ESI22:ESL26 EIM22:EIP26 DYQ22:DYT26 DOU22:DOX26 DEY22:DFB26 CVC22:CVF26 CLG22:CLJ26 CBK22:CBN26 BRO22:BRR26 BHS22:BHV26 AXW22:AXZ26 AOA22:AOD26 AEE22:AEH26 UI22:UL26 KM22:KP26 AQ22:AT26">
      <formula1>0</formula1>
    </dataValidation>
    <dataValidation showInputMessage="1" showErrorMessage="1" sqref="F14 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F65547 AP65547 KL65547 UH65547 AED65547 ANZ65547 AXV65547 BHR65547 BRN65547 CBJ65547 CLF65547 CVB65547 DEX65547 DOT65547 DYP65547 EIL65547 ESH65547 FCD65547 FLZ65547 FVV65547 GFR65547 GPN65547 GZJ65547 HJF65547 HTB65547 ICX65547 IMT65547 IWP65547 JGL65547 JQH65547 KAD65547 KJZ65547 KTV65547 LDR65547 LNN65547 LXJ65547 MHF65547 MRB65547 NAX65547 NKT65547 NUP65547 OEL65547 OOH65547 OYD65547 PHZ65547 PRV65547 QBR65547 QLN65547 QVJ65547 RFF65547 RPB65547 RYX65547 SIT65547 SSP65547 TCL65547 TMH65547 TWD65547 UFZ65547 UPV65547 UZR65547 VJN65547 VTJ65547 WDF65547 WNB65547 F131083 AP131083 KL131083 UH131083 AED131083 ANZ131083 AXV131083 BHR131083 BRN131083 CBJ131083 CLF131083 CVB131083 DEX131083 DOT131083 DYP131083 EIL131083 ESH131083 FCD131083 FLZ131083 FVV131083 GFR131083 GPN131083 GZJ131083 HJF131083 HTB131083 ICX131083 IMT131083 IWP131083 JGL131083 JQH131083 KAD131083 KJZ131083 KTV131083 LDR131083 LNN131083 LXJ131083 MHF131083 MRB131083 NAX131083 NKT131083 NUP131083 OEL131083 OOH131083 OYD131083 PHZ131083 PRV131083 QBR131083 QLN131083 QVJ131083 RFF131083 RPB131083 RYX131083 SIT131083 SSP131083 TCL131083 TMH131083 TWD131083 UFZ131083 UPV131083 UZR131083 VJN131083 VTJ131083 WDF131083 WNB131083 F196619 AP196619 KL196619 UH196619 AED196619 ANZ196619 AXV196619 BHR196619 BRN196619 CBJ196619 CLF196619 CVB196619 DEX196619 DOT196619 DYP196619 EIL196619 ESH196619 FCD196619 FLZ196619 FVV196619 GFR196619 GPN196619 GZJ196619 HJF196619 HTB196619 ICX196619 IMT196619 IWP196619 JGL196619 JQH196619 KAD196619 KJZ196619 KTV196619 LDR196619 LNN196619 LXJ196619 MHF196619 MRB196619 NAX196619 NKT196619 NUP196619 OEL196619 OOH196619 OYD196619 PHZ196619 PRV196619 QBR196619 QLN196619 QVJ196619 RFF196619 RPB196619 RYX196619 SIT196619 SSP196619 TCL196619 TMH196619 TWD196619 UFZ196619 UPV196619 UZR196619 VJN196619 VTJ196619 WDF196619 WNB196619 F262155 AP262155 KL262155 UH262155 AED262155 ANZ262155 AXV262155 BHR262155 BRN262155 CBJ262155 CLF262155 CVB262155 DEX262155 DOT262155 DYP262155 EIL262155 ESH262155 FCD262155 FLZ262155 FVV262155 GFR262155 GPN262155 GZJ262155 HJF262155 HTB262155 ICX262155 IMT262155 IWP262155 JGL262155 JQH262155 KAD262155 KJZ262155 KTV262155 LDR262155 LNN262155 LXJ262155 MHF262155 MRB262155 NAX262155 NKT262155 NUP262155 OEL262155 OOH262155 OYD262155 PHZ262155 PRV262155 QBR262155 QLN262155 QVJ262155 RFF262155 RPB262155 RYX262155 SIT262155 SSP262155 TCL262155 TMH262155 TWD262155 UFZ262155 UPV262155 UZR262155 VJN262155 VTJ262155 WDF262155 WNB262155 F327691 AP327691 KL327691 UH327691 AED327691 ANZ327691 AXV327691 BHR327691 BRN327691 CBJ327691 CLF327691 CVB327691 DEX327691 DOT327691 DYP327691 EIL327691 ESH327691 FCD327691 FLZ327691 FVV327691 GFR327691 GPN327691 GZJ327691 HJF327691 HTB327691 ICX327691 IMT327691 IWP327691 JGL327691 JQH327691 KAD327691 KJZ327691 KTV327691 LDR327691 LNN327691 LXJ327691 MHF327691 MRB327691 NAX327691 NKT327691 NUP327691 OEL327691 OOH327691 OYD327691 PHZ327691 PRV327691 QBR327691 QLN327691 QVJ327691 RFF327691 RPB327691 RYX327691 SIT327691 SSP327691 TCL327691 TMH327691 TWD327691 UFZ327691 UPV327691 UZR327691 VJN327691 VTJ327691 WDF327691 WNB327691 F393227 AP393227 KL393227 UH393227 AED393227 ANZ393227 AXV393227 BHR393227 BRN393227 CBJ393227 CLF393227 CVB393227 DEX393227 DOT393227 DYP393227 EIL393227 ESH393227 FCD393227 FLZ393227 FVV393227 GFR393227 GPN393227 GZJ393227 HJF393227 HTB393227 ICX393227 IMT393227 IWP393227 JGL393227 JQH393227 KAD393227 KJZ393227 KTV393227 LDR393227 LNN393227 LXJ393227 MHF393227 MRB393227 NAX393227 NKT393227 NUP393227 OEL393227 OOH393227 OYD393227 PHZ393227 PRV393227 QBR393227 QLN393227 QVJ393227 RFF393227 RPB393227 RYX393227 SIT393227 SSP393227 TCL393227 TMH393227 TWD393227 UFZ393227 UPV393227 UZR393227 VJN393227 VTJ393227 WDF393227 WNB393227 F458763 AP458763 KL458763 UH458763 AED458763 ANZ458763 AXV458763 BHR458763 BRN458763 CBJ458763 CLF458763 CVB458763 DEX458763 DOT458763 DYP458763 EIL458763 ESH458763 FCD458763 FLZ458763 FVV458763 GFR458763 GPN458763 GZJ458763 HJF458763 HTB458763 ICX458763 IMT458763 IWP458763 JGL458763 JQH458763 KAD458763 KJZ458763 KTV458763 LDR458763 LNN458763 LXJ458763 MHF458763 MRB458763 NAX458763 NKT458763 NUP458763 OEL458763 OOH458763 OYD458763 PHZ458763 PRV458763 QBR458763 QLN458763 QVJ458763 RFF458763 RPB458763 RYX458763 SIT458763 SSP458763 TCL458763 TMH458763 TWD458763 UFZ458763 UPV458763 UZR458763 VJN458763 VTJ458763 WDF458763 WNB458763 F524299 AP524299 KL524299 UH524299 AED524299 ANZ524299 AXV524299 BHR524299 BRN524299 CBJ524299 CLF524299 CVB524299 DEX524299 DOT524299 DYP524299 EIL524299 ESH524299 FCD524299 FLZ524299 FVV524299 GFR524299 GPN524299 GZJ524299 HJF524299 HTB524299 ICX524299 IMT524299 IWP524299 JGL524299 JQH524299 KAD524299 KJZ524299 KTV524299 LDR524299 LNN524299 LXJ524299 MHF524299 MRB524299 NAX524299 NKT524299 NUP524299 OEL524299 OOH524299 OYD524299 PHZ524299 PRV524299 QBR524299 QLN524299 QVJ524299 RFF524299 RPB524299 RYX524299 SIT524299 SSP524299 TCL524299 TMH524299 TWD524299 UFZ524299 UPV524299 UZR524299 VJN524299 VTJ524299 WDF524299 WNB524299 F589835 AP589835 KL589835 UH589835 AED589835 ANZ589835 AXV589835 BHR589835 BRN589835 CBJ589835 CLF589835 CVB589835 DEX589835 DOT589835 DYP589835 EIL589835 ESH589835 FCD589835 FLZ589835 FVV589835 GFR589835 GPN589835 GZJ589835 HJF589835 HTB589835 ICX589835 IMT589835 IWP589835 JGL589835 JQH589835 KAD589835 KJZ589835 KTV589835 LDR589835 LNN589835 LXJ589835 MHF589835 MRB589835 NAX589835 NKT589835 NUP589835 OEL589835 OOH589835 OYD589835 PHZ589835 PRV589835 QBR589835 QLN589835 QVJ589835 RFF589835 RPB589835 RYX589835 SIT589835 SSP589835 TCL589835 TMH589835 TWD589835 UFZ589835 UPV589835 UZR589835 VJN589835 VTJ589835 WDF589835 WNB589835 F655371 AP655371 KL655371 UH655371 AED655371 ANZ655371 AXV655371 BHR655371 BRN655371 CBJ655371 CLF655371 CVB655371 DEX655371 DOT655371 DYP655371 EIL655371 ESH655371 FCD655371 FLZ655371 FVV655371 GFR655371 GPN655371 GZJ655371 HJF655371 HTB655371 ICX655371 IMT655371 IWP655371 JGL655371 JQH655371 KAD655371 KJZ655371 KTV655371 LDR655371 LNN655371 LXJ655371 MHF655371 MRB655371 NAX655371 NKT655371 NUP655371 OEL655371 OOH655371 OYD655371 PHZ655371 PRV655371 QBR655371 QLN655371 QVJ655371 RFF655371 RPB655371 RYX655371 SIT655371 SSP655371 TCL655371 TMH655371 TWD655371 UFZ655371 UPV655371 UZR655371 VJN655371 VTJ655371 WDF655371 WNB655371 F720907 AP720907 KL720907 UH720907 AED720907 ANZ720907 AXV720907 BHR720907 BRN720907 CBJ720907 CLF720907 CVB720907 DEX720907 DOT720907 DYP720907 EIL720907 ESH720907 FCD720907 FLZ720907 FVV720907 GFR720907 GPN720907 GZJ720907 HJF720907 HTB720907 ICX720907 IMT720907 IWP720907 JGL720907 JQH720907 KAD720907 KJZ720907 KTV720907 LDR720907 LNN720907 LXJ720907 MHF720907 MRB720907 NAX720907 NKT720907 NUP720907 OEL720907 OOH720907 OYD720907 PHZ720907 PRV720907 QBR720907 QLN720907 QVJ720907 RFF720907 RPB720907 RYX720907 SIT720907 SSP720907 TCL720907 TMH720907 TWD720907 UFZ720907 UPV720907 UZR720907 VJN720907 VTJ720907 WDF720907 WNB720907 F786443 AP786443 KL786443 UH786443 AED786443 ANZ786443 AXV786443 BHR786443 BRN786443 CBJ786443 CLF786443 CVB786443 DEX786443 DOT786443 DYP786443 EIL786443 ESH786443 FCD786443 FLZ786443 FVV786443 GFR786443 GPN786443 GZJ786443 HJF786443 HTB786443 ICX786443 IMT786443 IWP786443 JGL786443 JQH786443 KAD786443 KJZ786443 KTV786443 LDR786443 LNN786443 LXJ786443 MHF786443 MRB786443 NAX786443 NKT786443 NUP786443 OEL786443 OOH786443 OYD786443 PHZ786443 PRV786443 QBR786443 QLN786443 QVJ786443 RFF786443 RPB786443 RYX786443 SIT786443 SSP786443 TCL786443 TMH786443 TWD786443 UFZ786443 UPV786443 UZR786443 VJN786443 VTJ786443 WDF786443 WNB786443 F851979 AP851979 KL851979 UH851979 AED851979 ANZ851979 AXV851979 BHR851979 BRN851979 CBJ851979 CLF851979 CVB851979 DEX851979 DOT851979 DYP851979 EIL851979 ESH851979 FCD851979 FLZ851979 FVV851979 GFR851979 GPN851979 GZJ851979 HJF851979 HTB851979 ICX851979 IMT851979 IWP851979 JGL851979 JQH851979 KAD851979 KJZ851979 KTV851979 LDR851979 LNN851979 LXJ851979 MHF851979 MRB851979 NAX851979 NKT851979 NUP851979 OEL851979 OOH851979 OYD851979 PHZ851979 PRV851979 QBR851979 QLN851979 QVJ851979 RFF851979 RPB851979 RYX851979 SIT851979 SSP851979 TCL851979 TMH851979 TWD851979 UFZ851979 UPV851979 UZR851979 VJN851979 VTJ851979 WDF851979 WNB851979 F917515 AP917515 KL917515 UH917515 AED917515 ANZ917515 AXV917515 BHR917515 BRN917515 CBJ917515 CLF917515 CVB917515 DEX917515 DOT917515 DYP917515 EIL917515 ESH917515 FCD917515 FLZ917515 FVV917515 GFR917515 GPN917515 GZJ917515 HJF917515 HTB917515 ICX917515 IMT917515 IWP917515 JGL917515 JQH917515 KAD917515 KJZ917515 KTV917515 LDR917515 LNN917515 LXJ917515 MHF917515 MRB917515 NAX917515 NKT917515 NUP917515 OEL917515 OOH917515 OYD917515 PHZ917515 PRV917515 QBR917515 QLN917515 QVJ917515 RFF917515 RPB917515 RYX917515 SIT917515 SSP917515 TCL917515 TMH917515 TWD917515 UFZ917515 UPV917515 UZR917515 VJN917515 VTJ917515 WDF917515 WNB917515 F983051 AP983051 KL983051 UH983051 AED983051 ANZ983051 AXV983051 BHR983051 BRN983051 CBJ983051 CLF983051 CVB983051 DEX983051 DOT983051 DYP983051 EIL983051 ESH983051 FCD983051 FLZ983051 FVV983051 GFR983051 GPN983051 GZJ983051 HJF983051 HTB983051 ICX983051 IMT983051 IWP983051 JGL983051 JQH983051 KAD983051 KJZ983051 KTV983051 LDR983051 LNN983051 LXJ983051 MHF983051 MRB983051 NAX983051 NKT983051 NUP983051 OEL983051 OOH983051 OYD983051 PHZ983051 PRV983051 QBR983051 QLN983051 QVJ983051 RFF983051 RPB983051 RYX983051 SIT983051 SSP983051 TCL983051 TMH983051 TWD983051 UFZ983051 UPV983051 UZR983051 VJN983051 VTJ983051 WDF983051 WNB983051"/>
    <dataValidation operator="greaterThanOrEqual" allowBlank="1" showInputMessage="1" showErrorMessage="1" error="This figure cannot be negative. Please enter a positive unit value." sqref="WNA983079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E65575 AO65575 KK65575 UG65575 AEC65575 ANY65575 AXU65575 BHQ65575 BRM65575 CBI65575 CLE65575 CVA65575 DEW65575 DOS65575 DYO65575 EIK65575 ESG65575 FCC65575 FLY65575 FVU65575 GFQ65575 GPM65575 GZI65575 HJE65575 HTA65575 ICW65575 IMS65575 IWO65575 JGK65575 JQG65575 KAC65575 KJY65575 KTU65575 LDQ65575 LNM65575 LXI65575 MHE65575 MRA65575 NAW65575 NKS65575 NUO65575 OEK65575 OOG65575 OYC65575 PHY65575 PRU65575 QBQ65575 QLM65575 QVI65575 RFE65575 RPA65575 RYW65575 SIS65575 SSO65575 TCK65575 TMG65575 TWC65575 UFY65575 UPU65575 UZQ65575 VJM65575 VTI65575 WDE65575 WNA65575 E131111 AO131111 KK131111 UG131111 AEC131111 ANY131111 AXU131111 BHQ131111 BRM131111 CBI131111 CLE131111 CVA131111 DEW131111 DOS131111 DYO131111 EIK131111 ESG131111 FCC131111 FLY131111 FVU131111 GFQ131111 GPM131111 GZI131111 HJE131111 HTA131111 ICW131111 IMS131111 IWO131111 JGK131111 JQG131111 KAC131111 KJY131111 KTU131111 LDQ131111 LNM131111 LXI131111 MHE131111 MRA131111 NAW131111 NKS131111 NUO131111 OEK131111 OOG131111 OYC131111 PHY131111 PRU131111 QBQ131111 QLM131111 QVI131111 RFE131111 RPA131111 RYW131111 SIS131111 SSO131111 TCK131111 TMG131111 TWC131111 UFY131111 UPU131111 UZQ131111 VJM131111 VTI131111 WDE131111 WNA131111 E196647 AO196647 KK196647 UG196647 AEC196647 ANY196647 AXU196647 BHQ196647 BRM196647 CBI196647 CLE196647 CVA196647 DEW196647 DOS196647 DYO196647 EIK196647 ESG196647 FCC196647 FLY196647 FVU196647 GFQ196647 GPM196647 GZI196647 HJE196647 HTA196647 ICW196647 IMS196647 IWO196647 JGK196647 JQG196647 KAC196647 KJY196647 KTU196647 LDQ196647 LNM196647 LXI196647 MHE196647 MRA196647 NAW196647 NKS196647 NUO196647 OEK196647 OOG196647 OYC196647 PHY196647 PRU196647 QBQ196647 QLM196647 QVI196647 RFE196647 RPA196647 RYW196647 SIS196647 SSO196647 TCK196647 TMG196647 TWC196647 UFY196647 UPU196647 UZQ196647 VJM196647 VTI196647 WDE196647 WNA196647 E262183 AO262183 KK262183 UG262183 AEC262183 ANY262183 AXU262183 BHQ262183 BRM262183 CBI262183 CLE262183 CVA262183 DEW262183 DOS262183 DYO262183 EIK262183 ESG262183 FCC262183 FLY262183 FVU262183 GFQ262183 GPM262183 GZI262183 HJE262183 HTA262183 ICW262183 IMS262183 IWO262183 JGK262183 JQG262183 KAC262183 KJY262183 KTU262183 LDQ262183 LNM262183 LXI262183 MHE262183 MRA262183 NAW262183 NKS262183 NUO262183 OEK262183 OOG262183 OYC262183 PHY262183 PRU262183 QBQ262183 QLM262183 QVI262183 RFE262183 RPA262183 RYW262183 SIS262183 SSO262183 TCK262183 TMG262183 TWC262183 UFY262183 UPU262183 UZQ262183 VJM262183 VTI262183 WDE262183 WNA262183 E327719 AO327719 KK327719 UG327719 AEC327719 ANY327719 AXU327719 BHQ327719 BRM327719 CBI327719 CLE327719 CVA327719 DEW327719 DOS327719 DYO327719 EIK327719 ESG327719 FCC327719 FLY327719 FVU327719 GFQ327719 GPM327719 GZI327719 HJE327719 HTA327719 ICW327719 IMS327719 IWO327719 JGK327719 JQG327719 KAC327719 KJY327719 KTU327719 LDQ327719 LNM327719 LXI327719 MHE327719 MRA327719 NAW327719 NKS327719 NUO327719 OEK327719 OOG327719 OYC327719 PHY327719 PRU327719 QBQ327719 QLM327719 QVI327719 RFE327719 RPA327719 RYW327719 SIS327719 SSO327719 TCK327719 TMG327719 TWC327719 UFY327719 UPU327719 UZQ327719 VJM327719 VTI327719 WDE327719 WNA327719 E393255 AO393255 KK393255 UG393255 AEC393255 ANY393255 AXU393255 BHQ393255 BRM393255 CBI393255 CLE393255 CVA393255 DEW393255 DOS393255 DYO393255 EIK393255 ESG393255 FCC393255 FLY393255 FVU393255 GFQ393255 GPM393255 GZI393255 HJE393255 HTA393255 ICW393255 IMS393255 IWO393255 JGK393255 JQG393255 KAC393255 KJY393255 KTU393255 LDQ393255 LNM393255 LXI393255 MHE393255 MRA393255 NAW393255 NKS393255 NUO393255 OEK393255 OOG393255 OYC393255 PHY393255 PRU393255 QBQ393255 QLM393255 QVI393255 RFE393255 RPA393255 RYW393255 SIS393255 SSO393255 TCK393255 TMG393255 TWC393255 UFY393255 UPU393255 UZQ393255 VJM393255 VTI393255 WDE393255 WNA393255 E458791 AO458791 KK458791 UG458791 AEC458791 ANY458791 AXU458791 BHQ458791 BRM458791 CBI458791 CLE458791 CVA458791 DEW458791 DOS458791 DYO458791 EIK458791 ESG458791 FCC458791 FLY458791 FVU458791 GFQ458791 GPM458791 GZI458791 HJE458791 HTA458791 ICW458791 IMS458791 IWO458791 JGK458791 JQG458791 KAC458791 KJY458791 KTU458791 LDQ458791 LNM458791 LXI458791 MHE458791 MRA458791 NAW458791 NKS458791 NUO458791 OEK458791 OOG458791 OYC458791 PHY458791 PRU458791 QBQ458791 QLM458791 QVI458791 RFE458791 RPA458791 RYW458791 SIS458791 SSO458791 TCK458791 TMG458791 TWC458791 UFY458791 UPU458791 UZQ458791 VJM458791 VTI458791 WDE458791 WNA458791 E524327 AO524327 KK524327 UG524327 AEC524327 ANY524327 AXU524327 BHQ524327 BRM524327 CBI524327 CLE524327 CVA524327 DEW524327 DOS524327 DYO524327 EIK524327 ESG524327 FCC524327 FLY524327 FVU524327 GFQ524327 GPM524327 GZI524327 HJE524327 HTA524327 ICW524327 IMS524327 IWO524327 JGK524327 JQG524327 KAC524327 KJY524327 KTU524327 LDQ524327 LNM524327 LXI524327 MHE524327 MRA524327 NAW524327 NKS524327 NUO524327 OEK524327 OOG524327 OYC524327 PHY524327 PRU524327 QBQ524327 QLM524327 QVI524327 RFE524327 RPA524327 RYW524327 SIS524327 SSO524327 TCK524327 TMG524327 TWC524327 UFY524327 UPU524327 UZQ524327 VJM524327 VTI524327 WDE524327 WNA524327 E589863 AO589863 KK589863 UG589863 AEC589863 ANY589863 AXU589863 BHQ589863 BRM589863 CBI589863 CLE589863 CVA589863 DEW589863 DOS589863 DYO589863 EIK589863 ESG589863 FCC589863 FLY589863 FVU589863 GFQ589863 GPM589863 GZI589863 HJE589863 HTA589863 ICW589863 IMS589863 IWO589863 JGK589863 JQG589863 KAC589863 KJY589863 KTU589863 LDQ589863 LNM589863 LXI589863 MHE589863 MRA589863 NAW589863 NKS589863 NUO589863 OEK589863 OOG589863 OYC589863 PHY589863 PRU589863 QBQ589863 QLM589863 QVI589863 RFE589863 RPA589863 RYW589863 SIS589863 SSO589863 TCK589863 TMG589863 TWC589863 UFY589863 UPU589863 UZQ589863 VJM589863 VTI589863 WDE589863 WNA589863 E655399 AO655399 KK655399 UG655399 AEC655399 ANY655399 AXU655399 BHQ655399 BRM655399 CBI655399 CLE655399 CVA655399 DEW655399 DOS655399 DYO655399 EIK655399 ESG655399 FCC655399 FLY655399 FVU655399 GFQ655399 GPM655399 GZI655399 HJE655399 HTA655399 ICW655399 IMS655399 IWO655399 JGK655399 JQG655399 KAC655399 KJY655399 KTU655399 LDQ655399 LNM655399 LXI655399 MHE655399 MRA655399 NAW655399 NKS655399 NUO655399 OEK655399 OOG655399 OYC655399 PHY655399 PRU655399 QBQ655399 QLM655399 QVI655399 RFE655399 RPA655399 RYW655399 SIS655399 SSO655399 TCK655399 TMG655399 TWC655399 UFY655399 UPU655399 UZQ655399 VJM655399 VTI655399 WDE655399 WNA655399 E720935 AO720935 KK720935 UG720935 AEC720935 ANY720935 AXU720935 BHQ720935 BRM720935 CBI720935 CLE720935 CVA720935 DEW720935 DOS720935 DYO720935 EIK720935 ESG720935 FCC720935 FLY720935 FVU720935 GFQ720935 GPM720935 GZI720935 HJE720935 HTA720935 ICW720935 IMS720935 IWO720935 JGK720935 JQG720935 KAC720935 KJY720935 KTU720935 LDQ720935 LNM720935 LXI720935 MHE720935 MRA720935 NAW720935 NKS720935 NUO720935 OEK720935 OOG720935 OYC720935 PHY720935 PRU720935 QBQ720935 QLM720935 QVI720935 RFE720935 RPA720935 RYW720935 SIS720935 SSO720935 TCK720935 TMG720935 TWC720935 UFY720935 UPU720935 UZQ720935 VJM720935 VTI720935 WDE720935 WNA720935 E786471 AO786471 KK786471 UG786471 AEC786471 ANY786471 AXU786471 BHQ786471 BRM786471 CBI786471 CLE786471 CVA786471 DEW786471 DOS786471 DYO786471 EIK786471 ESG786471 FCC786471 FLY786471 FVU786471 GFQ786471 GPM786471 GZI786471 HJE786471 HTA786471 ICW786471 IMS786471 IWO786471 JGK786471 JQG786471 KAC786471 KJY786471 KTU786471 LDQ786471 LNM786471 LXI786471 MHE786471 MRA786471 NAW786471 NKS786471 NUO786471 OEK786471 OOG786471 OYC786471 PHY786471 PRU786471 QBQ786471 QLM786471 QVI786471 RFE786471 RPA786471 RYW786471 SIS786471 SSO786471 TCK786471 TMG786471 TWC786471 UFY786471 UPU786471 UZQ786471 VJM786471 VTI786471 WDE786471 WNA786471 E852007 AO852007 KK852007 UG852007 AEC852007 ANY852007 AXU852007 BHQ852007 BRM852007 CBI852007 CLE852007 CVA852007 DEW852007 DOS852007 DYO852007 EIK852007 ESG852007 FCC852007 FLY852007 FVU852007 GFQ852007 GPM852007 GZI852007 HJE852007 HTA852007 ICW852007 IMS852007 IWO852007 JGK852007 JQG852007 KAC852007 KJY852007 KTU852007 LDQ852007 LNM852007 LXI852007 MHE852007 MRA852007 NAW852007 NKS852007 NUO852007 OEK852007 OOG852007 OYC852007 PHY852007 PRU852007 QBQ852007 QLM852007 QVI852007 RFE852007 RPA852007 RYW852007 SIS852007 SSO852007 TCK852007 TMG852007 TWC852007 UFY852007 UPU852007 UZQ852007 VJM852007 VTI852007 WDE852007 WNA852007 E917543 AO917543 KK917543 UG917543 AEC917543 ANY917543 AXU917543 BHQ917543 BRM917543 CBI917543 CLE917543 CVA917543 DEW917543 DOS917543 DYO917543 EIK917543 ESG917543 FCC917543 FLY917543 FVU917543 GFQ917543 GPM917543 GZI917543 HJE917543 HTA917543 ICW917543 IMS917543 IWO917543 JGK917543 JQG917543 KAC917543 KJY917543 KTU917543 LDQ917543 LNM917543 LXI917543 MHE917543 MRA917543 NAW917543 NKS917543 NUO917543 OEK917543 OOG917543 OYC917543 PHY917543 PRU917543 QBQ917543 QLM917543 QVI917543 RFE917543 RPA917543 RYW917543 SIS917543 SSO917543 TCK917543 TMG917543 TWC917543 UFY917543 UPU917543 UZQ917543 VJM917543 VTI917543 WDE917543 WNA917543 E983079 AO983079 KK983079 UG983079 AEC983079 ANY983079 AXU983079 BHQ983079 BRM983079 CBI983079 CLE983079 CVA983079 DEW983079 DOS983079 DYO983079 EIK983079 ESG983079 FCC983079 FLY983079 FVU983079 GFQ983079 GPM983079 GZI983079 HJE983079 HTA983079 ICW983079 IMS983079 IWO983079 JGK983079 JQG983079 KAC983079 KJY983079 KTU983079 LDQ983079 LNM983079 LXI983079 MHE983079 MRA983079 NAW983079 NKS983079 NUO983079 OEK983079 OOG983079 OYC983079 PHY983079 PRU983079 QBQ983079 QLM983079 QVI983079 RFE983079 RPA983079 RYW983079 SIS983079 SSO983079 TCK983079 TMG983079 TWC983079 UFY983079 UPU983079 UZQ983079 VJM983079 VTI983079 WDE983079 E41:F41"/>
    <dataValidation type="decimal" operator="greaterThanOrEqual" allowBlank="1" showInputMessage="1" showErrorMessage="1" errorTitle="Error" error="This figure cannot be negative. Please enter a positive unit value." sqref="WNA983082 AO42 KK42 UG42 AEC42 ANY42 AXU42 BHQ42 BRM42 CBI42 CLE42 CVA42 DEW42 DOS42 DYO42 EIK42 ESG42 FCC42 FLY42 FVU42 GFQ42 GPM42 GZI42 HJE42 HTA42 ICW42 IMS42 IWO42 JGK42 JQG42 KAC42 KJY42 KTU42 LDQ42 LNM42 LXI42 MHE42 MRA42 NAW42 NKS42 NUO42 OEK42 OOG42 OYC42 PHY42 PRU42 QBQ42 QLM42 QVI42 RFE42 RPA42 RYW42 SIS42 SSO42 TCK42 TMG42 TWC42 UFY42 UPU42 UZQ42 VJM42 VTI42 WDE42 WNA42 E65576 AO65576 KK65576 UG65576 AEC65576 ANY65576 AXU65576 BHQ65576 BRM65576 CBI65576 CLE65576 CVA65576 DEW65576 DOS65576 DYO65576 EIK65576 ESG65576 FCC65576 FLY65576 FVU65576 GFQ65576 GPM65576 GZI65576 HJE65576 HTA65576 ICW65576 IMS65576 IWO65576 JGK65576 JQG65576 KAC65576 KJY65576 KTU65576 LDQ65576 LNM65576 LXI65576 MHE65576 MRA65576 NAW65576 NKS65576 NUO65576 OEK65576 OOG65576 OYC65576 PHY65576 PRU65576 QBQ65576 QLM65576 QVI65576 RFE65576 RPA65576 RYW65576 SIS65576 SSO65576 TCK65576 TMG65576 TWC65576 UFY65576 UPU65576 UZQ65576 VJM65576 VTI65576 WDE65576 WNA65576 E131112 AO131112 KK131112 UG131112 AEC131112 ANY131112 AXU131112 BHQ131112 BRM131112 CBI131112 CLE131112 CVA131112 DEW131112 DOS131112 DYO131112 EIK131112 ESG131112 FCC131112 FLY131112 FVU131112 GFQ131112 GPM131112 GZI131112 HJE131112 HTA131112 ICW131112 IMS131112 IWO131112 JGK131112 JQG131112 KAC131112 KJY131112 KTU131112 LDQ131112 LNM131112 LXI131112 MHE131112 MRA131112 NAW131112 NKS131112 NUO131112 OEK131112 OOG131112 OYC131112 PHY131112 PRU131112 QBQ131112 QLM131112 QVI131112 RFE131112 RPA131112 RYW131112 SIS131112 SSO131112 TCK131112 TMG131112 TWC131112 UFY131112 UPU131112 UZQ131112 VJM131112 VTI131112 WDE131112 WNA131112 E196648 AO196648 KK196648 UG196648 AEC196648 ANY196648 AXU196648 BHQ196648 BRM196648 CBI196648 CLE196648 CVA196648 DEW196648 DOS196648 DYO196648 EIK196648 ESG196648 FCC196648 FLY196648 FVU196648 GFQ196648 GPM196648 GZI196648 HJE196648 HTA196648 ICW196648 IMS196648 IWO196648 JGK196648 JQG196648 KAC196648 KJY196648 KTU196648 LDQ196648 LNM196648 LXI196648 MHE196648 MRA196648 NAW196648 NKS196648 NUO196648 OEK196648 OOG196648 OYC196648 PHY196648 PRU196648 QBQ196648 QLM196648 QVI196648 RFE196648 RPA196648 RYW196648 SIS196648 SSO196648 TCK196648 TMG196648 TWC196648 UFY196648 UPU196648 UZQ196648 VJM196648 VTI196648 WDE196648 WNA196648 E262184 AO262184 KK262184 UG262184 AEC262184 ANY262184 AXU262184 BHQ262184 BRM262184 CBI262184 CLE262184 CVA262184 DEW262184 DOS262184 DYO262184 EIK262184 ESG262184 FCC262184 FLY262184 FVU262184 GFQ262184 GPM262184 GZI262184 HJE262184 HTA262184 ICW262184 IMS262184 IWO262184 JGK262184 JQG262184 KAC262184 KJY262184 KTU262184 LDQ262184 LNM262184 LXI262184 MHE262184 MRA262184 NAW262184 NKS262184 NUO262184 OEK262184 OOG262184 OYC262184 PHY262184 PRU262184 QBQ262184 QLM262184 QVI262184 RFE262184 RPA262184 RYW262184 SIS262184 SSO262184 TCK262184 TMG262184 TWC262184 UFY262184 UPU262184 UZQ262184 VJM262184 VTI262184 WDE262184 WNA262184 E327720 AO327720 KK327720 UG327720 AEC327720 ANY327720 AXU327720 BHQ327720 BRM327720 CBI327720 CLE327720 CVA327720 DEW327720 DOS327720 DYO327720 EIK327720 ESG327720 FCC327720 FLY327720 FVU327720 GFQ327720 GPM327720 GZI327720 HJE327720 HTA327720 ICW327720 IMS327720 IWO327720 JGK327720 JQG327720 KAC327720 KJY327720 KTU327720 LDQ327720 LNM327720 LXI327720 MHE327720 MRA327720 NAW327720 NKS327720 NUO327720 OEK327720 OOG327720 OYC327720 PHY327720 PRU327720 QBQ327720 QLM327720 QVI327720 RFE327720 RPA327720 RYW327720 SIS327720 SSO327720 TCK327720 TMG327720 TWC327720 UFY327720 UPU327720 UZQ327720 VJM327720 VTI327720 WDE327720 WNA327720 E393256 AO393256 KK393256 UG393256 AEC393256 ANY393256 AXU393256 BHQ393256 BRM393256 CBI393256 CLE393256 CVA393256 DEW393256 DOS393256 DYO393256 EIK393256 ESG393256 FCC393256 FLY393256 FVU393256 GFQ393256 GPM393256 GZI393256 HJE393256 HTA393256 ICW393256 IMS393256 IWO393256 JGK393256 JQG393256 KAC393256 KJY393256 KTU393256 LDQ393256 LNM393256 LXI393256 MHE393256 MRA393256 NAW393256 NKS393256 NUO393256 OEK393256 OOG393256 OYC393256 PHY393256 PRU393256 QBQ393256 QLM393256 QVI393256 RFE393256 RPA393256 RYW393256 SIS393256 SSO393256 TCK393256 TMG393256 TWC393256 UFY393256 UPU393256 UZQ393256 VJM393256 VTI393256 WDE393256 WNA393256 E458792 AO458792 KK458792 UG458792 AEC458792 ANY458792 AXU458792 BHQ458792 BRM458792 CBI458792 CLE458792 CVA458792 DEW458792 DOS458792 DYO458792 EIK458792 ESG458792 FCC458792 FLY458792 FVU458792 GFQ458792 GPM458792 GZI458792 HJE458792 HTA458792 ICW458792 IMS458792 IWO458792 JGK458792 JQG458792 KAC458792 KJY458792 KTU458792 LDQ458792 LNM458792 LXI458792 MHE458792 MRA458792 NAW458792 NKS458792 NUO458792 OEK458792 OOG458792 OYC458792 PHY458792 PRU458792 QBQ458792 QLM458792 QVI458792 RFE458792 RPA458792 RYW458792 SIS458792 SSO458792 TCK458792 TMG458792 TWC458792 UFY458792 UPU458792 UZQ458792 VJM458792 VTI458792 WDE458792 WNA458792 E524328 AO524328 KK524328 UG524328 AEC524328 ANY524328 AXU524328 BHQ524328 BRM524328 CBI524328 CLE524328 CVA524328 DEW524328 DOS524328 DYO524328 EIK524328 ESG524328 FCC524328 FLY524328 FVU524328 GFQ524328 GPM524328 GZI524328 HJE524328 HTA524328 ICW524328 IMS524328 IWO524328 JGK524328 JQG524328 KAC524328 KJY524328 KTU524328 LDQ524328 LNM524328 LXI524328 MHE524328 MRA524328 NAW524328 NKS524328 NUO524328 OEK524328 OOG524328 OYC524328 PHY524328 PRU524328 QBQ524328 QLM524328 QVI524328 RFE524328 RPA524328 RYW524328 SIS524328 SSO524328 TCK524328 TMG524328 TWC524328 UFY524328 UPU524328 UZQ524328 VJM524328 VTI524328 WDE524328 WNA524328 E589864 AO589864 KK589864 UG589864 AEC589864 ANY589864 AXU589864 BHQ589864 BRM589864 CBI589864 CLE589864 CVA589864 DEW589864 DOS589864 DYO589864 EIK589864 ESG589864 FCC589864 FLY589864 FVU589864 GFQ589864 GPM589864 GZI589864 HJE589864 HTA589864 ICW589864 IMS589864 IWO589864 JGK589864 JQG589864 KAC589864 KJY589864 KTU589864 LDQ589864 LNM589864 LXI589864 MHE589864 MRA589864 NAW589864 NKS589864 NUO589864 OEK589864 OOG589864 OYC589864 PHY589864 PRU589864 QBQ589864 QLM589864 QVI589864 RFE589864 RPA589864 RYW589864 SIS589864 SSO589864 TCK589864 TMG589864 TWC589864 UFY589864 UPU589864 UZQ589864 VJM589864 VTI589864 WDE589864 WNA589864 E655400 AO655400 KK655400 UG655400 AEC655400 ANY655400 AXU655400 BHQ655400 BRM655400 CBI655400 CLE655400 CVA655400 DEW655400 DOS655400 DYO655400 EIK655400 ESG655400 FCC655400 FLY655400 FVU655400 GFQ655400 GPM655400 GZI655400 HJE655400 HTA655400 ICW655400 IMS655400 IWO655400 JGK655400 JQG655400 KAC655400 KJY655400 KTU655400 LDQ655400 LNM655400 LXI655400 MHE655400 MRA655400 NAW655400 NKS655400 NUO655400 OEK655400 OOG655400 OYC655400 PHY655400 PRU655400 QBQ655400 QLM655400 QVI655400 RFE655400 RPA655400 RYW655400 SIS655400 SSO655400 TCK655400 TMG655400 TWC655400 UFY655400 UPU655400 UZQ655400 VJM655400 VTI655400 WDE655400 WNA655400 E720936 AO720936 KK720936 UG720936 AEC720936 ANY720936 AXU720936 BHQ720936 BRM720936 CBI720936 CLE720936 CVA720936 DEW720936 DOS720936 DYO720936 EIK720936 ESG720936 FCC720936 FLY720936 FVU720936 GFQ720936 GPM720936 GZI720936 HJE720936 HTA720936 ICW720936 IMS720936 IWO720936 JGK720936 JQG720936 KAC720936 KJY720936 KTU720936 LDQ720936 LNM720936 LXI720936 MHE720936 MRA720936 NAW720936 NKS720936 NUO720936 OEK720936 OOG720936 OYC720936 PHY720936 PRU720936 QBQ720936 QLM720936 QVI720936 RFE720936 RPA720936 RYW720936 SIS720936 SSO720936 TCK720936 TMG720936 TWC720936 UFY720936 UPU720936 UZQ720936 VJM720936 VTI720936 WDE720936 WNA720936 E786472 AO786472 KK786472 UG786472 AEC786472 ANY786472 AXU786472 BHQ786472 BRM786472 CBI786472 CLE786472 CVA786472 DEW786472 DOS786472 DYO786472 EIK786472 ESG786472 FCC786472 FLY786472 FVU786472 GFQ786472 GPM786472 GZI786472 HJE786472 HTA786472 ICW786472 IMS786472 IWO786472 JGK786472 JQG786472 KAC786472 KJY786472 KTU786472 LDQ786472 LNM786472 LXI786472 MHE786472 MRA786472 NAW786472 NKS786472 NUO786472 OEK786472 OOG786472 OYC786472 PHY786472 PRU786472 QBQ786472 QLM786472 QVI786472 RFE786472 RPA786472 RYW786472 SIS786472 SSO786472 TCK786472 TMG786472 TWC786472 UFY786472 UPU786472 UZQ786472 VJM786472 VTI786472 WDE786472 WNA786472 E852008 AO852008 KK852008 UG852008 AEC852008 ANY852008 AXU852008 BHQ852008 BRM852008 CBI852008 CLE852008 CVA852008 DEW852008 DOS852008 DYO852008 EIK852008 ESG852008 FCC852008 FLY852008 FVU852008 GFQ852008 GPM852008 GZI852008 HJE852008 HTA852008 ICW852008 IMS852008 IWO852008 JGK852008 JQG852008 KAC852008 KJY852008 KTU852008 LDQ852008 LNM852008 LXI852008 MHE852008 MRA852008 NAW852008 NKS852008 NUO852008 OEK852008 OOG852008 OYC852008 PHY852008 PRU852008 QBQ852008 QLM852008 QVI852008 RFE852008 RPA852008 RYW852008 SIS852008 SSO852008 TCK852008 TMG852008 TWC852008 UFY852008 UPU852008 UZQ852008 VJM852008 VTI852008 WDE852008 WNA852008 E917544 AO917544 KK917544 UG917544 AEC917544 ANY917544 AXU917544 BHQ917544 BRM917544 CBI917544 CLE917544 CVA917544 DEW917544 DOS917544 DYO917544 EIK917544 ESG917544 FCC917544 FLY917544 FVU917544 GFQ917544 GPM917544 GZI917544 HJE917544 HTA917544 ICW917544 IMS917544 IWO917544 JGK917544 JQG917544 KAC917544 KJY917544 KTU917544 LDQ917544 LNM917544 LXI917544 MHE917544 MRA917544 NAW917544 NKS917544 NUO917544 OEK917544 OOG917544 OYC917544 PHY917544 PRU917544 QBQ917544 QLM917544 QVI917544 RFE917544 RPA917544 RYW917544 SIS917544 SSO917544 TCK917544 TMG917544 TWC917544 UFY917544 UPU917544 UZQ917544 VJM917544 VTI917544 WDE917544 WNA917544 E983080 AO983080 KK983080 UG983080 AEC983080 ANY983080 AXU983080 BHQ983080 BRM983080 CBI983080 CLE983080 CVA983080 DEW983080 DOS983080 DYO983080 EIK983080 ESG983080 FCC983080 FLY983080 FVU983080 GFQ983080 GPM983080 GZI983080 HJE983080 HTA983080 ICW983080 IMS983080 IWO983080 JGK983080 JQG983080 KAC983080 KJY983080 KTU983080 LDQ983080 LNM983080 LXI983080 MHE983080 MRA983080 NAW983080 NKS983080 NUO983080 OEK983080 OOG983080 OYC983080 PHY983080 PRU983080 QBQ983080 QLM983080 QVI983080 RFE983080 RPA983080 RYW983080 SIS983080 SSO983080 TCK983080 TMG983080 TWC983080 UFY983080 UPU983080 UZQ983080 VJM983080 VTI983080 WDE983080 WNA983080 WDE983082 AO44:AO45 KK44:KK45 UG44:UG45 AEC44:AEC45 ANY44:ANY45 AXU44:AXU45 BHQ44:BHQ45 BRM44:BRM45 CBI44:CBI45 CLE44:CLE45 CVA44:CVA45 DEW44:DEW45 DOS44:DOS45 DYO44:DYO45 EIK44:EIK45 ESG44:ESG45 FCC44:FCC45 FLY44:FLY45 FVU44:FVU45 GFQ44:GFQ45 GPM44:GPM45 GZI44:GZI45 HJE44:HJE45 HTA44:HTA45 ICW44:ICW45 IMS44:IMS45 IWO44:IWO45 JGK44:JGK45 JQG44:JQG45 KAC44:KAC45 KJY44:KJY45 KTU44:KTU45 LDQ44:LDQ45 LNM44:LNM45 LXI44:LXI45 MHE44:MHE45 MRA44:MRA45 NAW44:NAW45 NKS44:NKS45 NUO44:NUO45 OEK44:OEK45 OOG44:OOG45 OYC44:OYC45 PHY44:PHY45 PRU44:PRU45 QBQ44:QBQ45 QLM44:QLM45 QVI44:QVI45 RFE44:RFE45 RPA44:RPA45 RYW44:RYW45 SIS44:SIS45 SSO44:SSO45 TCK44:TCK45 TMG44:TMG45 TWC44:TWC45 UFY44:UFY45 UPU44:UPU45 UZQ44:UZQ45 VJM44:VJM45 VTI44:VTI45 WDE44:WDE45 WNA44:WNA45 E65578 AO65578 KK65578 UG65578 AEC65578 ANY65578 AXU65578 BHQ65578 BRM65578 CBI65578 CLE65578 CVA65578 DEW65578 DOS65578 DYO65578 EIK65578 ESG65578 FCC65578 FLY65578 FVU65578 GFQ65578 GPM65578 GZI65578 HJE65578 HTA65578 ICW65578 IMS65578 IWO65578 JGK65578 JQG65578 KAC65578 KJY65578 KTU65578 LDQ65578 LNM65578 LXI65578 MHE65578 MRA65578 NAW65578 NKS65578 NUO65578 OEK65578 OOG65578 OYC65578 PHY65578 PRU65578 QBQ65578 QLM65578 QVI65578 RFE65578 RPA65578 RYW65578 SIS65578 SSO65578 TCK65578 TMG65578 TWC65578 UFY65578 UPU65578 UZQ65578 VJM65578 VTI65578 WDE65578 WNA65578 E131114 AO131114 KK131114 UG131114 AEC131114 ANY131114 AXU131114 BHQ131114 BRM131114 CBI131114 CLE131114 CVA131114 DEW131114 DOS131114 DYO131114 EIK131114 ESG131114 FCC131114 FLY131114 FVU131114 GFQ131114 GPM131114 GZI131114 HJE131114 HTA131114 ICW131114 IMS131114 IWO131114 JGK131114 JQG131114 KAC131114 KJY131114 KTU131114 LDQ131114 LNM131114 LXI131114 MHE131114 MRA131114 NAW131114 NKS131114 NUO131114 OEK131114 OOG131114 OYC131114 PHY131114 PRU131114 QBQ131114 QLM131114 QVI131114 RFE131114 RPA131114 RYW131114 SIS131114 SSO131114 TCK131114 TMG131114 TWC131114 UFY131114 UPU131114 UZQ131114 VJM131114 VTI131114 WDE131114 WNA131114 E196650 AO196650 KK196650 UG196650 AEC196650 ANY196650 AXU196650 BHQ196650 BRM196650 CBI196650 CLE196650 CVA196650 DEW196650 DOS196650 DYO196650 EIK196650 ESG196650 FCC196650 FLY196650 FVU196650 GFQ196650 GPM196650 GZI196650 HJE196650 HTA196650 ICW196650 IMS196650 IWO196650 JGK196650 JQG196650 KAC196650 KJY196650 KTU196650 LDQ196650 LNM196650 LXI196650 MHE196650 MRA196650 NAW196650 NKS196650 NUO196650 OEK196650 OOG196650 OYC196650 PHY196650 PRU196650 QBQ196650 QLM196650 QVI196650 RFE196650 RPA196650 RYW196650 SIS196650 SSO196650 TCK196650 TMG196650 TWC196650 UFY196650 UPU196650 UZQ196650 VJM196650 VTI196650 WDE196650 WNA196650 E262186 AO262186 KK262186 UG262186 AEC262186 ANY262186 AXU262186 BHQ262186 BRM262186 CBI262186 CLE262186 CVA262186 DEW262186 DOS262186 DYO262186 EIK262186 ESG262186 FCC262186 FLY262186 FVU262186 GFQ262186 GPM262186 GZI262186 HJE262186 HTA262186 ICW262186 IMS262186 IWO262186 JGK262186 JQG262186 KAC262186 KJY262186 KTU262186 LDQ262186 LNM262186 LXI262186 MHE262186 MRA262186 NAW262186 NKS262186 NUO262186 OEK262186 OOG262186 OYC262186 PHY262186 PRU262186 QBQ262186 QLM262186 QVI262186 RFE262186 RPA262186 RYW262186 SIS262186 SSO262186 TCK262186 TMG262186 TWC262186 UFY262186 UPU262186 UZQ262186 VJM262186 VTI262186 WDE262186 WNA262186 E327722 AO327722 KK327722 UG327722 AEC327722 ANY327722 AXU327722 BHQ327722 BRM327722 CBI327722 CLE327722 CVA327722 DEW327722 DOS327722 DYO327722 EIK327722 ESG327722 FCC327722 FLY327722 FVU327722 GFQ327722 GPM327722 GZI327722 HJE327722 HTA327722 ICW327722 IMS327722 IWO327722 JGK327722 JQG327722 KAC327722 KJY327722 KTU327722 LDQ327722 LNM327722 LXI327722 MHE327722 MRA327722 NAW327722 NKS327722 NUO327722 OEK327722 OOG327722 OYC327722 PHY327722 PRU327722 QBQ327722 QLM327722 QVI327722 RFE327722 RPA327722 RYW327722 SIS327722 SSO327722 TCK327722 TMG327722 TWC327722 UFY327722 UPU327722 UZQ327722 VJM327722 VTI327722 WDE327722 WNA327722 E393258 AO393258 KK393258 UG393258 AEC393258 ANY393258 AXU393258 BHQ393258 BRM393258 CBI393258 CLE393258 CVA393258 DEW393258 DOS393258 DYO393258 EIK393258 ESG393258 FCC393258 FLY393258 FVU393258 GFQ393258 GPM393258 GZI393258 HJE393258 HTA393258 ICW393258 IMS393258 IWO393258 JGK393258 JQG393258 KAC393258 KJY393258 KTU393258 LDQ393258 LNM393258 LXI393258 MHE393258 MRA393258 NAW393258 NKS393258 NUO393258 OEK393258 OOG393258 OYC393258 PHY393258 PRU393258 QBQ393258 QLM393258 QVI393258 RFE393258 RPA393258 RYW393258 SIS393258 SSO393258 TCK393258 TMG393258 TWC393258 UFY393258 UPU393258 UZQ393258 VJM393258 VTI393258 WDE393258 WNA393258 E458794 AO458794 KK458794 UG458794 AEC458794 ANY458794 AXU458794 BHQ458794 BRM458794 CBI458794 CLE458794 CVA458794 DEW458794 DOS458794 DYO458794 EIK458794 ESG458794 FCC458794 FLY458794 FVU458794 GFQ458794 GPM458794 GZI458794 HJE458794 HTA458794 ICW458794 IMS458794 IWO458794 JGK458794 JQG458794 KAC458794 KJY458794 KTU458794 LDQ458794 LNM458794 LXI458794 MHE458794 MRA458794 NAW458794 NKS458794 NUO458794 OEK458794 OOG458794 OYC458794 PHY458794 PRU458794 QBQ458794 QLM458794 QVI458794 RFE458794 RPA458794 RYW458794 SIS458794 SSO458794 TCK458794 TMG458794 TWC458794 UFY458794 UPU458794 UZQ458794 VJM458794 VTI458794 WDE458794 WNA458794 E524330 AO524330 KK524330 UG524330 AEC524330 ANY524330 AXU524330 BHQ524330 BRM524330 CBI524330 CLE524330 CVA524330 DEW524330 DOS524330 DYO524330 EIK524330 ESG524330 FCC524330 FLY524330 FVU524330 GFQ524330 GPM524330 GZI524330 HJE524330 HTA524330 ICW524330 IMS524330 IWO524330 JGK524330 JQG524330 KAC524330 KJY524330 KTU524330 LDQ524330 LNM524330 LXI524330 MHE524330 MRA524330 NAW524330 NKS524330 NUO524330 OEK524330 OOG524330 OYC524330 PHY524330 PRU524330 QBQ524330 QLM524330 QVI524330 RFE524330 RPA524330 RYW524330 SIS524330 SSO524330 TCK524330 TMG524330 TWC524330 UFY524330 UPU524330 UZQ524330 VJM524330 VTI524330 WDE524330 WNA524330 E589866 AO589866 KK589866 UG589866 AEC589866 ANY589866 AXU589866 BHQ589866 BRM589866 CBI589866 CLE589866 CVA589866 DEW589866 DOS589866 DYO589866 EIK589866 ESG589866 FCC589866 FLY589866 FVU589866 GFQ589866 GPM589866 GZI589866 HJE589866 HTA589866 ICW589866 IMS589866 IWO589866 JGK589866 JQG589866 KAC589866 KJY589866 KTU589866 LDQ589866 LNM589866 LXI589866 MHE589866 MRA589866 NAW589866 NKS589866 NUO589866 OEK589866 OOG589866 OYC589866 PHY589866 PRU589866 QBQ589866 QLM589866 QVI589866 RFE589866 RPA589866 RYW589866 SIS589866 SSO589866 TCK589866 TMG589866 TWC589866 UFY589866 UPU589866 UZQ589866 VJM589866 VTI589866 WDE589866 WNA589866 E655402 AO655402 KK655402 UG655402 AEC655402 ANY655402 AXU655402 BHQ655402 BRM655402 CBI655402 CLE655402 CVA655402 DEW655402 DOS655402 DYO655402 EIK655402 ESG655402 FCC655402 FLY655402 FVU655402 GFQ655402 GPM655402 GZI655402 HJE655402 HTA655402 ICW655402 IMS655402 IWO655402 JGK655402 JQG655402 KAC655402 KJY655402 KTU655402 LDQ655402 LNM655402 LXI655402 MHE655402 MRA655402 NAW655402 NKS655402 NUO655402 OEK655402 OOG655402 OYC655402 PHY655402 PRU655402 QBQ655402 QLM655402 QVI655402 RFE655402 RPA655402 RYW655402 SIS655402 SSO655402 TCK655402 TMG655402 TWC655402 UFY655402 UPU655402 UZQ655402 VJM655402 VTI655402 WDE655402 WNA655402 E720938 AO720938 KK720938 UG720938 AEC720938 ANY720938 AXU720938 BHQ720938 BRM720938 CBI720938 CLE720938 CVA720938 DEW720938 DOS720938 DYO720938 EIK720938 ESG720938 FCC720938 FLY720938 FVU720938 GFQ720938 GPM720938 GZI720938 HJE720938 HTA720938 ICW720938 IMS720938 IWO720938 JGK720938 JQG720938 KAC720938 KJY720938 KTU720938 LDQ720938 LNM720938 LXI720938 MHE720938 MRA720938 NAW720938 NKS720938 NUO720938 OEK720938 OOG720938 OYC720938 PHY720938 PRU720938 QBQ720938 QLM720938 QVI720938 RFE720938 RPA720938 RYW720938 SIS720938 SSO720938 TCK720938 TMG720938 TWC720938 UFY720938 UPU720938 UZQ720938 VJM720938 VTI720938 WDE720938 WNA720938 E786474 AO786474 KK786474 UG786474 AEC786474 ANY786474 AXU786474 BHQ786474 BRM786474 CBI786474 CLE786474 CVA786474 DEW786474 DOS786474 DYO786474 EIK786474 ESG786474 FCC786474 FLY786474 FVU786474 GFQ786474 GPM786474 GZI786474 HJE786474 HTA786474 ICW786474 IMS786474 IWO786474 JGK786474 JQG786474 KAC786474 KJY786474 KTU786474 LDQ786474 LNM786474 LXI786474 MHE786474 MRA786474 NAW786474 NKS786474 NUO786474 OEK786474 OOG786474 OYC786474 PHY786474 PRU786474 QBQ786474 QLM786474 QVI786474 RFE786474 RPA786474 RYW786474 SIS786474 SSO786474 TCK786474 TMG786474 TWC786474 UFY786474 UPU786474 UZQ786474 VJM786474 VTI786474 WDE786474 WNA786474 E852010 AO852010 KK852010 UG852010 AEC852010 ANY852010 AXU852010 BHQ852010 BRM852010 CBI852010 CLE852010 CVA852010 DEW852010 DOS852010 DYO852010 EIK852010 ESG852010 FCC852010 FLY852010 FVU852010 GFQ852010 GPM852010 GZI852010 HJE852010 HTA852010 ICW852010 IMS852010 IWO852010 JGK852010 JQG852010 KAC852010 KJY852010 KTU852010 LDQ852010 LNM852010 LXI852010 MHE852010 MRA852010 NAW852010 NKS852010 NUO852010 OEK852010 OOG852010 OYC852010 PHY852010 PRU852010 QBQ852010 QLM852010 QVI852010 RFE852010 RPA852010 RYW852010 SIS852010 SSO852010 TCK852010 TMG852010 TWC852010 UFY852010 UPU852010 UZQ852010 VJM852010 VTI852010 WDE852010 WNA852010 E917546 AO917546 KK917546 UG917546 AEC917546 ANY917546 AXU917546 BHQ917546 BRM917546 CBI917546 CLE917546 CVA917546 DEW917546 DOS917546 DYO917546 EIK917546 ESG917546 FCC917546 FLY917546 FVU917546 GFQ917546 GPM917546 GZI917546 HJE917546 HTA917546 ICW917546 IMS917546 IWO917546 JGK917546 JQG917546 KAC917546 KJY917546 KTU917546 LDQ917546 LNM917546 LXI917546 MHE917546 MRA917546 NAW917546 NKS917546 NUO917546 OEK917546 OOG917546 OYC917546 PHY917546 PRU917546 QBQ917546 QLM917546 QVI917546 RFE917546 RPA917546 RYW917546 SIS917546 SSO917546 TCK917546 TMG917546 TWC917546 UFY917546 UPU917546 UZQ917546 VJM917546 VTI917546 WDE917546 WNA917546 E983082 AO983082 KK983082 UG983082 AEC983082 ANY983082 AXU983082 BHQ983082 BRM983082 CBI983082 CLE983082 CVA983082 DEW983082 DOS983082 DYO983082 EIK983082 ESG983082 FCC983082 FLY983082 FVU983082 GFQ983082 GPM983082 GZI983082 HJE983082 HTA983082 ICW983082 IMS983082 IWO983082 JGK983082 JQG983082 KAC983082 KJY983082 KTU983082 LDQ983082 LNM983082 LXI983082 MHE983082 MRA983082 NAW983082 NKS983082 NUO983082 OEK983082 OOG983082 OYC983082 PHY983082 PRU983082 QBQ983082 QLM983082 QVI983082 RFE983082 RPA983082 RYW983082 SIS983082 SSO983082 TCK983082 TMG983082 TWC983082 UFY983082 UPU983082 UZQ983082 VJM983082 VTI983082">
      <formula1>0</formula1>
    </dataValidation>
    <dataValidation type="decimal" operator="greaterThanOrEqual" allowBlank="1" showInputMessage="1" showErrorMessage="1" errorTitle="Error" error="This figure cannot be negative. Please provide a positive lump sum" sqref="AO52:AO53 AQ52 KM52 UI52 AEE52 AOA52 AXW52 BHS52 BRO52 CBK52 CLG52 CVC52 DEY52 DOU52 DYQ52 EIM52 ESI52 FCE52 FMA52 FVW52 GFS52 GPO52 GZK52 HJG52 HTC52 ICY52 IMU52 IWQ52 JGM52 JQI52 KAE52 KKA52 KTW52 LDS52 LNO52 LXK52 MHG52 MRC52 NAY52 NKU52 NUQ52 OEM52 OOI52 OYE52 PIA52 PRW52 QBS52 QLO52 QVK52 RFG52 RPC52 RYY52 SIU52 SSQ52 TCM52 TMI52 TWE52 UGA52 UPW52 UZS52 VJO52 VTK52 WDG52 WNC52 G65585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G131121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G196657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G262193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G327729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G393265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G458801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G524337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G589873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G655409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G720945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G786481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G852017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G917553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G983089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 SIU983089 SSQ983089 TCM983089 TMI983089 TWE983089 UGA983089 UPW983089 UZS983089 VJO983089 VTK983089 WDG983089 WNC983089 WDE983089:WDE983091 AP53:AR53 KL53:KN53 UH53:UJ53 AED53:AEF53 ANZ53:AOB53 AXV53:AXX53 BHR53:BHT53 BRN53:BRP53 CBJ53:CBL53 CLF53:CLH53 CVB53:CVD53 DEX53:DEZ53 DOT53:DOV53 DYP53:DYR53 EIL53:EIN53 ESH53:ESJ53 FCD53:FCF53 FLZ53:FMB53 FVV53:FVX53 GFR53:GFT53 GPN53:GPP53 GZJ53:GZL53 HJF53:HJH53 HTB53:HTD53 ICX53:ICZ53 IMT53:IMV53 IWP53:IWR53 JGL53:JGN53 JQH53:JQJ53 KAD53:KAF53 KJZ53:KKB53 KTV53:KTX53 LDR53:LDT53 LNN53:LNP53 LXJ53:LXL53 MHF53:MHH53 MRB53:MRD53 NAX53:NAZ53 NKT53:NKV53 NUP53:NUR53 OEL53:OEN53 OOH53:OOJ53 OYD53:OYF53 PHZ53:PIB53 PRV53:PRX53 QBR53:QBT53 QLN53:QLP53 QVJ53:QVL53 RFF53:RFH53 RPB53:RPD53 RYX53:RYZ53 SIT53:SIV53 SSP53:SSR53 TCL53:TCN53 TMH53:TMJ53 TWD53:TWF53 UFZ53:UGB53 UPV53:UPX53 UZR53:UZT53 VJN53:VJP53 VTJ53:VTL53 WDF53:WDH53 WNB53:WND53 F65587:H65587 AP65587:AR65587 KL65587:KN65587 UH65587:UJ65587 AED65587:AEF65587 ANZ65587:AOB65587 AXV65587:AXX65587 BHR65587:BHT65587 BRN65587:BRP65587 CBJ65587:CBL65587 CLF65587:CLH65587 CVB65587:CVD65587 DEX65587:DEZ65587 DOT65587:DOV65587 DYP65587:DYR65587 EIL65587:EIN65587 ESH65587:ESJ65587 FCD65587:FCF65587 FLZ65587:FMB65587 FVV65587:FVX65587 GFR65587:GFT65587 GPN65587:GPP65587 GZJ65587:GZL65587 HJF65587:HJH65587 HTB65587:HTD65587 ICX65587:ICZ65587 IMT65587:IMV65587 IWP65587:IWR65587 JGL65587:JGN65587 JQH65587:JQJ65587 KAD65587:KAF65587 KJZ65587:KKB65587 KTV65587:KTX65587 LDR65587:LDT65587 LNN65587:LNP65587 LXJ65587:LXL65587 MHF65587:MHH65587 MRB65587:MRD65587 NAX65587:NAZ65587 NKT65587:NKV65587 NUP65587:NUR65587 OEL65587:OEN65587 OOH65587:OOJ65587 OYD65587:OYF65587 PHZ65587:PIB65587 PRV65587:PRX65587 QBR65587:QBT65587 QLN65587:QLP65587 QVJ65587:QVL65587 RFF65587:RFH65587 RPB65587:RPD65587 RYX65587:RYZ65587 SIT65587:SIV65587 SSP65587:SSR65587 TCL65587:TCN65587 TMH65587:TMJ65587 TWD65587:TWF65587 UFZ65587:UGB65587 UPV65587:UPX65587 UZR65587:UZT65587 VJN65587:VJP65587 VTJ65587:VTL65587 WDF65587:WDH65587 WNB65587:WND65587 F131123:H131123 AP131123:AR131123 KL131123:KN131123 UH131123:UJ131123 AED131123:AEF131123 ANZ131123:AOB131123 AXV131123:AXX131123 BHR131123:BHT131123 BRN131123:BRP131123 CBJ131123:CBL131123 CLF131123:CLH131123 CVB131123:CVD131123 DEX131123:DEZ131123 DOT131123:DOV131123 DYP131123:DYR131123 EIL131123:EIN131123 ESH131123:ESJ131123 FCD131123:FCF131123 FLZ131123:FMB131123 FVV131123:FVX131123 GFR131123:GFT131123 GPN131123:GPP131123 GZJ131123:GZL131123 HJF131123:HJH131123 HTB131123:HTD131123 ICX131123:ICZ131123 IMT131123:IMV131123 IWP131123:IWR131123 JGL131123:JGN131123 JQH131123:JQJ131123 KAD131123:KAF131123 KJZ131123:KKB131123 KTV131123:KTX131123 LDR131123:LDT131123 LNN131123:LNP131123 LXJ131123:LXL131123 MHF131123:MHH131123 MRB131123:MRD131123 NAX131123:NAZ131123 NKT131123:NKV131123 NUP131123:NUR131123 OEL131123:OEN131123 OOH131123:OOJ131123 OYD131123:OYF131123 PHZ131123:PIB131123 PRV131123:PRX131123 QBR131123:QBT131123 QLN131123:QLP131123 QVJ131123:QVL131123 RFF131123:RFH131123 RPB131123:RPD131123 RYX131123:RYZ131123 SIT131123:SIV131123 SSP131123:SSR131123 TCL131123:TCN131123 TMH131123:TMJ131123 TWD131123:TWF131123 UFZ131123:UGB131123 UPV131123:UPX131123 UZR131123:UZT131123 VJN131123:VJP131123 VTJ131123:VTL131123 WDF131123:WDH131123 WNB131123:WND131123 F196659:H196659 AP196659:AR196659 KL196659:KN196659 UH196659:UJ196659 AED196659:AEF196659 ANZ196659:AOB196659 AXV196659:AXX196659 BHR196659:BHT196659 BRN196659:BRP196659 CBJ196659:CBL196659 CLF196659:CLH196659 CVB196659:CVD196659 DEX196659:DEZ196659 DOT196659:DOV196659 DYP196659:DYR196659 EIL196659:EIN196659 ESH196659:ESJ196659 FCD196659:FCF196659 FLZ196659:FMB196659 FVV196659:FVX196659 GFR196659:GFT196659 GPN196659:GPP196659 GZJ196659:GZL196659 HJF196659:HJH196659 HTB196659:HTD196659 ICX196659:ICZ196659 IMT196659:IMV196659 IWP196659:IWR196659 JGL196659:JGN196659 JQH196659:JQJ196659 KAD196659:KAF196659 KJZ196659:KKB196659 KTV196659:KTX196659 LDR196659:LDT196659 LNN196659:LNP196659 LXJ196659:LXL196659 MHF196659:MHH196659 MRB196659:MRD196659 NAX196659:NAZ196659 NKT196659:NKV196659 NUP196659:NUR196659 OEL196659:OEN196659 OOH196659:OOJ196659 OYD196659:OYF196659 PHZ196659:PIB196659 PRV196659:PRX196659 QBR196659:QBT196659 QLN196659:QLP196659 QVJ196659:QVL196659 RFF196659:RFH196659 RPB196659:RPD196659 RYX196659:RYZ196659 SIT196659:SIV196659 SSP196659:SSR196659 TCL196659:TCN196659 TMH196659:TMJ196659 TWD196659:TWF196659 UFZ196659:UGB196659 UPV196659:UPX196659 UZR196659:UZT196659 VJN196659:VJP196659 VTJ196659:VTL196659 WDF196659:WDH196659 WNB196659:WND196659 F262195:H262195 AP262195:AR262195 KL262195:KN262195 UH262195:UJ262195 AED262195:AEF262195 ANZ262195:AOB262195 AXV262195:AXX262195 BHR262195:BHT262195 BRN262195:BRP262195 CBJ262195:CBL262195 CLF262195:CLH262195 CVB262195:CVD262195 DEX262195:DEZ262195 DOT262195:DOV262195 DYP262195:DYR262195 EIL262195:EIN262195 ESH262195:ESJ262195 FCD262195:FCF262195 FLZ262195:FMB262195 FVV262195:FVX262195 GFR262195:GFT262195 GPN262195:GPP262195 GZJ262195:GZL262195 HJF262195:HJH262195 HTB262195:HTD262195 ICX262195:ICZ262195 IMT262195:IMV262195 IWP262195:IWR262195 JGL262195:JGN262195 JQH262195:JQJ262195 KAD262195:KAF262195 KJZ262195:KKB262195 KTV262195:KTX262195 LDR262195:LDT262195 LNN262195:LNP262195 LXJ262195:LXL262195 MHF262195:MHH262195 MRB262195:MRD262195 NAX262195:NAZ262195 NKT262195:NKV262195 NUP262195:NUR262195 OEL262195:OEN262195 OOH262195:OOJ262195 OYD262195:OYF262195 PHZ262195:PIB262195 PRV262195:PRX262195 QBR262195:QBT262195 QLN262195:QLP262195 QVJ262195:QVL262195 RFF262195:RFH262195 RPB262195:RPD262195 RYX262195:RYZ262195 SIT262195:SIV262195 SSP262195:SSR262195 TCL262195:TCN262195 TMH262195:TMJ262195 TWD262195:TWF262195 UFZ262195:UGB262195 UPV262195:UPX262195 UZR262195:UZT262195 VJN262195:VJP262195 VTJ262195:VTL262195 WDF262195:WDH262195 WNB262195:WND262195 F327731:H327731 AP327731:AR327731 KL327731:KN327731 UH327731:UJ327731 AED327731:AEF327731 ANZ327731:AOB327731 AXV327731:AXX327731 BHR327731:BHT327731 BRN327731:BRP327731 CBJ327731:CBL327731 CLF327731:CLH327731 CVB327731:CVD327731 DEX327731:DEZ327731 DOT327731:DOV327731 DYP327731:DYR327731 EIL327731:EIN327731 ESH327731:ESJ327731 FCD327731:FCF327731 FLZ327731:FMB327731 FVV327731:FVX327731 GFR327731:GFT327731 GPN327731:GPP327731 GZJ327731:GZL327731 HJF327731:HJH327731 HTB327731:HTD327731 ICX327731:ICZ327731 IMT327731:IMV327731 IWP327731:IWR327731 JGL327731:JGN327731 JQH327731:JQJ327731 KAD327731:KAF327731 KJZ327731:KKB327731 KTV327731:KTX327731 LDR327731:LDT327731 LNN327731:LNP327731 LXJ327731:LXL327731 MHF327731:MHH327731 MRB327731:MRD327731 NAX327731:NAZ327731 NKT327731:NKV327731 NUP327731:NUR327731 OEL327731:OEN327731 OOH327731:OOJ327731 OYD327731:OYF327731 PHZ327731:PIB327731 PRV327731:PRX327731 QBR327731:QBT327731 QLN327731:QLP327731 QVJ327731:QVL327731 RFF327731:RFH327731 RPB327731:RPD327731 RYX327731:RYZ327731 SIT327731:SIV327731 SSP327731:SSR327731 TCL327731:TCN327731 TMH327731:TMJ327731 TWD327731:TWF327731 UFZ327731:UGB327731 UPV327731:UPX327731 UZR327731:UZT327731 VJN327731:VJP327731 VTJ327731:VTL327731 WDF327731:WDH327731 WNB327731:WND327731 F393267:H393267 AP393267:AR393267 KL393267:KN393267 UH393267:UJ393267 AED393267:AEF393267 ANZ393267:AOB393267 AXV393267:AXX393267 BHR393267:BHT393267 BRN393267:BRP393267 CBJ393267:CBL393267 CLF393267:CLH393267 CVB393267:CVD393267 DEX393267:DEZ393267 DOT393267:DOV393267 DYP393267:DYR393267 EIL393267:EIN393267 ESH393267:ESJ393267 FCD393267:FCF393267 FLZ393267:FMB393267 FVV393267:FVX393267 GFR393267:GFT393267 GPN393267:GPP393267 GZJ393267:GZL393267 HJF393267:HJH393267 HTB393267:HTD393267 ICX393267:ICZ393267 IMT393267:IMV393267 IWP393267:IWR393267 JGL393267:JGN393267 JQH393267:JQJ393267 KAD393267:KAF393267 KJZ393267:KKB393267 KTV393267:KTX393267 LDR393267:LDT393267 LNN393267:LNP393267 LXJ393267:LXL393267 MHF393267:MHH393267 MRB393267:MRD393267 NAX393267:NAZ393267 NKT393267:NKV393267 NUP393267:NUR393267 OEL393267:OEN393267 OOH393267:OOJ393267 OYD393267:OYF393267 PHZ393267:PIB393267 PRV393267:PRX393267 QBR393267:QBT393267 QLN393267:QLP393267 QVJ393267:QVL393267 RFF393267:RFH393267 RPB393267:RPD393267 RYX393267:RYZ393267 SIT393267:SIV393267 SSP393267:SSR393267 TCL393267:TCN393267 TMH393267:TMJ393267 TWD393267:TWF393267 UFZ393267:UGB393267 UPV393267:UPX393267 UZR393267:UZT393267 VJN393267:VJP393267 VTJ393267:VTL393267 WDF393267:WDH393267 WNB393267:WND393267 F458803:H458803 AP458803:AR458803 KL458803:KN458803 UH458803:UJ458803 AED458803:AEF458803 ANZ458803:AOB458803 AXV458803:AXX458803 BHR458803:BHT458803 BRN458803:BRP458803 CBJ458803:CBL458803 CLF458803:CLH458803 CVB458803:CVD458803 DEX458803:DEZ458803 DOT458803:DOV458803 DYP458803:DYR458803 EIL458803:EIN458803 ESH458803:ESJ458803 FCD458803:FCF458803 FLZ458803:FMB458803 FVV458803:FVX458803 GFR458803:GFT458803 GPN458803:GPP458803 GZJ458803:GZL458803 HJF458803:HJH458803 HTB458803:HTD458803 ICX458803:ICZ458803 IMT458803:IMV458803 IWP458803:IWR458803 JGL458803:JGN458803 JQH458803:JQJ458803 KAD458803:KAF458803 KJZ458803:KKB458803 KTV458803:KTX458803 LDR458803:LDT458803 LNN458803:LNP458803 LXJ458803:LXL458803 MHF458803:MHH458803 MRB458803:MRD458803 NAX458803:NAZ458803 NKT458803:NKV458803 NUP458803:NUR458803 OEL458803:OEN458803 OOH458803:OOJ458803 OYD458803:OYF458803 PHZ458803:PIB458803 PRV458803:PRX458803 QBR458803:QBT458803 QLN458803:QLP458803 QVJ458803:QVL458803 RFF458803:RFH458803 RPB458803:RPD458803 RYX458803:RYZ458803 SIT458803:SIV458803 SSP458803:SSR458803 TCL458803:TCN458803 TMH458803:TMJ458803 TWD458803:TWF458803 UFZ458803:UGB458803 UPV458803:UPX458803 UZR458803:UZT458803 VJN458803:VJP458803 VTJ458803:VTL458803 WDF458803:WDH458803 WNB458803:WND458803 F524339:H524339 AP524339:AR524339 KL524339:KN524339 UH524339:UJ524339 AED524339:AEF524339 ANZ524339:AOB524339 AXV524339:AXX524339 BHR524339:BHT524339 BRN524339:BRP524339 CBJ524339:CBL524339 CLF524339:CLH524339 CVB524339:CVD524339 DEX524339:DEZ524339 DOT524339:DOV524339 DYP524339:DYR524339 EIL524339:EIN524339 ESH524339:ESJ524339 FCD524339:FCF524339 FLZ524339:FMB524339 FVV524339:FVX524339 GFR524339:GFT524339 GPN524339:GPP524339 GZJ524339:GZL524339 HJF524339:HJH524339 HTB524339:HTD524339 ICX524339:ICZ524339 IMT524339:IMV524339 IWP524339:IWR524339 JGL524339:JGN524339 JQH524339:JQJ524339 KAD524339:KAF524339 KJZ524339:KKB524339 KTV524339:KTX524339 LDR524339:LDT524339 LNN524339:LNP524339 LXJ524339:LXL524339 MHF524339:MHH524339 MRB524339:MRD524339 NAX524339:NAZ524339 NKT524339:NKV524339 NUP524339:NUR524339 OEL524339:OEN524339 OOH524339:OOJ524339 OYD524339:OYF524339 PHZ524339:PIB524339 PRV524339:PRX524339 QBR524339:QBT524339 QLN524339:QLP524339 QVJ524339:QVL524339 RFF524339:RFH524339 RPB524339:RPD524339 RYX524339:RYZ524339 SIT524339:SIV524339 SSP524339:SSR524339 TCL524339:TCN524339 TMH524339:TMJ524339 TWD524339:TWF524339 UFZ524339:UGB524339 UPV524339:UPX524339 UZR524339:UZT524339 VJN524339:VJP524339 VTJ524339:VTL524339 WDF524339:WDH524339 WNB524339:WND524339 F589875:H589875 AP589875:AR589875 KL589875:KN589875 UH589875:UJ589875 AED589875:AEF589875 ANZ589875:AOB589875 AXV589875:AXX589875 BHR589875:BHT589875 BRN589875:BRP589875 CBJ589875:CBL589875 CLF589875:CLH589875 CVB589875:CVD589875 DEX589875:DEZ589875 DOT589875:DOV589875 DYP589875:DYR589875 EIL589875:EIN589875 ESH589875:ESJ589875 FCD589875:FCF589875 FLZ589875:FMB589875 FVV589875:FVX589875 GFR589875:GFT589875 GPN589875:GPP589875 GZJ589875:GZL589875 HJF589875:HJH589875 HTB589875:HTD589875 ICX589875:ICZ589875 IMT589875:IMV589875 IWP589875:IWR589875 JGL589875:JGN589875 JQH589875:JQJ589875 KAD589875:KAF589875 KJZ589875:KKB589875 KTV589875:KTX589875 LDR589875:LDT589875 LNN589875:LNP589875 LXJ589875:LXL589875 MHF589875:MHH589875 MRB589875:MRD589875 NAX589875:NAZ589875 NKT589875:NKV589875 NUP589875:NUR589875 OEL589875:OEN589875 OOH589875:OOJ589875 OYD589875:OYF589875 PHZ589875:PIB589875 PRV589875:PRX589875 QBR589875:QBT589875 QLN589875:QLP589875 QVJ589875:QVL589875 RFF589875:RFH589875 RPB589875:RPD589875 RYX589875:RYZ589875 SIT589875:SIV589875 SSP589875:SSR589875 TCL589875:TCN589875 TMH589875:TMJ589875 TWD589875:TWF589875 UFZ589875:UGB589875 UPV589875:UPX589875 UZR589875:UZT589875 VJN589875:VJP589875 VTJ589875:VTL589875 WDF589875:WDH589875 WNB589875:WND589875 F655411:H655411 AP655411:AR655411 KL655411:KN655411 UH655411:UJ655411 AED655411:AEF655411 ANZ655411:AOB655411 AXV655411:AXX655411 BHR655411:BHT655411 BRN655411:BRP655411 CBJ655411:CBL655411 CLF655411:CLH655411 CVB655411:CVD655411 DEX655411:DEZ655411 DOT655411:DOV655411 DYP655411:DYR655411 EIL655411:EIN655411 ESH655411:ESJ655411 FCD655411:FCF655411 FLZ655411:FMB655411 FVV655411:FVX655411 GFR655411:GFT655411 GPN655411:GPP655411 GZJ655411:GZL655411 HJF655411:HJH655411 HTB655411:HTD655411 ICX655411:ICZ655411 IMT655411:IMV655411 IWP655411:IWR655411 JGL655411:JGN655411 JQH655411:JQJ655411 KAD655411:KAF655411 KJZ655411:KKB655411 KTV655411:KTX655411 LDR655411:LDT655411 LNN655411:LNP655411 LXJ655411:LXL655411 MHF655411:MHH655411 MRB655411:MRD655411 NAX655411:NAZ655411 NKT655411:NKV655411 NUP655411:NUR655411 OEL655411:OEN655411 OOH655411:OOJ655411 OYD655411:OYF655411 PHZ655411:PIB655411 PRV655411:PRX655411 QBR655411:QBT655411 QLN655411:QLP655411 QVJ655411:QVL655411 RFF655411:RFH655411 RPB655411:RPD655411 RYX655411:RYZ655411 SIT655411:SIV655411 SSP655411:SSR655411 TCL655411:TCN655411 TMH655411:TMJ655411 TWD655411:TWF655411 UFZ655411:UGB655411 UPV655411:UPX655411 UZR655411:UZT655411 VJN655411:VJP655411 VTJ655411:VTL655411 WDF655411:WDH655411 WNB655411:WND655411 F720947:H720947 AP720947:AR720947 KL720947:KN720947 UH720947:UJ720947 AED720947:AEF720947 ANZ720947:AOB720947 AXV720947:AXX720947 BHR720947:BHT720947 BRN720947:BRP720947 CBJ720947:CBL720947 CLF720947:CLH720947 CVB720947:CVD720947 DEX720947:DEZ720947 DOT720947:DOV720947 DYP720947:DYR720947 EIL720947:EIN720947 ESH720947:ESJ720947 FCD720947:FCF720947 FLZ720947:FMB720947 FVV720947:FVX720947 GFR720947:GFT720947 GPN720947:GPP720947 GZJ720947:GZL720947 HJF720947:HJH720947 HTB720947:HTD720947 ICX720947:ICZ720947 IMT720947:IMV720947 IWP720947:IWR720947 JGL720947:JGN720947 JQH720947:JQJ720947 KAD720947:KAF720947 KJZ720947:KKB720947 KTV720947:KTX720947 LDR720947:LDT720947 LNN720947:LNP720947 LXJ720947:LXL720947 MHF720947:MHH720947 MRB720947:MRD720947 NAX720947:NAZ720947 NKT720947:NKV720947 NUP720947:NUR720947 OEL720947:OEN720947 OOH720947:OOJ720947 OYD720947:OYF720947 PHZ720947:PIB720947 PRV720947:PRX720947 QBR720947:QBT720947 QLN720947:QLP720947 QVJ720947:QVL720947 RFF720947:RFH720947 RPB720947:RPD720947 RYX720947:RYZ720947 SIT720947:SIV720947 SSP720947:SSR720947 TCL720947:TCN720947 TMH720947:TMJ720947 TWD720947:TWF720947 UFZ720947:UGB720947 UPV720947:UPX720947 UZR720947:UZT720947 VJN720947:VJP720947 VTJ720947:VTL720947 WDF720947:WDH720947 WNB720947:WND720947 F786483:H786483 AP786483:AR786483 KL786483:KN786483 UH786483:UJ786483 AED786483:AEF786483 ANZ786483:AOB786483 AXV786483:AXX786483 BHR786483:BHT786483 BRN786483:BRP786483 CBJ786483:CBL786483 CLF786483:CLH786483 CVB786483:CVD786483 DEX786483:DEZ786483 DOT786483:DOV786483 DYP786483:DYR786483 EIL786483:EIN786483 ESH786483:ESJ786483 FCD786483:FCF786483 FLZ786483:FMB786483 FVV786483:FVX786483 GFR786483:GFT786483 GPN786483:GPP786483 GZJ786483:GZL786483 HJF786483:HJH786483 HTB786483:HTD786483 ICX786483:ICZ786483 IMT786483:IMV786483 IWP786483:IWR786483 JGL786483:JGN786483 JQH786483:JQJ786483 KAD786483:KAF786483 KJZ786483:KKB786483 KTV786483:KTX786483 LDR786483:LDT786483 LNN786483:LNP786483 LXJ786483:LXL786483 MHF786483:MHH786483 MRB786483:MRD786483 NAX786483:NAZ786483 NKT786483:NKV786483 NUP786483:NUR786483 OEL786483:OEN786483 OOH786483:OOJ786483 OYD786483:OYF786483 PHZ786483:PIB786483 PRV786483:PRX786483 QBR786483:QBT786483 QLN786483:QLP786483 QVJ786483:QVL786483 RFF786483:RFH786483 RPB786483:RPD786483 RYX786483:RYZ786483 SIT786483:SIV786483 SSP786483:SSR786483 TCL786483:TCN786483 TMH786483:TMJ786483 TWD786483:TWF786483 UFZ786483:UGB786483 UPV786483:UPX786483 UZR786483:UZT786483 VJN786483:VJP786483 VTJ786483:VTL786483 WDF786483:WDH786483 WNB786483:WND786483 F852019:H852019 AP852019:AR852019 KL852019:KN852019 UH852019:UJ852019 AED852019:AEF852019 ANZ852019:AOB852019 AXV852019:AXX852019 BHR852019:BHT852019 BRN852019:BRP852019 CBJ852019:CBL852019 CLF852019:CLH852019 CVB852019:CVD852019 DEX852019:DEZ852019 DOT852019:DOV852019 DYP852019:DYR852019 EIL852019:EIN852019 ESH852019:ESJ852019 FCD852019:FCF852019 FLZ852019:FMB852019 FVV852019:FVX852019 GFR852019:GFT852019 GPN852019:GPP852019 GZJ852019:GZL852019 HJF852019:HJH852019 HTB852019:HTD852019 ICX852019:ICZ852019 IMT852019:IMV852019 IWP852019:IWR852019 JGL852019:JGN852019 JQH852019:JQJ852019 KAD852019:KAF852019 KJZ852019:KKB852019 KTV852019:KTX852019 LDR852019:LDT852019 LNN852019:LNP852019 LXJ852019:LXL852019 MHF852019:MHH852019 MRB852019:MRD852019 NAX852019:NAZ852019 NKT852019:NKV852019 NUP852019:NUR852019 OEL852019:OEN852019 OOH852019:OOJ852019 OYD852019:OYF852019 PHZ852019:PIB852019 PRV852019:PRX852019 QBR852019:QBT852019 QLN852019:QLP852019 QVJ852019:QVL852019 RFF852019:RFH852019 RPB852019:RPD852019 RYX852019:RYZ852019 SIT852019:SIV852019 SSP852019:SSR852019 TCL852019:TCN852019 TMH852019:TMJ852019 TWD852019:TWF852019 UFZ852019:UGB852019 UPV852019:UPX852019 UZR852019:UZT852019 VJN852019:VJP852019 VTJ852019:VTL852019 WDF852019:WDH852019 WNB852019:WND852019 F917555:H917555 AP917555:AR917555 KL917555:KN917555 UH917555:UJ917555 AED917555:AEF917555 ANZ917555:AOB917555 AXV917555:AXX917555 BHR917555:BHT917555 BRN917555:BRP917555 CBJ917555:CBL917555 CLF917555:CLH917555 CVB917555:CVD917555 DEX917555:DEZ917555 DOT917555:DOV917555 DYP917555:DYR917555 EIL917555:EIN917555 ESH917555:ESJ917555 FCD917555:FCF917555 FLZ917555:FMB917555 FVV917555:FVX917555 GFR917555:GFT917555 GPN917555:GPP917555 GZJ917555:GZL917555 HJF917555:HJH917555 HTB917555:HTD917555 ICX917555:ICZ917555 IMT917555:IMV917555 IWP917555:IWR917555 JGL917555:JGN917555 JQH917555:JQJ917555 KAD917555:KAF917555 KJZ917555:KKB917555 KTV917555:KTX917555 LDR917555:LDT917555 LNN917555:LNP917555 LXJ917555:LXL917555 MHF917555:MHH917555 MRB917555:MRD917555 NAX917555:NAZ917555 NKT917555:NKV917555 NUP917555:NUR917555 OEL917555:OEN917555 OOH917555:OOJ917555 OYD917555:OYF917555 PHZ917555:PIB917555 PRV917555:PRX917555 QBR917555:QBT917555 QLN917555:QLP917555 QVJ917555:QVL917555 RFF917555:RFH917555 RPB917555:RPD917555 RYX917555:RYZ917555 SIT917555:SIV917555 SSP917555:SSR917555 TCL917555:TCN917555 TMH917555:TMJ917555 TWD917555:TWF917555 UFZ917555:UGB917555 UPV917555:UPX917555 UZR917555:UZT917555 VJN917555:VJP917555 VTJ917555:VTL917555 WDF917555:WDH917555 WNB917555:WND917555 F983091:H983091 AP983091:AR983091 KL983091:KN983091 UH983091:UJ983091 AED983091:AEF983091 ANZ983091:AOB983091 AXV983091:AXX983091 BHR983091:BHT983091 BRN983091:BRP983091 CBJ983091:CBL983091 CLF983091:CLH983091 CVB983091:CVD983091 DEX983091:DEZ983091 DOT983091:DOV983091 DYP983091:DYR983091 EIL983091:EIN983091 ESH983091:ESJ983091 FCD983091:FCF983091 FLZ983091:FMB983091 FVV983091:FVX983091 GFR983091:GFT983091 GPN983091:GPP983091 GZJ983091:GZL983091 HJF983091:HJH983091 HTB983091:HTD983091 ICX983091:ICZ983091 IMT983091:IMV983091 IWP983091:IWR983091 JGL983091:JGN983091 JQH983091:JQJ983091 KAD983091:KAF983091 KJZ983091:KKB983091 KTV983091:KTX983091 LDR983091:LDT983091 LNN983091:LNP983091 LXJ983091:LXL983091 MHF983091:MHH983091 MRB983091:MRD983091 NAX983091:NAZ983091 NKT983091:NKV983091 NUP983091:NUR983091 OEL983091:OEN983091 OOH983091:OOJ983091 OYD983091:OYF983091 PHZ983091:PIB983091 PRV983091:PRX983091 QBR983091:QBT983091 QLN983091:QLP983091 QVJ983091:QVL983091 RFF983091:RFH983091 RPB983091:RPD983091 RYX983091:RYZ983091 SIT983091:SIV983091 SSP983091:SSR983091 TCL983091:TCN983091 TMH983091:TMJ983091 TWD983091:TWF983091 UFZ983091:UGB983091 UPV983091:UPX983091 UZR983091:UZT983091 VJN983091:VJP983091 VTJ983091:VTL983091 WDF983091:WDH983091 WNB983091:WND983091 WNA983089:WNA983091 E65585:E65587 AO65585:AO65587 KK65585:KK65587 UG65585:UG65587 AEC65585:AEC65587 ANY65585:ANY65587 AXU65585:AXU65587 BHQ65585:BHQ65587 BRM65585:BRM65587 CBI65585:CBI65587 CLE65585:CLE65587 CVA65585:CVA65587 DEW65585:DEW65587 DOS65585:DOS65587 DYO65585:DYO65587 EIK65585:EIK65587 ESG65585:ESG65587 FCC65585:FCC65587 FLY65585:FLY65587 FVU65585:FVU65587 GFQ65585:GFQ65587 GPM65585:GPM65587 GZI65585:GZI65587 HJE65585:HJE65587 HTA65585:HTA65587 ICW65585:ICW65587 IMS65585:IMS65587 IWO65585:IWO65587 JGK65585:JGK65587 JQG65585:JQG65587 KAC65585:KAC65587 KJY65585:KJY65587 KTU65585:KTU65587 LDQ65585:LDQ65587 LNM65585:LNM65587 LXI65585:LXI65587 MHE65585:MHE65587 MRA65585:MRA65587 NAW65585:NAW65587 NKS65585:NKS65587 NUO65585:NUO65587 OEK65585:OEK65587 OOG65585:OOG65587 OYC65585:OYC65587 PHY65585:PHY65587 PRU65585:PRU65587 QBQ65585:QBQ65587 QLM65585:QLM65587 QVI65585:QVI65587 RFE65585:RFE65587 RPA65585:RPA65587 RYW65585:RYW65587 SIS65585:SIS65587 SSO65585:SSO65587 TCK65585:TCK65587 TMG65585:TMG65587 TWC65585:TWC65587 UFY65585:UFY65587 UPU65585:UPU65587 UZQ65585:UZQ65587 VJM65585:VJM65587 VTI65585:VTI65587 WDE65585:WDE65587 WNA65585:WNA65587 E131121:E131123 AO131121:AO131123 KK131121:KK131123 UG131121:UG131123 AEC131121:AEC131123 ANY131121:ANY131123 AXU131121:AXU131123 BHQ131121:BHQ131123 BRM131121:BRM131123 CBI131121:CBI131123 CLE131121:CLE131123 CVA131121:CVA131123 DEW131121:DEW131123 DOS131121:DOS131123 DYO131121:DYO131123 EIK131121:EIK131123 ESG131121:ESG131123 FCC131121:FCC131123 FLY131121:FLY131123 FVU131121:FVU131123 GFQ131121:GFQ131123 GPM131121:GPM131123 GZI131121:GZI131123 HJE131121:HJE131123 HTA131121:HTA131123 ICW131121:ICW131123 IMS131121:IMS131123 IWO131121:IWO131123 JGK131121:JGK131123 JQG131121:JQG131123 KAC131121:KAC131123 KJY131121:KJY131123 KTU131121:KTU131123 LDQ131121:LDQ131123 LNM131121:LNM131123 LXI131121:LXI131123 MHE131121:MHE131123 MRA131121:MRA131123 NAW131121:NAW131123 NKS131121:NKS131123 NUO131121:NUO131123 OEK131121:OEK131123 OOG131121:OOG131123 OYC131121:OYC131123 PHY131121:PHY131123 PRU131121:PRU131123 QBQ131121:QBQ131123 QLM131121:QLM131123 QVI131121:QVI131123 RFE131121:RFE131123 RPA131121:RPA131123 RYW131121:RYW131123 SIS131121:SIS131123 SSO131121:SSO131123 TCK131121:TCK131123 TMG131121:TMG131123 TWC131121:TWC131123 UFY131121:UFY131123 UPU131121:UPU131123 UZQ131121:UZQ131123 VJM131121:VJM131123 VTI131121:VTI131123 WDE131121:WDE131123 WNA131121:WNA131123 E196657:E196659 AO196657:AO196659 KK196657:KK196659 UG196657:UG196659 AEC196657:AEC196659 ANY196657:ANY196659 AXU196657:AXU196659 BHQ196657:BHQ196659 BRM196657:BRM196659 CBI196657:CBI196659 CLE196657:CLE196659 CVA196657:CVA196659 DEW196657:DEW196659 DOS196657:DOS196659 DYO196657:DYO196659 EIK196657:EIK196659 ESG196657:ESG196659 FCC196657:FCC196659 FLY196657:FLY196659 FVU196657:FVU196659 GFQ196657:GFQ196659 GPM196657:GPM196659 GZI196657:GZI196659 HJE196657:HJE196659 HTA196657:HTA196659 ICW196657:ICW196659 IMS196657:IMS196659 IWO196657:IWO196659 JGK196657:JGK196659 JQG196657:JQG196659 KAC196657:KAC196659 KJY196657:KJY196659 KTU196657:KTU196659 LDQ196657:LDQ196659 LNM196657:LNM196659 LXI196657:LXI196659 MHE196657:MHE196659 MRA196657:MRA196659 NAW196657:NAW196659 NKS196657:NKS196659 NUO196657:NUO196659 OEK196657:OEK196659 OOG196657:OOG196659 OYC196657:OYC196659 PHY196657:PHY196659 PRU196657:PRU196659 QBQ196657:QBQ196659 QLM196657:QLM196659 QVI196657:QVI196659 RFE196657:RFE196659 RPA196657:RPA196659 RYW196657:RYW196659 SIS196657:SIS196659 SSO196657:SSO196659 TCK196657:TCK196659 TMG196657:TMG196659 TWC196657:TWC196659 UFY196657:UFY196659 UPU196657:UPU196659 UZQ196657:UZQ196659 VJM196657:VJM196659 VTI196657:VTI196659 WDE196657:WDE196659 WNA196657:WNA196659 E262193:E262195 AO262193:AO262195 KK262193:KK262195 UG262193:UG262195 AEC262193:AEC262195 ANY262193:ANY262195 AXU262193:AXU262195 BHQ262193:BHQ262195 BRM262193:BRM262195 CBI262193:CBI262195 CLE262193:CLE262195 CVA262193:CVA262195 DEW262193:DEW262195 DOS262193:DOS262195 DYO262193:DYO262195 EIK262193:EIK262195 ESG262193:ESG262195 FCC262193:FCC262195 FLY262193:FLY262195 FVU262193:FVU262195 GFQ262193:GFQ262195 GPM262193:GPM262195 GZI262193:GZI262195 HJE262193:HJE262195 HTA262193:HTA262195 ICW262193:ICW262195 IMS262193:IMS262195 IWO262193:IWO262195 JGK262193:JGK262195 JQG262193:JQG262195 KAC262193:KAC262195 KJY262193:KJY262195 KTU262193:KTU262195 LDQ262193:LDQ262195 LNM262193:LNM262195 LXI262193:LXI262195 MHE262193:MHE262195 MRA262193:MRA262195 NAW262193:NAW262195 NKS262193:NKS262195 NUO262193:NUO262195 OEK262193:OEK262195 OOG262193:OOG262195 OYC262193:OYC262195 PHY262193:PHY262195 PRU262193:PRU262195 QBQ262193:QBQ262195 QLM262193:QLM262195 QVI262193:QVI262195 RFE262193:RFE262195 RPA262193:RPA262195 RYW262193:RYW262195 SIS262193:SIS262195 SSO262193:SSO262195 TCK262193:TCK262195 TMG262193:TMG262195 TWC262193:TWC262195 UFY262193:UFY262195 UPU262193:UPU262195 UZQ262193:UZQ262195 VJM262193:VJM262195 VTI262193:VTI262195 WDE262193:WDE262195 WNA262193:WNA262195 E327729:E327731 AO327729:AO327731 KK327729:KK327731 UG327729:UG327731 AEC327729:AEC327731 ANY327729:ANY327731 AXU327729:AXU327731 BHQ327729:BHQ327731 BRM327729:BRM327731 CBI327729:CBI327731 CLE327729:CLE327731 CVA327729:CVA327731 DEW327729:DEW327731 DOS327729:DOS327731 DYO327729:DYO327731 EIK327729:EIK327731 ESG327729:ESG327731 FCC327729:FCC327731 FLY327729:FLY327731 FVU327729:FVU327731 GFQ327729:GFQ327731 GPM327729:GPM327731 GZI327729:GZI327731 HJE327729:HJE327731 HTA327729:HTA327731 ICW327729:ICW327731 IMS327729:IMS327731 IWO327729:IWO327731 JGK327729:JGK327731 JQG327729:JQG327731 KAC327729:KAC327731 KJY327729:KJY327731 KTU327729:KTU327731 LDQ327729:LDQ327731 LNM327729:LNM327731 LXI327729:LXI327731 MHE327729:MHE327731 MRA327729:MRA327731 NAW327729:NAW327731 NKS327729:NKS327731 NUO327729:NUO327731 OEK327729:OEK327731 OOG327729:OOG327731 OYC327729:OYC327731 PHY327729:PHY327731 PRU327729:PRU327731 QBQ327729:QBQ327731 QLM327729:QLM327731 QVI327729:QVI327731 RFE327729:RFE327731 RPA327729:RPA327731 RYW327729:RYW327731 SIS327729:SIS327731 SSO327729:SSO327731 TCK327729:TCK327731 TMG327729:TMG327731 TWC327729:TWC327731 UFY327729:UFY327731 UPU327729:UPU327731 UZQ327729:UZQ327731 VJM327729:VJM327731 VTI327729:VTI327731 WDE327729:WDE327731 WNA327729:WNA327731 E393265:E393267 AO393265:AO393267 KK393265:KK393267 UG393265:UG393267 AEC393265:AEC393267 ANY393265:ANY393267 AXU393265:AXU393267 BHQ393265:BHQ393267 BRM393265:BRM393267 CBI393265:CBI393267 CLE393265:CLE393267 CVA393265:CVA393267 DEW393265:DEW393267 DOS393265:DOS393267 DYO393265:DYO393267 EIK393265:EIK393267 ESG393265:ESG393267 FCC393265:FCC393267 FLY393265:FLY393267 FVU393265:FVU393267 GFQ393265:GFQ393267 GPM393265:GPM393267 GZI393265:GZI393267 HJE393265:HJE393267 HTA393265:HTA393267 ICW393265:ICW393267 IMS393265:IMS393267 IWO393265:IWO393267 JGK393265:JGK393267 JQG393265:JQG393267 KAC393265:KAC393267 KJY393265:KJY393267 KTU393265:KTU393267 LDQ393265:LDQ393267 LNM393265:LNM393267 LXI393265:LXI393267 MHE393265:MHE393267 MRA393265:MRA393267 NAW393265:NAW393267 NKS393265:NKS393267 NUO393265:NUO393267 OEK393265:OEK393267 OOG393265:OOG393267 OYC393265:OYC393267 PHY393265:PHY393267 PRU393265:PRU393267 QBQ393265:QBQ393267 QLM393265:QLM393267 QVI393265:QVI393267 RFE393265:RFE393267 RPA393265:RPA393267 RYW393265:RYW393267 SIS393265:SIS393267 SSO393265:SSO393267 TCK393265:TCK393267 TMG393265:TMG393267 TWC393265:TWC393267 UFY393265:UFY393267 UPU393265:UPU393267 UZQ393265:UZQ393267 VJM393265:VJM393267 VTI393265:VTI393267 WDE393265:WDE393267 WNA393265:WNA393267 E458801:E458803 AO458801:AO458803 KK458801:KK458803 UG458801:UG458803 AEC458801:AEC458803 ANY458801:ANY458803 AXU458801:AXU458803 BHQ458801:BHQ458803 BRM458801:BRM458803 CBI458801:CBI458803 CLE458801:CLE458803 CVA458801:CVA458803 DEW458801:DEW458803 DOS458801:DOS458803 DYO458801:DYO458803 EIK458801:EIK458803 ESG458801:ESG458803 FCC458801:FCC458803 FLY458801:FLY458803 FVU458801:FVU458803 GFQ458801:GFQ458803 GPM458801:GPM458803 GZI458801:GZI458803 HJE458801:HJE458803 HTA458801:HTA458803 ICW458801:ICW458803 IMS458801:IMS458803 IWO458801:IWO458803 JGK458801:JGK458803 JQG458801:JQG458803 KAC458801:KAC458803 KJY458801:KJY458803 KTU458801:KTU458803 LDQ458801:LDQ458803 LNM458801:LNM458803 LXI458801:LXI458803 MHE458801:MHE458803 MRA458801:MRA458803 NAW458801:NAW458803 NKS458801:NKS458803 NUO458801:NUO458803 OEK458801:OEK458803 OOG458801:OOG458803 OYC458801:OYC458803 PHY458801:PHY458803 PRU458801:PRU458803 QBQ458801:QBQ458803 QLM458801:QLM458803 QVI458801:QVI458803 RFE458801:RFE458803 RPA458801:RPA458803 RYW458801:RYW458803 SIS458801:SIS458803 SSO458801:SSO458803 TCK458801:TCK458803 TMG458801:TMG458803 TWC458801:TWC458803 UFY458801:UFY458803 UPU458801:UPU458803 UZQ458801:UZQ458803 VJM458801:VJM458803 VTI458801:VTI458803 WDE458801:WDE458803 WNA458801:WNA458803 E524337:E524339 AO524337:AO524339 KK524337:KK524339 UG524337:UG524339 AEC524337:AEC524339 ANY524337:ANY524339 AXU524337:AXU524339 BHQ524337:BHQ524339 BRM524337:BRM524339 CBI524337:CBI524339 CLE524337:CLE524339 CVA524337:CVA524339 DEW524337:DEW524339 DOS524337:DOS524339 DYO524337:DYO524339 EIK524337:EIK524339 ESG524337:ESG524339 FCC524337:FCC524339 FLY524337:FLY524339 FVU524337:FVU524339 GFQ524337:GFQ524339 GPM524337:GPM524339 GZI524337:GZI524339 HJE524337:HJE524339 HTA524337:HTA524339 ICW524337:ICW524339 IMS524337:IMS524339 IWO524337:IWO524339 JGK524337:JGK524339 JQG524337:JQG524339 KAC524337:KAC524339 KJY524337:KJY524339 KTU524337:KTU524339 LDQ524337:LDQ524339 LNM524337:LNM524339 LXI524337:LXI524339 MHE524337:MHE524339 MRA524337:MRA524339 NAW524337:NAW524339 NKS524337:NKS524339 NUO524337:NUO524339 OEK524337:OEK524339 OOG524337:OOG524339 OYC524337:OYC524339 PHY524337:PHY524339 PRU524337:PRU524339 QBQ524337:QBQ524339 QLM524337:QLM524339 QVI524337:QVI524339 RFE524337:RFE524339 RPA524337:RPA524339 RYW524337:RYW524339 SIS524337:SIS524339 SSO524337:SSO524339 TCK524337:TCK524339 TMG524337:TMG524339 TWC524337:TWC524339 UFY524337:UFY524339 UPU524337:UPU524339 UZQ524337:UZQ524339 VJM524337:VJM524339 VTI524337:VTI524339 WDE524337:WDE524339 WNA524337:WNA524339 E589873:E589875 AO589873:AO589875 KK589873:KK589875 UG589873:UG589875 AEC589873:AEC589875 ANY589873:ANY589875 AXU589873:AXU589875 BHQ589873:BHQ589875 BRM589873:BRM589875 CBI589873:CBI589875 CLE589873:CLE589875 CVA589873:CVA589875 DEW589873:DEW589875 DOS589873:DOS589875 DYO589873:DYO589875 EIK589873:EIK589875 ESG589873:ESG589875 FCC589873:FCC589875 FLY589873:FLY589875 FVU589873:FVU589875 GFQ589873:GFQ589875 GPM589873:GPM589875 GZI589873:GZI589875 HJE589873:HJE589875 HTA589873:HTA589875 ICW589873:ICW589875 IMS589873:IMS589875 IWO589873:IWO589875 JGK589873:JGK589875 JQG589873:JQG589875 KAC589873:KAC589875 KJY589873:KJY589875 KTU589873:KTU589875 LDQ589873:LDQ589875 LNM589873:LNM589875 LXI589873:LXI589875 MHE589873:MHE589875 MRA589873:MRA589875 NAW589873:NAW589875 NKS589873:NKS589875 NUO589873:NUO589875 OEK589873:OEK589875 OOG589873:OOG589875 OYC589873:OYC589875 PHY589873:PHY589875 PRU589873:PRU589875 QBQ589873:QBQ589875 QLM589873:QLM589875 QVI589873:QVI589875 RFE589873:RFE589875 RPA589873:RPA589875 RYW589873:RYW589875 SIS589873:SIS589875 SSO589873:SSO589875 TCK589873:TCK589875 TMG589873:TMG589875 TWC589873:TWC589875 UFY589873:UFY589875 UPU589873:UPU589875 UZQ589873:UZQ589875 VJM589873:VJM589875 VTI589873:VTI589875 WDE589873:WDE589875 WNA589873:WNA589875 E655409:E655411 AO655409:AO655411 KK655409:KK655411 UG655409:UG655411 AEC655409:AEC655411 ANY655409:ANY655411 AXU655409:AXU655411 BHQ655409:BHQ655411 BRM655409:BRM655411 CBI655409:CBI655411 CLE655409:CLE655411 CVA655409:CVA655411 DEW655409:DEW655411 DOS655409:DOS655411 DYO655409:DYO655411 EIK655409:EIK655411 ESG655409:ESG655411 FCC655409:FCC655411 FLY655409:FLY655411 FVU655409:FVU655411 GFQ655409:GFQ655411 GPM655409:GPM655411 GZI655409:GZI655411 HJE655409:HJE655411 HTA655409:HTA655411 ICW655409:ICW655411 IMS655409:IMS655411 IWO655409:IWO655411 JGK655409:JGK655411 JQG655409:JQG655411 KAC655409:KAC655411 KJY655409:KJY655411 KTU655409:KTU655411 LDQ655409:LDQ655411 LNM655409:LNM655411 LXI655409:LXI655411 MHE655409:MHE655411 MRA655409:MRA655411 NAW655409:NAW655411 NKS655409:NKS655411 NUO655409:NUO655411 OEK655409:OEK655411 OOG655409:OOG655411 OYC655409:OYC655411 PHY655409:PHY655411 PRU655409:PRU655411 QBQ655409:QBQ655411 QLM655409:QLM655411 QVI655409:QVI655411 RFE655409:RFE655411 RPA655409:RPA655411 RYW655409:RYW655411 SIS655409:SIS655411 SSO655409:SSO655411 TCK655409:TCK655411 TMG655409:TMG655411 TWC655409:TWC655411 UFY655409:UFY655411 UPU655409:UPU655411 UZQ655409:UZQ655411 VJM655409:VJM655411 VTI655409:VTI655411 WDE655409:WDE655411 WNA655409:WNA655411 E720945:E720947 AO720945:AO720947 KK720945:KK720947 UG720945:UG720947 AEC720945:AEC720947 ANY720945:ANY720947 AXU720945:AXU720947 BHQ720945:BHQ720947 BRM720945:BRM720947 CBI720945:CBI720947 CLE720945:CLE720947 CVA720945:CVA720947 DEW720945:DEW720947 DOS720945:DOS720947 DYO720945:DYO720947 EIK720945:EIK720947 ESG720945:ESG720947 FCC720945:FCC720947 FLY720945:FLY720947 FVU720945:FVU720947 GFQ720945:GFQ720947 GPM720945:GPM720947 GZI720945:GZI720947 HJE720945:HJE720947 HTA720945:HTA720947 ICW720945:ICW720947 IMS720945:IMS720947 IWO720945:IWO720947 JGK720945:JGK720947 JQG720945:JQG720947 KAC720945:KAC720947 KJY720945:KJY720947 KTU720945:KTU720947 LDQ720945:LDQ720947 LNM720945:LNM720947 LXI720945:LXI720947 MHE720945:MHE720947 MRA720945:MRA720947 NAW720945:NAW720947 NKS720945:NKS720947 NUO720945:NUO720947 OEK720945:OEK720947 OOG720945:OOG720947 OYC720945:OYC720947 PHY720945:PHY720947 PRU720945:PRU720947 QBQ720945:QBQ720947 QLM720945:QLM720947 QVI720945:QVI720947 RFE720945:RFE720947 RPA720945:RPA720947 RYW720945:RYW720947 SIS720945:SIS720947 SSO720945:SSO720947 TCK720945:TCK720947 TMG720945:TMG720947 TWC720945:TWC720947 UFY720945:UFY720947 UPU720945:UPU720947 UZQ720945:UZQ720947 VJM720945:VJM720947 VTI720945:VTI720947 WDE720945:WDE720947 WNA720945:WNA720947 E786481:E786483 AO786481:AO786483 KK786481:KK786483 UG786481:UG786483 AEC786481:AEC786483 ANY786481:ANY786483 AXU786481:AXU786483 BHQ786481:BHQ786483 BRM786481:BRM786483 CBI786481:CBI786483 CLE786481:CLE786483 CVA786481:CVA786483 DEW786481:DEW786483 DOS786481:DOS786483 DYO786481:DYO786483 EIK786481:EIK786483 ESG786481:ESG786483 FCC786481:FCC786483 FLY786481:FLY786483 FVU786481:FVU786483 GFQ786481:GFQ786483 GPM786481:GPM786483 GZI786481:GZI786483 HJE786481:HJE786483 HTA786481:HTA786483 ICW786481:ICW786483 IMS786481:IMS786483 IWO786481:IWO786483 JGK786481:JGK786483 JQG786481:JQG786483 KAC786481:KAC786483 KJY786481:KJY786483 KTU786481:KTU786483 LDQ786481:LDQ786483 LNM786481:LNM786483 LXI786481:LXI786483 MHE786481:MHE786483 MRA786481:MRA786483 NAW786481:NAW786483 NKS786481:NKS786483 NUO786481:NUO786483 OEK786481:OEK786483 OOG786481:OOG786483 OYC786481:OYC786483 PHY786481:PHY786483 PRU786481:PRU786483 QBQ786481:QBQ786483 QLM786481:QLM786483 QVI786481:QVI786483 RFE786481:RFE786483 RPA786481:RPA786483 RYW786481:RYW786483 SIS786481:SIS786483 SSO786481:SSO786483 TCK786481:TCK786483 TMG786481:TMG786483 TWC786481:TWC786483 UFY786481:UFY786483 UPU786481:UPU786483 UZQ786481:UZQ786483 VJM786481:VJM786483 VTI786481:VTI786483 WDE786481:WDE786483 WNA786481:WNA786483 E852017:E852019 AO852017:AO852019 KK852017:KK852019 UG852017:UG852019 AEC852017:AEC852019 ANY852017:ANY852019 AXU852017:AXU852019 BHQ852017:BHQ852019 BRM852017:BRM852019 CBI852017:CBI852019 CLE852017:CLE852019 CVA852017:CVA852019 DEW852017:DEW852019 DOS852017:DOS852019 DYO852017:DYO852019 EIK852017:EIK852019 ESG852017:ESG852019 FCC852017:FCC852019 FLY852017:FLY852019 FVU852017:FVU852019 GFQ852017:GFQ852019 GPM852017:GPM852019 GZI852017:GZI852019 HJE852017:HJE852019 HTA852017:HTA852019 ICW852017:ICW852019 IMS852017:IMS852019 IWO852017:IWO852019 JGK852017:JGK852019 JQG852017:JQG852019 KAC852017:KAC852019 KJY852017:KJY852019 KTU852017:KTU852019 LDQ852017:LDQ852019 LNM852017:LNM852019 LXI852017:LXI852019 MHE852017:MHE852019 MRA852017:MRA852019 NAW852017:NAW852019 NKS852017:NKS852019 NUO852017:NUO852019 OEK852017:OEK852019 OOG852017:OOG852019 OYC852017:OYC852019 PHY852017:PHY852019 PRU852017:PRU852019 QBQ852017:QBQ852019 QLM852017:QLM852019 QVI852017:QVI852019 RFE852017:RFE852019 RPA852017:RPA852019 RYW852017:RYW852019 SIS852017:SIS852019 SSO852017:SSO852019 TCK852017:TCK852019 TMG852017:TMG852019 TWC852017:TWC852019 UFY852017:UFY852019 UPU852017:UPU852019 UZQ852017:UZQ852019 VJM852017:VJM852019 VTI852017:VTI852019 WDE852017:WDE852019 WNA852017:WNA852019 E917553:E917555 AO917553:AO917555 KK917553:KK917555 UG917553:UG917555 AEC917553:AEC917555 ANY917553:ANY917555 AXU917553:AXU917555 BHQ917553:BHQ917555 BRM917553:BRM917555 CBI917553:CBI917555 CLE917553:CLE917555 CVA917553:CVA917555 DEW917553:DEW917555 DOS917553:DOS917555 DYO917553:DYO917555 EIK917553:EIK917555 ESG917553:ESG917555 FCC917553:FCC917555 FLY917553:FLY917555 FVU917553:FVU917555 GFQ917553:GFQ917555 GPM917553:GPM917555 GZI917553:GZI917555 HJE917553:HJE917555 HTA917553:HTA917555 ICW917553:ICW917555 IMS917553:IMS917555 IWO917553:IWO917555 JGK917553:JGK917555 JQG917553:JQG917555 KAC917553:KAC917555 KJY917553:KJY917555 KTU917553:KTU917555 LDQ917553:LDQ917555 LNM917553:LNM917555 LXI917553:LXI917555 MHE917553:MHE917555 MRA917553:MRA917555 NAW917553:NAW917555 NKS917553:NKS917555 NUO917553:NUO917555 OEK917553:OEK917555 OOG917553:OOG917555 OYC917553:OYC917555 PHY917553:PHY917555 PRU917553:PRU917555 QBQ917553:QBQ917555 QLM917553:QLM917555 QVI917553:QVI917555 RFE917553:RFE917555 RPA917553:RPA917555 RYW917553:RYW917555 SIS917553:SIS917555 SSO917553:SSO917555 TCK917553:TCK917555 TMG917553:TMG917555 TWC917553:TWC917555 UFY917553:UFY917555 UPU917553:UPU917555 UZQ917553:UZQ917555 VJM917553:VJM917555 VTI917553:VTI917555 WDE917553:WDE917555 WNA917553:WNA917555 E983089:E983091 AO983089:AO983091 KK983089:KK983091 UG983089:UG983091 AEC983089:AEC983091 ANY983089:ANY983091 AXU983089:AXU983091 BHQ983089:BHQ983091 BRM983089:BRM983091 CBI983089:CBI983091 CLE983089:CLE983091 CVA983089:CVA983091 DEW983089:DEW983091 DOS983089:DOS983091 DYO983089:DYO983091 EIK983089:EIK983091 ESG983089:ESG983091 FCC983089:FCC983091 FLY983089:FLY983091 FVU983089:FVU983091 GFQ983089:GFQ983091 GPM983089:GPM983091 GZI983089:GZI983091 HJE983089:HJE983091 HTA983089:HTA983091 ICW983089:ICW983091 IMS983089:IMS983091 IWO983089:IWO983091 JGK983089:JGK983091 JQG983089:JQG983091 KAC983089:KAC983091 KJY983089:KJY983091 KTU983089:KTU983091 LDQ983089:LDQ983091 LNM983089:LNM983091 LXI983089:LXI983091 MHE983089:MHE983091 MRA983089:MRA983091 NAW983089:NAW983091 NKS983089:NKS983091 NUO983089:NUO983091 OEK983089:OEK983091 OOG983089:OOG983091 OYC983089:OYC983091 PHY983089:PHY983091 PRU983089:PRU983091 QBQ983089:QBQ983091 QLM983089:QLM983091 QVI983089:QVI983091 RFE983089:RFE983091 RPA983089:RPA983091 RYW983089:RYW983091 SIS983089:SIS983091 SSO983089:SSO983091 TCK983089:TCK983091 TMG983089:TMG983091 TWC983089:TWC983091 UFY983089:UFY983091 UPU983089:UPU983091 UZQ983089:UZQ983091 VJM983089:VJM983091 VTI983089:VTI983091 WNA52:WNA53 WDE52:WDE53 VTI52:VTI53 VJM52:VJM53 UZQ52:UZQ53 UPU52:UPU53 UFY52:UFY53 TWC52:TWC53 TMG52:TMG53 TCK52:TCK53 SSO52:SSO53 SIS52:SIS53 RYW52:RYW53 RPA52:RPA53 RFE52:RFE53 QVI52:QVI53 QLM52:QLM53 QBQ52:QBQ53 PRU52:PRU53 PHY52:PHY53 OYC52:OYC53 OOG52:OOG53 OEK52:OEK53 NUO52:NUO53 NKS52:NKS53 NAW52:NAW53 MRA52:MRA53 MHE52:MHE53 LXI52:LXI53 LNM52:LNM53 LDQ52:LDQ53 KTU52:KTU53 KJY52:KJY53 KAC52:KAC53 JQG52:JQG53 JGK52:JGK53 IWO52:IWO53 IMS52:IMS53 ICW52:ICW53 HTA52:HTA53 HJE52:HJE53 GZI52:GZI53 GPM52:GPM53 GFQ52:GFQ53 FVU52:FVU53 FLY52:FLY53 FCC52:FCC53 ESG52:ESG53 EIK52:EIK53 DYO52:DYO53 DOS52:DOS53 DEW52:DEW53 CVA52:CVA53 CLE52:CLE53 CBI52:CBI53 BRM52:BRM53 BHQ52:BHQ53 AXU52:AXU53 ANY52:ANY53 AEC52:AEC53 UG52:UG53 KK52:KK53">
      <formula1>0</formula1>
    </dataValidation>
    <dataValidation type="decimal" allowBlank="1" showInputMessage="1" showErrorMessage="1" errorTitle="Error" error="The percentage of eligible primary pupils for this factor cannot be negative or higher than 100%. Please insert the correct figure or leave the cell blank to use an LA average." sqref="VTK983080:VTL983081 AQ67:AQ69 KM67:KM69 UI67:UI69 AEE67:AEE69 AOA67:AOA69 AXW67:AXW69 BHS67:BHS69 BRO67:BRO69 CBK67:CBK69 CLG67:CLG69 CVC67:CVC69 DEY67:DEY69 DOU67:DOU69 DYQ67:DYQ69 EIM67:EIM69 ESI67:ESI69 FCE67:FCE69 FMA67:FMA69 FVW67:FVW69 GFS67:GFS69 GPO67:GPO69 GZK67:GZK69 HJG67:HJG69 HTC67:HTC69 ICY67:ICY69 IMU67:IMU69 IWQ67:IWQ69 JGM67:JGM69 JQI67:JQI69 KAE67:KAE69 KKA67:KKA69 KTW67:KTW69 LDS67:LDS69 LNO67:LNO69 LXK67:LXK69 MHG67:MHG69 MRC67:MRC69 NAY67:NAY69 NKU67:NKU69 NUQ67:NUQ69 OEM67:OEM69 OOI67:OOI69 OYE67:OYE69 PIA67:PIA69 PRW67:PRW69 QBS67:QBS69 QLO67:QLO69 QVK67:QVK69 RFG67:RFG69 RPC67:RPC69 RYY67:RYY69 SIU67:SIU69 SSQ67:SSQ69 TCM67:TCM69 TMI67:TMI69 TWE67:TWE69 UGA67:UGA69 UPW67:UPW69 UZS67:UZS69 VJO67:VJO69 VTK67:VTK69 WDG67:WDG69 WNC67:WNC69 G65603:G65605 AQ65603:AQ65605 KM65603:KM65605 UI65603:UI65605 AEE65603:AEE65605 AOA65603:AOA65605 AXW65603:AXW65605 BHS65603:BHS65605 BRO65603:BRO65605 CBK65603:CBK65605 CLG65603:CLG65605 CVC65603:CVC65605 DEY65603:DEY65605 DOU65603:DOU65605 DYQ65603:DYQ65605 EIM65603:EIM65605 ESI65603:ESI65605 FCE65603:FCE65605 FMA65603:FMA65605 FVW65603:FVW65605 GFS65603:GFS65605 GPO65603:GPO65605 GZK65603:GZK65605 HJG65603:HJG65605 HTC65603:HTC65605 ICY65603:ICY65605 IMU65603:IMU65605 IWQ65603:IWQ65605 JGM65603:JGM65605 JQI65603:JQI65605 KAE65603:KAE65605 KKA65603:KKA65605 KTW65603:KTW65605 LDS65603:LDS65605 LNO65603:LNO65605 LXK65603:LXK65605 MHG65603:MHG65605 MRC65603:MRC65605 NAY65603:NAY65605 NKU65603:NKU65605 NUQ65603:NUQ65605 OEM65603:OEM65605 OOI65603:OOI65605 OYE65603:OYE65605 PIA65603:PIA65605 PRW65603:PRW65605 QBS65603:QBS65605 QLO65603:QLO65605 QVK65603:QVK65605 RFG65603:RFG65605 RPC65603:RPC65605 RYY65603:RYY65605 SIU65603:SIU65605 SSQ65603:SSQ65605 TCM65603:TCM65605 TMI65603:TMI65605 TWE65603:TWE65605 UGA65603:UGA65605 UPW65603:UPW65605 UZS65603:UZS65605 VJO65603:VJO65605 VTK65603:VTK65605 WDG65603:WDG65605 WNC65603:WNC65605 G131139:G131141 AQ131139:AQ131141 KM131139:KM131141 UI131139:UI131141 AEE131139:AEE131141 AOA131139:AOA131141 AXW131139:AXW131141 BHS131139:BHS131141 BRO131139:BRO131141 CBK131139:CBK131141 CLG131139:CLG131141 CVC131139:CVC131141 DEY131139:DEY131141 DOU131139:DOU131141 DYQ131139:DYQ131141 EIM131139:EIM131141 ESI131139:ESI131141 FCE131139:FCE131141 FMA131139:FMA131141 FVW131139:FVW131141 GFS131139:GFS131141 GPO131139:GPO131141 GZK131139:GZK131141 HJG131139:HJG131141 HTC131139:HTC131141 ICY131139:ICY131141 IMU131139:IMU131141 IWQ131139:IWQ131141 JGM131139:JGM131141 JQI131139:JQI131141 KAE131139:KAE131141 KKA131139:KKA131141 KTW131139:KTW131141 LDS131139:LDS131141 LNO131139:LNO131141 LXK131139:LXK131141 MHG131139:MHG131141 MRC131139:MRC131141 NAY131139:NAY131141 NKU131139:NKU131141 NUQ131139:NUQ131141 OEM131139:OEM131141 OOI131139:OOI131141 OYE131139:OYE131141 PIA131139:PIA131141 PRW131139:PRW131141 QBS131139:QBS131141 QLO131139:QLO131141 QVK131139:QVK131141 RFG131139:RFG131141 RPC131139:RPC131141 RYY131139:RYY131141 SIU131139:SIU131141 SSQ131139:SSQ131141 TCM131139:TCM131141 TMI131139:TMI131141 TWE131139:TWE131141 UGA131139:UGA131141 UPW131139:UPW131141 UZS131139:UZS131141 VJO131139:VJO131141 VTK131139:VTK131141 WDG131139:WDG131141 WNC131139:WNC131141 G196675:G196677 AQ196675:AQ196677 KM196675:KM196677 UI196675:UI196677 AEE196675:AEE196677 AOA196675:AOA196677 AXW196675:AXW196677 BHS196675:BHS196677 BRO196675:BRO196677 CBK196675:CBK196677 CLG196675:CLG196677 CVC196675:CVC196677 DEY196675:DEY196677 DOU196675:DOU196677 DYQ196675:DYQ196677 EIM196675:EIM196677 ESI196675:ESI196677 FCE196675:FCE196677 FMA196675:FMA196677 FVW196675:FVW196677 GFS196675:GFS196677 GPO196675:GPO196677 GZK196675:GZK196677 HJG196675:HJG196677 HTC196675:HTC196677 ICY196675:ICY196677 IMU196675:IMU196677 IWQ196675:IWQ196677 JGM196675:JGM196677 JQI196675:JQI196677 KAE196675:KAE196677 KKA196675:KKA196677 KTW196675:KTW196677 LDS196675:LDS196677 LNO196675:LNO196677 LXK196675:LXK196677 MHG196675:MHG196677 MRC196675:MRC196677 NAY196675:NAY196677 NKU196675:NKU196677 NUQ196675:NUQ196677 OEM196675:OEM196677 OOI196675:OOI196677 OYE196675:OYE196677 PIA196675:PIA196677 PRW196675:PRW196677 QBS196675:QBS196677 QLO196675:QLO196677 QVK196675:QVK196677 RFG196675:RFG196677 RPC196675:RPC196677 RYY196675:RYY196677 SIU196675:SIU196677 SSQ196675:SSQ196677 TCM196675:TCM196677 TMI196675:TMI196677 TWE196675:TWE196677 UGA196675:UGA196677 UPW196675:UPW196677 UZS196675:UZS196677 VJO196675:VJO196677 VTK196675:VTK196677 WDG196675:WDG196677 WNC196675:WNC196677 G262211:G262213 AQ262211:AQ262213 KM262211:KM262213 UI262211:UI262213 AEE262211:AEE262213 AOA262211:AOA262213 AXW262211:AXW262213 BHS262211:BHS262213 BRO262211:BRO262213 CBK262211:CBK262213 CLG262211:CLG262213 CVC262211:CVC262213 DEY262211:DEY262213 DOU262211:DOU262213 DYQ262211:DYQ262213 EIM262211:EIM262213 ESI262211:ESI262213 FCE262211:FCE262213 FMA262211:FMA262213 FVW262211:FVW262213 GFS262211:GFS262213 GPO262211:GPO262213 GZK262211:GZK262213 HJG262211:HJG262213 HTC262211:HTC262213 ICY262211:ICY262213 IMU262211:IMU262213 IWQ262211:IWQ262213 JGM262211:JGM262213 JQI262211:JQI262213 KAE262211:KAE262213 KKA262211:KKA262213 KTW262211:KTW262213 LDS262211:LDS262213 LNO262211:LNO262213 LXK262211:LXK262213 MHG262211:MHG262213 MRC262211:MRC262213 NAY262211:NAY262213 NKU262211:NKU262213 NUQ262211:NUQ262213 OEM262211:OEM262213 OOI262211:OOI262213 OYE262211:OYE262213 PIA262211:PIA262213 PRW262211:PRW262213 QBS262211:QBS262213 QLO262211:QLO262213 QVK262211:QVK262213 RFG262211:RFG262213 RPC262211:RPC262213 RYY262211:RYY262213 SIU262211:SIU262213 SSQ262211:SSQ262213 TCM262211:TCM262213 TMI262211:TMI262213 TWE262211:TWE262213 UGA262211:UGA262213 UPW262211:UPW262213 UZS262211:UZS262213 VJO262211:VJO262213 VTK262211:VTK262213 WDG262211:WDG262213 WNC262211:WNC262213 G327747:G327749 AQ327747:AQ327749 KM327747:KM327749 UI327747:UI327749 AEE327747:AEE327749 AOA327747:AOA327749 AXW327747:AXW327749 BHS327747:BHS327749 BRO327747:BRO327749 CBK327747:CBK327749 CLG327747:CLG327749 CVC327747:CVC327749 DEY327747:DEY327749 DOU327747:DOU327749 DYQ327747:DYQ327749 EIM327747:EIM327749 ESI327747:ESI327749 FCE327747:FCE327749 FMA327747:FMA327749 FVW327747:FVW327749 GFS327747:GFS327749 GPO327747:GPO327749 GZK327747:GZK327749 HJG327747:HJG327749 HTC327747:HTC327749 ICY327747:ICY327749 IMU327747:IMU327749 IWQ327747:IWQ327749 JGM327747:JGM327749 JQI327747:JQI327749 KAE327747:KAE327749 KKA327747:KKA327749 KTW327747:KTW327749 LDS327747:LDS327749 LNO327747:LNO327749 LXK327747:LXK327749 MHG327747:MHG327749 MRC327747:MRC327749 NAY327747:NAY327749 NKU327747:NKU327749 NUQ327747:NUQ327749 OEM327747:OEM327749 OOI327747:OOI327749 OYE327747:OYE327749 PIA327747:PIA327749 PRW327747:PRW327749 QBS327747:QBS327749 QLO327747:QLO327749 QVK327747:QVK327749 RFG327747:RFG327749 RPC327747:RPC327749 RYY327747:RYY327749 SIU327747:SIU327749 SSQ327747:SSQ327749 TCM327747:TCM327749 TMI327747:TMI327749 TWE327747:TWE327749 UGA327747:UGA327749 UPW327747:UPW327749 UZS327747:UZS327749 VJO327747:VJO327749 VTK327747:VTK327749 WDG327747:WDG327749 WNC327747:WNC327749 G393283:G393285 AQ393283:AQ393285 KM393283:KM393285 UI393283:UI393285 AEE393283:AEE393285 AOA393283:AOA393285 AXW393283:AXW393285 BHS393283:BHS393285 BRO393283:BRO393285 CBK393283:CBK393285 CLG393283:CLG393285 CVC393283:CVC393285 DEY393283:DEY393285 DOU393283:DOU393285 DYQ393283:DYQ393285 EIM393283:EIM393285 ESI393283:ESI393285 FCE393283:FCE393285 FMA393283:FMA393285 FVW393283:FVW393285 GFS393283:GFS393285 GPO393283:GPO393285 GZK393283:GZK393285 HJG393283:HJG393285 HTC393283:HTC393285 ICY393283:ICY393285 IMU393283:IMU393285 IWQ393283:IWQ393285 JGM393283:JGM393285 JQI393283:JQI393285 KAE393283:KAE393285 KKA393283:KKA393285 KTW393283:KTW393285 LDS393283:LDS393285 LNO393283:LNO393285 LXK393283:LXK393285 MHG393283:MHG393285 MRC393283:MRC393285 NAY393283:NAY393285 NKU393283:NKU393285 NUQ393283:NUQ393285 OEM393283:OEM393285 OOI393283:OOI393285 OYE393283:OYE393285 PIA393283:PIA393285 PRW393283:PRW393285 QBS393283:QBS393285 QLO393283:QLO393285 QVK393283:QVK393285 RFG393283:RFG393285 RPC393283:RPC393285 RYY393283:RYY393285 SIU393283:SIU393285 SSQ393283:SSQ393285 TCM393283:TCM393285 TMI393283:TMI393285 TWE393283:TWE393285 UGA393283:UGA393285 UPW393283:UPW393285 UZS393283:UZS393285 VJO393283:VJO393285 VTK393283:VTK393285 WDG393283:WDG393285 WNC393283:WNC393285 G458819:G458821 AQ458819:AQ458821 KM458819:KM458821 UI458819:UI458821 AEE458819:AEE458821 AOA458819:AOA458821 AXW458819:AXW458821 BHS458819:BHS458821 BRO458819:BRO458821 CBK458819:CBK458821 CLG458819:CLG458821 CVC458819:CVC458821 DEY458819:DEY458821 DOU458819:DOU458821 DYQ458819:DYQ458821 EIM458819:EIM458821 ESI458819:ESI458821 FCE458819:FCE458821 FMA458819:FMA458821 FVW458819:FVW458821 GFS458819:GFS458821 GPO458819:GPO458821 GZK458819:GZK458821 HJG458819:HJG458821 HTC458819:HTC458821 ICY458819:ICY458821 IMU458819:IMU458821 IWQ458819:IWQ458821 JGM458819:JGM458821 JQI458819:JQI458821 KAE458819:KAE458821 KKA458819:KKA458821 KTW458819:KTW458821 LDS458819:LDS458821 LNO458819:LNO458821 LXK458819:LXK458821 MHG458819:MHG458821 MRC458819:MRC458821 NAY458819:NAY458821 NKU458819:NKU458821 NUQ458819:NUQ458821 OEM458819:OEM458821 OOI458819:OOI458821 OYE458819:OYE458821 PIA458819:PIA458821 PRW458819:PRW458821 QBS458819:QBS458821 QLO458819:QLO458821 QVK458819:QVK458821 RFG458819:RFG458821 RPC458819:RPC458821 RYY458819:RYY458821 SIU458819:SIU458821 SSQ458819:SSQ458821 TCM458819:TCM458821 TMI458819:TMI458821 TWE458819:TWE458821 UGA458819:UGA458821 UPW458819:UPW458821 UZS458819:UZS458821 VJO458819:VJO458821 VTK458819:VTK458821 WDG458819:WDG458821 WNC458819:WNC458821 G524355:G524357 AQ524355:AQ524357 KM524355:KM524357 UI524355:UI524357 AEE524355:AEE524357 AOA524355:AOA524357 AXW524355:AXW524357 BHS524355:BHS524357 BRO524355:BRO524357 CBK524355:CBK524357 CLG524355:CLG524357 CVC524355:CVC524357 DEY524355:DEY524357 DOU524355:DOU524357 DYQ524355:DYQ524357 EIM524355:EIM524357 ESI524355:ESI524357 FCE524355:FCE524357 FMA524355:FMA524357 FVW524355:FVW524357 GFS524355:GFS524357 GPO524355:GPO524357 GZK524355:GZK524357 HJG524355:HJG524357 HTC524355:HTC524357 ICY524355:ICY524357 IMU524355:IMU524357 IWQ524355:IWQ524357 JGM524355:JGM524357 JQI524355:JQI524357 KAE524355:KAE524357 KKA524355:KKA524357 KTW524355:KTW524357 LDS524355:LDS524357 LNO524355:LNO524357 LXK524355:LXK524357 MHG524355:MHG524357 MRC524355:MRC524357 NAY524355:NAY524357 NKU524355:NKU524357 NUQ524355:NUQ524357 OEM524355:OEM524357 OOI524355:OOI524357 OYE524355:OYE524357 PIA524355:PIA524357 PRW524355:PRW524357 QBS524355:QBS524357 QLO524355:QLO524357 QVK524355:QVK524357 RFG524355:RFG524357 RPC524355:RPC524357 RYY524355:RYY524357 SIU524355:SIU524357 SSQ524355:SSQ524357 TCM524355:TCM524357 TMI524355:TMI524357 TWE524355:TWE524357 UGA524355:UGA524357 UPW524355:UPW524357 UZS524355:UZS524357 VJO524355:VJO524357 VTK524355:VTK524357 WDG524355:WDG524357 WNC524355:WNC524357 G589891:G589893 AQ589891:AQ589893 KM589891:KM589893 UI589891:UI589893 AEE589891:AEE589893 AOA589891:AOA589893 AXW589891:AXW589893 BHS589891:BHS589893 BRO589891:BRO589893 CBK589891:CBK589893 CLG589891:CLG589893 CVC589891:CVC589893 DEY589891:DEY589893 DOU589891:DOU589893 DYQ589891:DYQ589893 EIM589891:EIM589893 ESI589891:ESI589893 FCE589891:FCE589893 FMA589891:FMA589893 FVW589891:FVW589893 GFS589891:GFS589893 GPO589891:GPO589893 GZK589891:GZK589893 HJG589891:HJG589893 HTC589891:HTC589893 ICY589891:ICY589893 IMU589891:IMU589893 IWQ589891:IWQ589893 JGM589891:JGM589893 JQI589891:JQI589893 KAE589891:KAE589893 KKA589891:KKA589893 KTW589891:KTW589893 LDS589891:LDS589893 LNO589891:LNO589893 LXK589891:LXK589893 MHG589891:MHG589893 MRC589891:MRC589893 NAY589891:NAY589893 NKU589891:NKU589893 NUQ589891:NUQ589893 OEM589891:OEM589893 OOI589891:OOI589893 OYE589891:OYE589893 PIA589891:PIA589893 PRW589891:PRW589893 QBS589891:QBS589893 QLO589891:QLO589893 QVK589891:QVK589893 RFG589891:RFG589893 RPC589891:RPC589893 RYY589891:RYY589893 SIU589891:SIU589893 SSQ589891:SSQ589893 TCM589891:TCM589893 TMI589891:TMI589893 TWE589891:TWE589893 UGA589891:UGA589893 UPW589891:UPW589893 UZS589891:UZS589893 VJO589891:VJO589893 VTK589891:VTK589893 WDG589891:WDG589893 WNC589891:WNC589893 G655427:G655429 AQ655427:AQ655429 KM655427:KM655429 UI655427:UI655429 AEE655427:AEE655429 AOA655427:AOA655429 AXW655427:AXW655429 BHS655427:BHS655429 BRO655427:BRO655429 CBK655427:CBK655429 CLG655427:CLG655429 CVC655427:CVC655429 DEY655427:DEY655429 DOU655427:DOU655429 DYQ655427:DYQ655429 EIM655427:EIM655429 ESI655427:ESI655429 FCE655427:FCE655429 FMA655427:FMA655429 FVW655427:FVW655429 GFS655427:GFS655429 GPO655427:GPO655429 GZK655427:GZK655429 HJG655427:HJG655429 HTC655427:HTC655429 ICY655427:ICY655429 IMU655427:IMU655429 IWQ655427:IWQ655429 JGM655427:JGM655429 JQI655427:JQI655429 KAE655427:KAE655429 KKA655427:KKA655429 KTW655427:KTW655429 LDS655427:LDS655429 LNO655427:LNO655429 LXK655427:LXK655429 MHG655427:MHG655429 MRC655427:MRC655429 NAY655427:NAY655429 NKU655427:NKU655429 NUQ655427:NUQ655429 OEM655427:OEM655429 OOI655427:OOI655429 OYE655427:OYE655429 PIA655427:PIA655429 PRW655427:PRW655429 QBS655427:QBS655429 QLO655427:QLO655429 QVK655427:QVK655429 RFG655427:RFG655429 RPC655427:RPC655429 RYY655427:RYY655429 SIU655427:SIU655429 SSQ655427:SSQ655429 TCM655427:TCM655429 TMI655427:TMI655429 TWE655427:TWE655429 UGA655427:UGA655429 UPW655427:UPW655429 UZS655427:UZS655429 VJO655427:VJO655429 VTK655427:VTK655429 WDG655427:WDG655429 WNC655427:WNC655429 G720963:G720965 AQ720963:AQ720965 KM720963:KM720965 UI720963:UI720965 AEE720963:AEE720965 AOA720963:AOA720965 AXW720963:AXW720965 BHS720963:BHS720965 BRO720963:BRO720965 CBK720963:CBK720965 CLG720963:CLG720965 CVC720963:CVC720965 DEY720963:DEY720965 DOU720963:DOU720965 DYQ720963:DYQ720965 EIM720963:EIM720965 ESI720963:ESI720965 FCE720963:FCE720965 FMA720963:FMA720965 FVW720963:FVW720965 GFS720963:GFS720965 GPO720963:GPO720965 GZK720963:GZK720965 HJG720963:HJG720965 HTC720963:HTC720965 ICY720963:ICY720965 IMU720963:IMU720965 IWQ720963:IWQ720965 JGM720963:JGM720965 JQI720963:JQI720965 KAE720963:KAE720965 KKA720963:KKA720965 KTW720963:KTW720965 LDS720963:LDS720965 LNO720963:LNO720965 LXK720963:LXK720965 MHG720963:MHG720965 MRC720963:MRC720965 NAY720963:NAY720965 NKU720963:NKU720965 NUQ720963:NUQ720965 OEM720963:OEM720965 OOI720963:OOI720965 OYE720963:OYE720965 PIA720963:PIA720965 PRW720963:PRW720965 QBS720963:QBS720965 QLO720963:QLO720965 QVK720963:QVK720965 RFG720963:RFG720965 RPC720963:RPC720965 RYY720963:RYY720965 SIU720963:SIU720965 SSQ720963:SSQ720965 TCM720963:TCM720965 TMI720963:TMI720965 TWE720963:TWE720965 UGA720963:UGA720965 UPW720963:UPW720965 UZS720963:UZS720965 VJO720963:VJO720965 VTK720963:VTK720965 WDG720963:WDG720965 WNC720963:WNC720965 G786499:G786501 AQ786499:AQ786501 KM786499:KM786501 UI786499:UI786501 AEE786499:AEE786501 AOA786499:AOA786501 AXW786499:AXW786501 BHS786499:BHS786501 BRO786499:BRO786501 CBK786499:CBK786501 CLG786499:CLG786501 CVC786499:CVC786501 DEY786499:DEY786501 DOU786499:DOU786501 DYQ786499:DYQ786501 EIM786499:EIM786501 ESI786499:ESI786501 FCE786499:FCE786501 FMA786499:FMA786501 FVW786499:FVW786501 GFS786499:GFS786501 GPO786499:GPO786501 GZK786499:GZK786501 HJG786499:HJG786501 HTC786499:HTC786501 ICY786499:ICY786501 IMU786499:IMU786501 IWQ786499:IWQ786501 JGM786499:JGM786501 JQI786499:JQI786501 KAE786499:KAE786501 KKA786499:KKA786501 KTW786499:KTW786501 LDS786499:LDS786501 LNO786499:LNO786501 LXK786499:LXK786501 MHG786499:MHG786501 MRC786499:MRC786501 NAY786499:NAY786501 NKU786499:NKU786501 NUQ786499:NUQ786501 OEM786499:OEM786501 OOI786499:OOI786501 OYE786499:OYE786501 PIA786499:PIA786501 PRW786499:PRW786501 QBS786499:QBS786501 QLO786499:QLO786501 QVK786499:QVK786501 RFG786499:RFG786501 RPC786499:RPC786501 RYY786499:RYY786501 SIU786499:SIU786501 SSQ786499:SSQ786501 TCM786499:TCM786501 TMI786499:TMI786501 TWE786499:TWE786501 UGA786499:UGA786501 UPW786499:UPW786501 UZS786499:UZS786501 VJO786499:VJO786501 VTK786499:VTK786501 WDG786499:WDG786501 WNC786499:WNC786501 G852035:G852037 AQ852035:AQ852037 KM852035:KM852037 UI852035:UI852037 AEE852035:AEE852037 AOA852035:AOA852037 AXW852035:AXW852037 BHS852035:BHS852037 BRO852035:BRO852037 CBK852035:CBK852037 CLG852035:CLG852037 CVC852035:CVC852037 DEY852035:DEY852037 DOU852035:DOU852037 DYQ852035:DYQ852037 EIM852035:EIM852037 ESI852035:ESI852037 FCE852035:FCE852037 FMA852035:FMA852037 FVW852035:FVW852037 GFS852035:GFS852037 GPO852035:GPO852037 GZK852035:GZK852037 HJG852035:HJG852037 HTC852035:HTC852037 ICY852035:ICY852037 IMU852035:IMU852037 IWQ852035:IWQ852037 JGM852035:JGM852037 JQI852035:JQI852037 KAE852035:KAE852037 KKA852035:KKA852037 KTW852035:KTW852037 LDS852035:LDS852037 LNO852035:LNO852037 LXK852035:LXK852037 MHG852035:MHG852037 MRC852035:MRC852037 NAY852035:NAY852037 NKU852035:NKU852037 NUQ852035:NUQ852037 OEM852035:OEM852037 OOI852035:OOI852037 OYE852035:OYE852037 PIA852035:PIA852037 PRW852035:PRW852037 QBS852035:QBS852037 QLO852035:QLO852037 QVK852035:QVK852037 RFG852035:RFG852037 RPC852035:RPC852037 RYY852035:RYY852037 SIU852035:SIU852037 SSQ852035:SSQ852037 TCM852035:TCM852037 TMI852035:TMI852037 TWE852035:TWE852037 UGA852035:UGA852037 UPW852035:UPW852037 UZS852035:UZS852037 VJO852035:VJO852037 VTK852035:VTK852037 WDG852035:WDG852037 WNC852035:WNC852037 G917571:G917573 AQ917571:AQ917573 KM917571:KM917573 UI917571:UI917573 AEE917571:AEE917573 AOA917571:AOA917573 AXW917571:AXW917573 BHS917571:BHS917573 BRO917571:BRO917573 CBK917571:CBK917573 CLG917571:CLG917573 CVC917571:CVC917573 DEY917571:DEY917573 DOU917571:DOU917573 DYQ917571:DYQ917573 EIM917571:EIM917573 ESI917571:ESI917573 FCE917571:FCE917573 FMA917571:FMA917573 FVW917571:FVW917573 GFS917571:GFS917573 GPO917571:GPO917573 GZK917571:GZK917573 HJG917571:HJG917573 HTC917571:HTC917573 ICY917571:ICY917573 IMU917571:IMU917573 IWQ917571:IWQ917573 JGM917571:JGM917573 JQI917571:JQI917573 KAE917571:KAE917573 KKA917571:KKA917573 KTW917571:KTW917573 LDS917571:LDS917573 LNO917571:LNO917573 LXK917571:LXK917573 MHG917571:MHG917573 MRC917571:MRC917573 NAY917571:NAY917573 NKU917571:NKU917573 NUQ917571:NUQ917573 OEM917571:OEM917573 OOI917571:OOI917573 OYE917571:OYE917573 PIA917571:PIA917573 PRW917571:PRW917573 QBS917571:QBS917573 QLO917571:QLO917573 QVK917571:QVK917573 RFG917571:RFG917573 RPC917571:RPC917573 RYY917571:RYY917573 SIU917571:SIU917573 SSQ917571:SSQ917573 TCM917571:TCM917573 TMI917571:TMI917573 TWE917571:TWE917573 UGA917571:UGA917573 UPW917571:UPW917573 UZS917571:UZS917573 VJO917571:VJO917573 VTK917571:VTK917573 WDG917571:WDG917573 WNC917571:WNC917573 G983107:G983109 AQ983107:AQ983109 KM983107:KM983109 UI983107:UI983109 AEE983107:AEE983109 AOA983107:AOA983109 AXW983107:AXW983109 BHS983107:BHS983109 BRO983107:BRO983109 CBK983107:CBK983109 CLG983107:CLG983109 CVC983107:CVC983109 DEY983107:DEY983109 DOU983107:DOU983109 DYQ983107:DYQ983109 EIM983107:EIM983109 ESI983107:ESI983109 FCE983107:FCE983109 FMA983107:FMA983109 FVW983107:FVW983109 GFS983107:GFS983109 GPO983107:GPO983109 GZK983107:GZK983109 HJG983107:HJG983109 HTC983107:HTC983109 ICY983107:ICY983109 IMU983107:IMU983109 IWQ983107:IWQ983109 JGM983107:JGM983109 JQI983107:JQI983109 KAE983107:KAE983109 KKA983107:KKA983109 KTW983107:KTW983109 LDS983107:LDS983109 LNO983107:LNO983109 LXK983107:LXK983109 MHG983107:MHG983109 MRC983107:MRC983109 NAY983107:NAY983109 NKU983107:NKU983109 NUQ983107:NUQ983109 OEM983107:OEM983109 OOI983107:OOI983109 OYE983107:OYE983109 PIA983107:PIA983109 PRW983107:PRW983109 QBS983107:QBS983109 QLO983107:QLO983109 QVK983107:QVK983109 RFG983107:RFG983109 RPC983107:RPC983109 RYY983107:RYY983109 SIU983107:SIU983109 SSQ983107:SSQ983109 TCM983107:TCM983109 TMI983107:TMI983109 TWE983107:TWE983109 UGA983107:UGA983109 UPW983107:UPW983109 UZS983107:UZS983109 VJO983107:VJO983109 VTK983107:VTK983109 WDG983107:WDG983109 WNC983107:WNC983109 WNC983080:WND983081 AQ30:AQ35 KM30:KM35 UI30:UI35 AEE30:AEE35 AOA30:AOA35 AXW30:AXW35 BHS30:BHS35 BRO30:BRO35 CBK30:CBK35 CLG30:CLG35 CVC30:CVC35 DEY30:DEY35 DOU30:DOU35 DYQ30:DYQ35 EIM30:EIM35 ESI30:ESI35 FCE30:FCE35 FMA30:FMA35 FVW30:FVW35 GFS30:GFS35 GPO30:GPO35 GZK30:GZK35 HJG30:HJG35 HTC30:HTC35 ICY30:ICY35 IMU30:IMU35 IWQ30:IWQ35 JGM30:JGM35 JQI30:JQI35 KAE30:KAE35 KKA30:KKA35 KTW30:KTW35 LDS30:LDS35 LNO30:LNO35 LXK30:LXK35 MHG30:MHG35 MRC30:MRC35 NAY30:NAY35 NKU30:NKU35 NUQ30:NUQ35 OEM30:OEM35 OOI30:OOI35 OYE30:OYE35 PIA30:PIA35 PRW30:PRW35 QBS30:QBS35 QLO30:QLO35 QVK30:QVK35 RFG30:RFG35 RPC30:RPC35 RYY30:RYY35 SIU30:SIU35 SSQ30:SSQ35 TCM30:TCM35 TMI30:TMI35 TWE30:TWE35 UGA30:UGA35 UPW30:UPW35 UZS30:UZS35 VJO30:VJO35 VTK30:VTK35 WDG30:WDG35 WNC30:WNC35 G65564:G65569 AQ65564:AQ65569 KM65564:KM65569 UI65564:UI65569 AEE65564:AEE65569 AOA65564:AOA65569 AXW65564:AXW65569 BHS65564:BHS65569 BRO65564:BRO65569 CBK65564:CBK65569 CLG65564:CLG65569 CVC65564:CVC65569 DEY65564:DEY65569 DOU65564:DOU65569 DYQ65564:DYQ65569 EIM65564:EIM65569 ESI65564:ESI65569 FCE65564:FCE65569 FMA65564:FMA65569 FVW65564:FVW65569 GFS65564:GFS65569 GPO65564:GPO65569 GZK65564:GZK65569 HJG65564:HJG65569 HTC65564:HTC65569 ICY65564:ICY65569 IMU65564:IMU65569 IWQ65564:IWQ65569 JGM65564:JGM65569 JQI65564:JQI65569 KAE65564:KAE65569 KKA65564:KKA65569 KTW65564:KTW65569 LDS65564:LDS65569 LNO65564:LNO65569 LXK65564:LXK65569 MHG65564:MHG65569 MRC65564:MRC65569 NAY65564:NAY65569 NKU65564:NKU65569 NUQ65564:NUQ65569 OEM65564:OEM65569 OOI65564:OOI65569 OYE65564:OYE65569 PIA65564:PIA65569 PRW65564:PRW65569 QBS65564:QBS65569 QLO65564:QLO65569 QVK65564:QVK65569 RFG65564:RFG65569 RPC65564:RPC65569 RYY65564:RYY65569 SIU65564:SIU65569 SSQ65564:SSQ65569 TCM65564:TCM65569 TMI65564:TMI65569 TWE65564:TWE65569 UGA65564:UGA65569 UPW65564:UPW65569 UZS65564:UZS65569 VJO65564:VJO65569 VTK65564:VTK65569 WDG65564:WDG65569 WNC65564:WNC65569 G131100:G131105 AQ131100:AQ131105 KM131100:KM131105 UI131100:UI131105 AEE131100:AEE131105 AOA131100:AOA131105 AXW131100:AXW131105 BHS131100:BHS131105 BRO131100:BRO131105 CBK131100:CBK131105 CLG131100:CLG131105 CVC131100:CVC131105 DEY131100:DEY131105 DOU131100:DOU131105 DYQ131100:DYQ131105 EIM131100:EIM131105 ESI131100:ESI131105 FCE131100:FCE131105 FMA131100:FMA131105 FVW131100:FVW131105 GFS131100:GFS131105 GPO131100:GPO131105 GZK131100:GZK131105 HJG131100:HJG131105 HTC131100:HTC131105 ICY131100:ICY131105 IMU131100:IMU131105 IWQ131100:IWQ131105 JGM131100:JGM131105 JQI131100:JQI131105 KAE131100:KAE131105 KKA131100:KKA131105 KTW131100:KTW131105 LDS131100:LDS131105 LNO131100:LNO131105 LXK131100:LXK131105 MHG131100:MHG131105 MRC131100:MRC131105 NAY131100:NAY131105 NKU131100:NKU131105 NUQ131100:NUQ131105 OEM131100:OEM131105 OOI131100:OOI131105 OYE131100:OYE131105 PIA131100:PIA131105 PRW131100:PRW131105 QBS131100:QBS131105 QLO131100:QLO131105 QVK131100:QVK131105 RFG131100:RFG131105 RPC131100:RPC131105 RYY131100:RYY131105 SIU131100:SIU131105 SSQ131100:SSQ131105 TCM131100:TCM131105 TMI131100:TMI131105 TWE131100:TWE131105 UGA131100:UGA131105 UPW131100:UPW131105 UZS131100:UZS131105 VJO131100:VJO131105 VTK131100:VTK131105 WDG131100:WDG131105 WNC131100:WNC131105 G196636:G196641 AQ196636:AQ196641 KM196636:KM196641 UI196636:UI196641 AEE196636:AEE196641 AOA196636:AOA196641 AXW196636:AXW196641 BHS196636:BHS196641 BRO196636:BRO196641 CBK196636:CBK196641 CLG196636:CLG196641 CVC196636:CVC196641 DEY196636:DEY196641 DOU196636:DOU196641 DYQ196636:DYQ196641 EIM196636:EIM196641 ESI196636:ESI196641 FCE196636:FCE196641 FMA196636:FMA196641 FVW196636:FVW196641 GFS196636:GFS196641 GPO196636:GPO196641 GZK196636:GZK196641 HJG196636:HJG196641 HTC196636:HTC196641 ICY196636:ICY196641 IMU196636:IMU196641 IWQ196636:IWQ196641 JGM196636:JGM196641 JQI196636:JQI196641 KAE196636:KAE196641 KKA196636:KKA196641 KTW196636:KTW196641 LDS196636:LDS196641 LNO196636:LNO196641 LXK196636:LXK196641 MHG196636:MHG196641 MRC196636:MRC196641 NAY196636:NAY196641 NKU196636:NKU196641 NUQ196636:NUQ196641 OEM196636:OEM196641 OOI196636:OOI196641 OYE196636:OYE196641 PIA196636:PIA196641 PRW196636:PRW196641 QBS196636:QBS196641 QLO196636:QLO196641 QVK196636:QVK196641 RFG196636:RFG196641 RPC196636:RPC196641 RYY196636:RYY196641 SIU196636:SIU196641 SSQ196636:SSQ196641 TCM196636:TCM196641 TMI196636:TMI196641 TWE196636:TWE196641 UGA196636:UGA196641 UPW196636:UPW196641 UZS196636:UZS196641 VJO196636:VJO196641 VTK196636:VTK196641 WDG196636:WDG196641 WNC196636:WNC196641 G262172:G262177 AQ262172:AQ262177 KM262172:KM262177 UI262172:UI262177 AEE262172:AEE262177 AOA262172:AOA262177 AXW262172:AXW262177 BHS262172:BHS262177 BRO262172:BRO262177 CBK262172:CBK262177 CLG262172:CLG262177 CVC262172:CVC262177 DEY262172:DEY262177 DOU262172:DOU262177 DYQ262172:DYQ262177 EIM262172:EIM262177 ESI262172:ESI262177 FCE262172:FCE262177 FMA262172:FMA262177 FVW262172:FVW262177 GFS262172:GFS262177 GPO262172:GPO262177 GZK262172:GZK262177 HJG262172:HJG262177 HTC262172:HTC262177 ICY262172:ICY262177 IMU262172:IMU262177 IWQ262172:IWQ262177 JGM262172:JGM262177 JQI262172:JQI262177 KAE262172:KAE262177 KKA262172:KKA262177 KTW262172:KTW262177 LDS262172:LDS262177 LNO262172:LNO262177 LXK262172:LXK262177 MHG262172:MHG262177 MRC262172:MRC262177 NAY262172:NAY262177 NKU262172:NKU262177 NUQ262172:NUQ262177 OEM262172:OEM262177 OOI262172:OOI262177 OYE262172:OYE262177 PIA262172:PIA262177 PRW262172:PRW262177 QBS262172:QBS262177 QLO262172:QLO262177 QVK262172:QVK262177 RFG262172:RFG262177 RPC262172:RPC262177 RYY262172:RYY262177 SIU262172:SIU262177 SSQ262172:SSQ262177 TCM262172:TCM262177 TMI262172:TMI262177 TWE262172:TWE262177 UGA262172:UGA262177 UPW262172:UPW262177 UZS262172:UZS262177 VJO262172:VJO262177 VTK262172:VTK262177 WDG262172:WDG262177 WNC262172:WNC262177 G327708:G327713 AQ327708:AQ327713 KM327708:KM327713 UI327708:UI327713 AEE327708:AEE327713 AOA327708:AOA327713 AXW327708:AXW327713 BHS327708:BHS327713 BRO327708:BRO327713 CBK327708:CBK327713 CLG327708:CLG327713 CVC327708:CVC327713 DEY327708:DEY327713 DOU327708:DOU327713 DYQ327708:DYQ327713 EIM327708:EIM327713 ESI327708:ESI327713 FCE327708:FCE327713 FMA327708:FMA327713 FVW327708:FVW327713 GFS327708:GFS327713 GPO327708:GPO327713 GZK327708:GZK327713 HJG327708:HJG327713 HTC327708:HTC327713 ICY327708:ICY327713 IMU327708:IMU327713 IWQ327708:IWQ327713 JGM327708:JGM327713 JQI327708:JQI327713 KAE327708:KAE327713 KKA327708:KKA327713 KTW327708:KTW327713 LDS327708:LDS327713 LNO327708:LNO327713 LXK327708:LXK327713 MHG327708:MHG327713 MRC327708:MRC327713 NAY327708:NAY327713 NKU327708:NKU327713 NUQ327708:NUQ327713 OEM327708:OEM327713 OOI327708:OOI327713 OYE327708:OYE327713 PIA327708:PIA327713 PRW327708:PRW327713 QBS327708:QBS327713 QLO327708:QLO327713 QVK327708:QVK327713 RFG327708:RFG327713 RPC327708:RPC327713 RYY327708:RYY327713 SIU327708:SIU327713 SSQ327708:SSQ327713 TCM327708:TCM327713 TMI327708:TMI327713 TWE327708:TWE327713 UGA327708:UGA327713 UPW327708:UPW327713 UZS327708:UZS327713 VJO327708:VJO327713 VTK327708:VTK327713 WDG327708:WDG327713 WNC327708:WNC327713 G393244:G393249 AQ393244:AQ393249 KM393244:KM393249 UI393244:UI393249 AEE393244:AEE393249 AOA393244:AOA393249 AXW393244:AXW393249 BHS393244:BHS393249 BRO393244:BRO393249 CBK393244:CBK393249 CLG393244:CLG393249 CVC393244:CVC393249 DEY393244:DEY393249 DOU393244:DOU393249 DYQ393244:DYQ393249 EIM393244:EIM393249 ESI393244:ESI393249 FCE393244:FCE393249 FMA393244:FMA393249 FVW393244:FVW393249 GFS393244:GFS393249 GPO393244:GPO393249 GZK393244:GZK393249 HJG393244:HJG393249 HTC393244:HTC393249 ICY393244:ICY393249 IMU393244:IMU393249 IWQ393244:IWQ393249 JGM393244:JGM393249 JQI393244:JQI393249 KAE393244:KAE393249 KKA393244:KKA393249 KTW393244:KTW393249 LDS393244:LDS393249 LNO393244:LNO393249 LXK393244:LXK393249 MHG393244:MHG393249 MRC393244:MRC393249 NAY393244:NAY393249 NKU393244:NKU393249 NUQ393244:NUQ393249 OEM393244:OEM393249 OOI393244:OOI393249 OYE393244:OYE393249 PIA393244:PIA393249 PRW393244:PRW393249 QBS393244:QBS393249 QLO393244:QLO393249 QVK393244:QVK393249 RFG393244:RFG393249 RPC393244:RPC393249 RYY393244:RYY393249 SIU393244:SIU393249 SSQ393244:SSQ393249 TCM393244:TCM393249 TMI393244:TMI393249 TWE393244:TWE393249 UGA393244:UGA393249 UPW393244:UPW393249 UZS393244:UZS393249 VJO393244:VJO393249 VTK393244:VTK393249 WDG393244:WDG393249 WNC393244:WNC393249 G458780:G458785 AQ458780:AQ458785 KM458780:KM458785 UI458780:UI458785 AEE458780:AEE458785 AOA458780:AOA458785 AXW458780:AXW458785 BHS458780:BHS458785 BRO458780:BRO458785 CBK458780:CBK458785 CLG458780:CLG458785 CVC458780:CVC458785 DEY458780:DEY458785 DOU458780:DOU458785 DYQ458780:DYQ458785 EIM458780:EIM458785 ESI458780:ESI458785 FCE458780:FCE458785 FMA458780:FMA458785 FVW458780:FVW458785 GFS458780:GFS458785 GPO458780:GPO458785 GZK458780:GZK458785 HJG458780:HJG458785 HTC458780:HTC458785 ICY458780:ICY458785 IMU458780:IMU458785 IWQ458780:IWQ458785 JGM458780:JGM458785 JQI458780:JQI458785 KAE458780:KAE458785 KKA458780:KKA458785 KTW458780:KTW458785 LDS458780:LDS458785 LNO458780:LNO458785 LXK458780:LXK458785 MHG458780:MHG458785 MRC458780:MRC458785 NAY458780:NAY458785 NKU458780:NKU458785 NUQ458780:NUQ458785 OEM458780:OEM458785 OOI458780:OOI458785 OYE458780:OYE458785 PIA458780:PIA458785 PRW458780:PRW458785 QBS458780:QBS458785 QLO458780:QLO458785 QVK458780:QVK458785 RFG458780:RFG458785 RPC458780:RPC458785 RYY458780:RYY458785 SIU458780:SIU458785 SSQ458780:SSQ458785 TCM458780:TCM458785 TMI458780:TMI458785 TWE458780:TWE458785 UGA458780:UGA458785 UPW458780:UPW458785 UZS458780:UZS458785 VJO458780:VJO458785 VTK458780:VTK458785 WDG458780:WDG458785 WNC458780:WNC458785 G524316:G524321 AQ524316:AQ524321 KM524316:KM524321 UI524316:UI524321 AEE524316:AEE524321 AOA524316:AOA524321 AXW524316:AXW524321 BHS524316:BHS524321 BRO524316:BRO524321 CBK524316:CBK524321 CLG524316:CLG524321 CVC524316:CVC524321 DEY524316:DEY524321 DOU524316:DOU524321 DYQ524316:DYQ524321 EIM524316:EIM524321 ESI524316:ESI524321 FCE524316:FCE524321 FMA524316:FMA524321 FVW524316:FVW524321 GFS524316:GFS524321 GPO524316:GPO524321 GZK524316:GZK524321 HJG524316:HJG524321 HTC524316:HTC524321 ICY524316:ICY524321 IMU524316:IMU524321 IWQ524316:IWQ524321 JGM524316:JGM524321 JQI524316:JQI524321 KAE524316:KAE524321 KKA524316:KKA524321 KTW524316:KTW524321 LDS524316:LDS524321 LNO524316:LNO524321 LXK524316:LXK524321 MHG524316:MHG524321 MRC524316:MRC524321 NAY524316:NAY524321 NKU524316:NKU524321 NUQ524316:NUQ524321 OEM524316:OEM524321 OOI524316:OOI524321 OYE524316:OYE524321 PIA524316:PIA524321 PRW524316:PRW524321 QBS524316:QBS524321 QLO524316:QLO524321 QVK524316:QVK524321 RFG524316:RFG524321 RPC524316:RPC524321 RYY524316:RYY524321 SIU524316:SIU524321 SSQ524316:SSQ524321 TCM524316:TCM524321 TMI524316:TMI524321 TWE524316:TWE524321 UGA524316:UGA524321 UPW524316:UPW524321 UZS524316:UZS524321 VJO524316:VJO524321 VTK524316:VTK524321 WDG524316:WDG524321 WNC524316:WNC524321 G589852:G589857 AQ589852:AQ589857 KM589852:KM589857 UI589852:UI589857 AEE589852:AEE589857 AOA589852:AOA589857 AXW589852:AXW589857 BHS589852:BHS589857 BRO589852:BRO589857 CBK589852:CBK589857 CLG589852:CLG589857 CVC589852:CVC589857 DEY589852:DEY589857 DOU589852:DOU589857 DYQ589852:DYQ589857 EIM589852:EIM589857 ESI589852:ESI589857 FCE589852:FCE589857 FMA589852:FMA589857 FVW589852:FVW589857 GFS589852:GFS589857 GPO589852:GPO589857 GZK589852:GZK589857 HJG589852:HJG589857 HTC589852:HTC589857 ICY589852:ICY589857 IMU589852:IMU589857 IWQ589852:IWQ589857 JGM589852:JGM589857 JQI589852:JQI589857 KAE589852:KAE589857 KKA589852:KKA589857 KTW589852:KTW589857 LDS589852:LDS589857 LNO589852:LNO589857 LXK589852:LXK589857 MHG589852:MHG589857 MRC589852:MRC589857 NAY589852:NAY589857 NKU589852:NKU589857 NUQ589852:NUQ589857 OEM589852:OEM589857 OOI589852:OOI589857 OYE589852:OYE589857 PIA589852:PIA589857 PRW589852:PRW589857 QBS589852:QBS589857 QLO589852:QLO589857 QVK589852:QVK589857 RFG589852:RFG589857 RPC589852:RPC589857 RYY589852:RYY589857 SIU589852:SIU589857 SSQ589852:SSQ589857 TCM589852:TCM589857 TMI589852:TMI589857 TWE589852:TWE589857 UGA589852:UGA589857 UPW589852:UPW589857 UZS589852:UZS589857 VJO589852:VJO589857 VTK589852:VTK589857 WDG589852:WDG589857 WNC589852:WNC589857 G655388:G655393 AQ655388:AQ655393 KM655388:KM655393 UI655388:UI655393 AEE655388:AEE655393 AOA655388:AOA655393 AXW655388:AXW655393 BHS655388:BHS655393 BRO655388:BRO655393 CBK655388:CBK655393 CLG655388:CLG655393 CVC655388:CVC655393 DEY655388:DEY655393 DOU655388:DOU655393 DYQ655388:DYQ655393 EIM655388:EIM655393 ESI655388:ESI655393 FCE655388:FCE655393 FMA655388:FMA655393 FVW655388:FVW655393 GFS655388:GFS655393 GPO655388:GPO655393 GZK655388:GZK655393 HJG655388:HJG655393 HTC655388:HTC655393 ICY655388:ICY655393 IMU655388:IMU655393 IWQ655388:IWQ655393 JGM655388:JGM655393 JQI655388:JQI655393 KAE655388:KAE655393 KKA655388:KKA655393 KTW655388:KTW655393 LDS655388:LDS655393 LNO655388:LNO655393 LXK655388:LXK655393 MHG655388:MHG655393 MRC655388:MRC655393 NAY655388:NAY655393 NKU655388:NKU655393 NUQ655388:NUQ655393 OEM655388:OEM655393 OOI655388:OOI655393 OYE655388:OYE655393 PIA655388:PIA655393 PRW655388:PRW655393 QBS655388:QBS655393 QLO655388:QLO655393 QVK655388:QVK655393 RFG655388:RFG655393 RPC655388:RPC655393 RYY655388:RYY655393 SIU655388:SIU655393 SSQ655388:SSQ655393 TCM655388:TCM655393 TMI655388:TMI655393 TWE655388:TWE655393 UGA655388:UGA655393 UPW655388:UPW655393 UZS655388:UZS655393 VJO655388:VJO655393 VTK655388:VTK655393 WDG655388:WDG655393 WNC655388:WNC655393 G720924:G720929 AQ720924:AQ720929 KM720924:KM720929 UI720924:UI720929 AEE720924:AEE720929 AOA720924:AOA720929 AXW720924:AXW720929 BHS720924:BHS720929 BRO720924:BRO720929 CBK720924:CBK720929 CLG720924:CLG720929 CVC720924:CVC720929 DEY720924:DEY720929 DOU720924:DOU720929 DYQ720924:DYQ720929 EIM720924:EIM720929 ESI720924:ESI720929 FCE720924:FCE720929 FMA720924:FMA720929 FVW720924:FVW720929 GFS720924:GFS720929 GPO720924:GPO720929 GZK720924:GZK720929 HJG720924:HJG720929 HTC720924:HTC720929 ICY720924:ICY720929 IMU720924:IMU720929 IWQ720924:IWQ720929 JGM720924:JGM720929 JQI720924:JQI720929 KAE720924:KAE720929 KKA720924:KKA720929 KTW720924:KTW720929 LDS720924:LDS720929 LNO720924:LNO720929 LXK720924:LXK720929 MHG720924:MHG720929 MRC720924:MRC720929 NAY720924:NAY720929 NKU720924:NKU720929 NUQ720924:NUQ720929 OEM720924:OEM720929 OOI720924:OOI720929 OYE720924:OYE720929 PIA720924:PIA720929 PRW720924:PRW720929 QBS720924:QBS720929 QLO720924:QLO720929 QVK720924:QVK720929 RFG720924:RFG720929 RPC720924:RPC720929 RYY720924:RYY720929 SIU720924:SIU720929 SSQ720924:SSQ720929 TCM720924:TCM720929 TMI720924:TMI720929 TWE720924:TWE720929 UGA720924:UGA720929 UPW720924:UPW720929 UZS720924:UZS720929 VJO720924:VJO720929 VTK720924:VTK720929 WDG720924:WDG720929 WNC720924:WNC720929 G786460:G786465 AQ786460:AQ786465 KM786460:KM786465 UI786460:UI786465 AEE786460:AEE786465 AOA786460:AOA786465 AXW786460:AXW786465 BHS786460:BHS786465 BRO786460:BRO786465 CBK786460:CBK786465 CLG786460:CLG786465 CVC786460:CVC786465 DEY786460:DEY786465 DOU786460:DOU786465 DYQ786460:DYQ786465 EIM786460:EIM786465 ESI786460:ESI786465 FCE786460:FCE786465 FMA786460:FMA786465 FVW786460:FVW786465 GFS786460:GFS786465 GPO786460:GPO786465 GZK786460:GZK786465 HJG786460:HJG786465 HTC786460:HTC786465 ICY786460:ICY786465 IMU786460:IMU786465 IWQ786460:IWQ786465 JGM786460:JGM786465 JQI786460:JQI786465 KAE786460:KAE786465 KKA786460:KKA786465 KTW786460:KTW786465 LDS786460:LDS786465 LNO786460:LNO786465 LXK786460:LXK786465 MHG786460:MHG786465 MRC786460:MRC786465 NAY786460:NAY786465 NKU786460:NKU786465 NUQ786460:NUQ786465 OEM786460:OEM786465 OOI786460:OOI786465 OYE786460:OYE786465 PIA786460:PIA786465 PRW786460:PRW786465 QBS786460:QBS786465 QLO786460:QLO786465 QVK786460:QVK786465 RFG786460:RFG786465 RPC786460:RPC786465 RYY786460:RYY786465 SIU786460:SIU786465 SSQ786460:SSQ786465 TCM786460:TCM786465 TMI786460:TMI786465 TWE786460:TWE786465 UGA786460:UGA786465 UPW786460:UPW786465 UZS786460:UZS786465 VJO786460:VJO786465 VTK786460:VTK786465 WDG786460:WDG786465 WNC786460:WNC786465 G851996:G852001 AQ851996:AQ852001 KM851996:KM852001 UI851996:UI852001 AEE851996:AEE852001 AOA851996:AOA852001 AXW851996:AXW852001 BHS851996:BHS852001 BRO851996:BRO852001 CBK851996:CBK852001 CLG851996:CLG852001 CVC851996:CVC852001 DEY851996:DEY852001 DOU851996:DOU852001 DYQ851996:DYQ852001 EIM851996:EIM852001 ESI851996:ESI852001 FCE851996:FCE852001 FMA851996:FMA852001 FVW851996:FVW852001 GFS851996:GFS852001 GPO851996:GPO852001 GZK851996:GZK852001 HJG851996:HJG852001 HTC851996:HTC852001 ICY851996:ICY852001 IMU851996:IMU852001 IWQ851996:IWQ852001 JGM851996:JGM852001 JQI851996:JQI852001 KAE851996:KAE852001 KKA851996:KKA852001 KTW851996:KTW852001 LDS851996:LDS852001 LNO851996:LNO852001 LXK851996:LXK852001 MHG851996:MHG852001 MRC851996:MRC852001 NAY851996:NAY852001 NKU851996:NKU852001 NUQ851996:NUQ852001 OEM851996:OEM852001 OOI851996:OOI852001 OYE851996:OYE852001 PIA851996:PIA852001 PRW851996:PRW852001 QBS851996:QBS852001 QLO851996:QLO852001 QVK851996:QVK852001 RFG851996:RFG852001 RPC851996:RPC852001 RYY851996:RYY852001 SIU851996:SIU852001 SSQ851996:SSQ852001 TCM851996:TCM852001 TMI851996:TMI852001 TWE851996:TWE852001 UGA851996:UGA852001 UPW851996:UPW852001 UZS851996:UZS852001 VJO851996:VJO852001 VTK851996:VTK852001 WDG851996:WDG852001 WNC851996:WNC852001 G917532:G917537 AQ917532:AQ917537 KM917532:KM917537 UI917532:UI917537 AEE917532:AEE917537 AOA917532:AOA917537 AXW917532:AXW917537 BHS917532:BHS917537 BRO917532:BRO917537 CBK917532:CBK917537 CLG917532:CLG917537 CVC917532:CVC917537 DEY917532:DEY917537 DOU917532:DOU917537 DYQ917532:DYQ917537 EIM917532:EIM917537 ESI917532:ESI917537 FCE917532:FCE917537 FMA917532:FMA917537 FVW917532:FVW917537 GFS917532:GFS917537 GPO917532:GPO917537 GZK917532:GZK917537 HJG917532:HJG917537 HTC917532:HTC917537 ICY917532:ICY917537 IMU917532:IMU917537 IWQ917532:IWQ917537 JGM917532:JGM917537 JQI917532:JQI917537 KAE917532:KAE917537 KKA917532:KKA917537 KTW917532:KTW917537 LDS917532:LDS917537 LNO917532:LNO917537 LXK917532:LXK917537 MHG917532:MHG917537 MRC917532:MRC917537 NAY917532:NAY917537 NKU917532:NKU917537 NUQ917532:NUQ917537 OEM917532:OEM917537 OOI917532:OOI917537 OYE917532:OYE917537 PIA917532:PIA917537 PRW917532:PRW917537 QBS917532:QBS917537 QLO917532:QLO917537 QVK917532:QVK917537 RFG917532:RFG917537 RPC917532:RPC917537 RYY917532:RYY917537 SIU917532:SIU917537 SSQ917532:SSQ917537 TCM917532:TCM917537 TMI917532:TMI917537 TWE917532:TWE917537 UGA917532:UGA917537 UPW917532:UPW917537 UZS917532:UZS917537 VJO917532:VJO917537 VTK917532:VTK917537 WDG917532:WDG917537 WNC917532:WNC917537 G983068:G983073 AQ983068:AQ983073 KM983068:KM983073 UI983068:UI983073 AEE983068:AEE983073 AOA983068:AOA983073 AXW983068:AXW983073 BHS983068:BHS983073 BRO983068:BRO983073 CBK983068:CBK983073 CLG983068:CLG983073 CVC983068:CVC983073 DEY983068:DEY983073 DOU983068:DOU983073 DYQ983068:DYQ983073 EIM983068:EIM983073 ESI983068:ESI983073 FCE983068:FCE983073 FMA983068:FMA983073 FVW983068:FVW983073 GFS983068:GFS983073 GPO983068:GPO983073 GZK983068:GZK983073 HJG983068:HJG983073 HTC983068:HTC983073 ICY983068:ICY983073 IMU983068:IMU983073 IWQ983068:IWQ983073 JGM983068:JGM983073 JQI983068:JQI983073 KAE983068:KAE983073 KKA983068:KKA983073 KTW983068:KTW983073 LDS983068:LDS983073 LNO983068:LNO983073 LXK983068:LXK983073 MHG983068:MHG983073 MRC983068:MRC983073 NAY983068:NAY983073 NKU983068:NKU983073 NUQ983068:NUQ983073 OEM983068:OEM983073 OOI983068:OOI983073 OYE983068:OYE983073 PIA983068:PIA983073 PRW983068:PRW983073 QBS983068:QBS983073 QLO983068:QLO983073 QVK983068:QVK983073 RFG983068:RFG983073 RPC983068:RPC983073 RYY983068:RYY983073 SIU983068:SIU983073 SSQ983068:SSQ983073 TCM983068:TCM983073 TMI983068:TMI983073 TWE983068:TWE983073 UGA983068:UGA983073 UPW983068:UPW983073 UZS983068:UZS983073 VJO983068:VJO983073 VTK983068:VTK983073 WDG983068:WDG983073 WNC983068:WNC983073 WDG983080:WDH983081 AQ42:AR43 KM42:KN43 UI42:UJ43 AEE42:AEF43 AOA42:AOB43 AXW42:AXX43 BHS42:BHT43 BRO42:BRP43 CBK42:CBL43 CLG42:CLH43 CVC42:CVD43 DEY42:DEZ43 DOU42:DOV43 DYQ42:DYR43 EIM42:EIN43 ESI42:ESJ43 FCE42:FCF43 FMA42:FMB43 FVW42:FVX43 GFS42:GFT43 GPO42:GPP43 GZK42:GZL43 HJG42:HJH43 HTC42:HTD43 ICY42:ICZ43 IMU42:IMV43 IWQ42:IWR43 JGM42:JGN43 JQI42:JQJ43 KAE42:KAF43 KKA42:KKB43 KTW42:KTX43 LDS42:LDT43 LNO42:LNP43 LXK42:LXL43 MHG42:MHH43 MRC42:MRD43 NAY42:NAZ43 NKU42:NKV43 NUQ42:NUR43 OEM42:OEN43 OOI42:OOJ43 OYE42:OYF43 PIA42:PIB43 PRW42:PRX43 QBS42:QBT43 QLO42:QLP43 QVK42:QVL43 RFG42:RFH43 RPC42:RPD43 RYY42:RYZ43 SIU42:SIV43 SSQ42:SSR43 TCM42:TCN43 TMI42:TMJ43 TWE42:TWF43 UGA42:UGB43 UPW42:UPX43 UZS42:UZT43 VJO42:VJP43 VTK42:VTL43 WDG42:WDH43 WNC42:WND43 G65576:H65577 AQ65576:AR65577 KM65576:KN65577 UI65576:UJ65577 AEE65576:AEF65577 AOA65576:AOB65577 AXW65576:AXX65577 BHS65576:BHT65577 BRO65576:BRP65577 CBK65576:CBL65577 CLG65576:CLH65577 CVC65576:CVD65577 DEY65576:DEZ65577 DOU65576:DOV65577 DYQ65576:DYR65577 EIM65576:EIN65577 ESI65576:ESJ65577 FCE65576:FCF65577 FMA65576:FMB65577 FVW65576:FVX65577 GFS65576:GFT65577 GPO65576:GPP65577 GZK65576:GZL65577 HJG65576:HJH65577 HTC65576:HTD65577 ICY65576:ICZ65577 IMU65576:IMV65577 IWQ65576:IWR65577 JGM65576:JGN65577 JQI65576:JQJ65577 KAE65576:KAF65577 KKA65576:KKB65577 KTW65576:KTX65577 LDS65576:LDT65577 LNO65576:LNP65577 LXK65576:LXL65577 MHG65576:MHH65577 MRC65576:MRD65577 NAY65576:NAZ65577 NKU65576:NKV65577 NUQ65576:NUR65577 OEM65576:OEN65577 OOI65576:OOJ65577 OYE65576:OYF65577 PIA65576:PIB65577 PRW65576:PRX65577 QBS65576:QBT65577 QLO65576:QLP65577 QVK65576:QVL65577 RFG65576:RFH65577 RPC65576:RPD65577 RYY65576:RYZ65577 SIU65576:SIV65577 SSQ65576:SSR65577 TCM65576:TCN65577 TMI65576:TMJ65577 TWE65576:TWF65577 UGA65576:UGB65577 UPW65576:UPX65577 UZS65576:UZT65577 VJO65576:VJP65577 VTK65576:VTL65577 WDG65576:WDH65577 WNC65576:WND65577 G131112:H131113 AQ131112:AR131113 KM131112:KN131113 UI131112:UJ131113 AEE131112:AEF131113 AOA131112:AOB131113 AXW131112:AXX131113 BHS131112:BHT131113 BRO131112:BRP131113 CBK131112:CBL131113 CLG131112:CLH131113 CVC131112:CVD131113 DEY131112:DEZ131113 DOU131112:DOV131113 DYQ131112:DYR131113 EIM131112:EIN131113 ESI131112:ESJ131113 FCE131112:FCF131113 FMA131112:FMB131113 FVW131112:FVX131113 GFS131112:GFT131113 GPO131112:GPP131113 GZK131112:GZL131113 HJG131112:HJH131113 HTC131112:HTD131113 ICY131112:ICZ131113 IMU131112:IMV131113 IWQ131112:IWR131113 JGM131112:JGN131113 JQI131112:JQJ131113 KAE131112:KAF131113 KKA131112:KKB131113 KTW131112:KTX131113 LDS131112:LDT131113 LNO131112:LNP131113 LXK131112:LXL131113 MHG131112:MHH131113 MRC131112:MRD131113 NAY131112:NAZ131113 NKU131112:NKV131113 NUQ131112:NUR131113 OEM131112:OEN131113 OOI131112:OOJ131113 OYE131112:OYF131113 PIA131112:PIB131113 PRW131112:PRX131113 QBS131112:QBT131113 QLO131112:QLP131113 QVK131112:QVL131113 RFG131112:RFH131113 RPC131112:RPD131113 RYY131112:RYZ131113 SIU131112:SIV131113 SSQ131112:SSR131113 TCM131112:TCN131113 TMI131112:TMJ131113 TWE131112:TWF131113 UGA131112:UGB131113 UPW131112:UPX131113 UZS131112:UZT131113 VJO131112:VJP131113 VTK131112:VTL131113 WDG131112:WDH131113 WNC131112:WND131113 G196648:H196649 AQ196648:AR196649 KM196648:KN196649 UI196648:UJ196649 AEE196648:AEF196649 AOA196648:AOB196649 AXW196648:AXX196649 BHS196648:BHT196649 BRO196648:BRP196649 CBK196648:CBL196649 CLG196648:CLH196649 CVC196648:CVD196649 DEY196648:DEZ196649 DOU196648:DOV196649 DYQ196648:DYR196649 EIM196648:EIN196649 ESI196648:ESJ196649 FCE196648:FCF196649 FMA196648:FMB196649 FVW196648:FVX196649 GFS196648:GFT196649 GPO196648:GPP196649 GZK196648:GZL196649 HJG196648:HJH196649 HTC196648:HTD196649 ICY196648:ICZ196649 IMU196648:IMV196649 IWQ196648:IWR196649 JGM196648:JGN196649 JQI196648:JQJ196649 KAE196648:KAF196649 KKA196648:KKB196649 KTW196648:KTX196649 LDS196648:LDT196649 LNO196648:LNP196649 LXK196648:LXL196649 MHG196648:MHH196649 MRC196648:MRD196649 NAY196648:NAZ196649 NKU196648:NKV196649 NUQ196648:NUR196649 OEM196648:OEN196649 OOI196648:OOJ196649 OYE196648:OYF196649 PIA196648:PIB196649 PRW196648:PRX196649 QBS196648:QBT196649 QLO196648:QLP196649 QVK196648:QVL196649 RFG196648:RFH196649 RPC196648:RPD196649 RYY196648:RYZ196649 SIU196648:SIV196649 SSQ196648:SSR196649 TCM196648:TCN196649 TMI196648:TMJ196649 TWE196648:TWF196649 UGA196648:UGB196649 UPW196648:UPX196649 UZS196648:UZT196649 VJO196648:VJP196649 VTK196648:VTL196649 WDG196648:WDH196649 WNC196648:WND196649 G262184:H262185 AQ262184:AR262185 KM262184:KN262185 UI262184:UJ262185 AEE262184:AEF262185 AOA262184:AOB262185 AXW262184:AXX262185 BHS262184:BHT262185 BRO262184:BRP262185 CBK262184:CBL262185 CLG262184:CLH262185 CVC262184:CVD262185 DEY262184:DEZ262185 DOU262184:DOV262185 DYQ262184:DYR262185 EIM262184:EIN262185 ESI262184:ESJ262185 FCE262184:FCF262185 FMA262184:FMB262185 FVW262184:FVX262185 GFS262184:GFT262185 GPO262184:GPP262185 GZK262184:GZL262185 HJG262184:HJH262185 HTC262184:HTD262185 ICY262184:ICZ262185 IMU262184:IMV262185 IWQ262184:IWR262185 JGM262184:JGN262185 JQI262184:JQJ262185 KAE262184:KAF262185 KKA262184:KKB262185 KTW262184:KTX262185 LDS262184:LDT262185 LNO262184:LNP262185 LXK262184:LXL262185 MHG262184:MHH262185 MRC262184:MRD262185 NAY262184:NAZ262185 NKU262184:NKV262185 NUQ262184:NUR262185 OEM262184:OEN262185 OOI262184:OOJ262185 OYE262184:OYF262185 PIA262184:PIB262185 PRW262184:PRX262185 QBS262184:QBT262185 QLO262184:QLP262185 QVK262184:QVL262185 RFG262184:RFH262185 RPC262184:RPD262185 RYY262184:RYZ262185 SIU262184:SIV262185 SSQ262184:SSR262185 TCM262184:TCN262185 TMI262184:TMJ262185 TWE262184:TWF262185 UGA262184:UGB262185 UPW262184:UPX262185 UZS262184:UZT262185 VJO262184:VJP262185 VTK262184:VTL262185 WDG262184:WDH262185 WNC262184:WND262185 G327720:H327721 AQ327720:AR327721 KM327720:KN327721 UI327720:UJ327721 AEE327720:AEF327721 AOA327720:AOB327721 AXW327720:AXX327721 BHS327720:BHT327721 BRO327720:BRP327721 CBK327720:CBL327721 CLG327720:CLH327721 CVC327720:CVD327721 DEY327720:DEZ327721 DOU327720:DOV327721 DYQ327720:DYR327721 EIM327720:EIN327721 ESI327720:ESJ327721 FCE327720:FCF327721 FMA327720:FMB327721 FVW327720:FVX327721 GFS327720:GFT327721 GPO327720:GPP327721 GZK327720:GZL327721 HJG327720:HJH327721 HTC327720:HTD327721 ICY327720:ICZ327721 IMU327720:IMV327721 IWQ327720:IWR327721 JGM327720:JGN327721 JQI327720:JQJ327721 KAE327720:KAF327721 KKA327720:KKB327721 KTW327720:KTX327721 LDS327720:LDT327721 LNO327720:LNP327721 LXK327720:LXL327721 MHG327720:MHH327721 MRC327720:MRD327721 NAY327720:NAZ327721 NKU327720:NKV327721 NUQ327720:NUR327721 OEM327720:OEN327721 OOI327720:OOJ327721 OYE327720:OYF327721 PIA327720:PIB327721 PRW327720:PRX327721 QBS327720:QBT327721 QLO327720:QLP327721 QVK327720:QVL327721 RFG327720:RFH327721 RPC327720:RPD327721 RYY327720:RYZ327721 SIU327720:SIV327721 SSQ327720:SSR327721 TCM327720:TCN327721 TMI327720:TMJ327721 TWE327720:TWF327721 UGA327720:UGB327721 UPW327720:UPX327721 UZS327720:UZT327721 VJO327720:VJP327721 VTK327720:VTL327721 WDG327720:WDH327721 WNC327720:WND327721 G393256:H393257 AQ393256:AR393257 KM393256:KN393257 UI393256:UJ393257 AEE393256:AEF393257 AOA393256:AOB393257 AXW393256:AXX393257 BHS393256:BHT393257 BRO393256:BRP393257 CBK393256:CBL393257 CLG393256:CLH393257 CVC393256:CVD393257 DEY393256:DEZ393257 DOU393256:DOV393257 DYQ393256:DYR393257 EIM393256:EIN393257 ESI393256:ESJ393257 FCE393256:FCF393257 FMA393256:FMB393257 FVW393256:FVX393257 GFS393256:GFT393257 GPO393256:GPP393257 GZK393256:GZL393257 HJG393256:HJH393257 HTC393256:HTD393257 ICY393256:ICZ393257 IMU393256:IMV393257 IWQ393256:IWR393257 JGM393256:JGN393257 JQI393256:JQJ393257 KAE393256:KAF393257 KKA393256:KKB393257 KTW393256:KTX393257 LDS393256:LDT393257 LNO393256:LNP393257 LXK393256:LXL393257 MHG393256:MHH393257 MRC393256:MRD393257 NAY393256:NAZ393257 NKU393256:NKV393257 NUQ393256:NUR393257 OEM393256:OEN393257 OOI393256:OOJ393257 OYE393256:OYF393257 PIA393256:PIB393257 PRW393256:PRX393257 QBS393256:QBT393257 QLO393256:QLP393257 QVK393256:QVL393257 RFG393256:RFH393257 RPC393256:RPD393257 RYY393256:RYZ393257 SIU393256:SIV393257 SSQ393256:SSR393257 TCM393256:TCN393257 TMI393256:TMJ393257 TWE393256:TWF393257 UGA393256:UGB393257 UPW393256:UPX393257 UZS393256:UZT393257 VJO393256:VJP393257 VTK393256:VTL393257 WDG393256:WDH393257 WNC393256:WND393257 G458792:H458793 AQ458792:AR458793 KM458792:KN458793 UI458792:UJ458793 AEE458792:AEF458793 AOA458792:AOB458793 AXW458792:AXX458793 BHS458792:BHT458793 BRO458792:BRP458793 CBK458792:CBL458793 CLG458792:CLH458793 CVC458792:CVD458793 DEY458792:DEZ458793 DOU458792:DOV458793 DYQ458792:DYR458793 EIM458792:EIN458793 ESI458792:ESJ458793 FCE458792:FCF458793 FMA458792:FMB458793 FVW458792:FVX458793 GFS458792:GFT458793 GPO458792:GPP458793 GZK458792:GZL458793 HJG458792:HJH458793 HTC458792:HTD458793 ICY458792:ICZ458793 IMU458792:IMV458793 IWQ458792:IWR458793 JGM458792:JGN458793 JQI458792:JQJ458793 KAE458792:KAF458793 KKA458792:KKB458793 KTW458792:KTX458793 LDS458792:LDT458793 LNO458792:LNP458793 LXK458792:LXL458793 MHG458792:MHH458793 MRC458792:MRD458793 NAY458792:NAZ458793 NKU458792:NKV458793 NUQ458792:NUR458793 OEM458792:OEN458793 OOI458792:OOJ458793 OYE458792:OYF458793 PIA458792:PIB458793 PRW458792:PRX458793 QBS458792:QBT458793 QLO458792:QLP458793 QVK458792:QVL458793 RFG458792:RFH458793 RPC458792:RPD458793 RYY458792:RYZ458793 SIU458792:SIV458793 SSQ458792:SSR458793 TCM458792:TCN458793 TMI458792:TMJ458793 TWE458792:TWF458793 UGA458792:UGB458793 UPW458792:UPX458793 UZS458792:UZT458793 VJO458792:VJP458793 VTK458792:VTL458793 WDG458792:WDH458793 WNC458792:WND458793 G524328:H524329 AQ524328:AR524329 KM524328:KN524329 UI524328:UJ524329 AEE524328:AEF524329 AOA524328:AOB524329 AXW524328:AXX524329 BHS524328:BHT524329 BRO524328:BRP524329 CBK524328:CBL524329 CLG524328:CLH524329 CVC524328:CVD524329 DEY524328:DEZ524329 DOU524328:DOV524329 DYQ524328:DYR524329 EIM524328:EIN524329 ESI524328:ESJ524329 FCE524328:FCF524329 FMA524328:FMB524329 FVW524328:FVX524329 GFS524328:GFT524329 GPO524328:GPP524329 GZK524328:GZL524329 HJG524328:HJH524329 HTC524328:HTD524329 ICY524328:ICZ524329 IMU524328:IMV524329 IWQ524328:IWR524329 JGM524328:JGN524329 JQI524328:JQJ524329 KAE524328:KAF524329 KKA524328:KKB524329 KTW524328:KTX524329 LDS524328:LDT524329 LNO524328:LNP524329 LXK524328:LXL524329 MHG524328:MHH524329 MRC524328:MRD524329 NAY524328:NAZ524329 NKU524328:NKV524329 NUQ524328:NUR524329 OEM524328:OEN524329 OOI524328:OOJ524329 OYE524328:OYF524329 PIA524328:PIB524329 PRW524328:PRX524329 QBS524328:QBT524329 QLO524328:QLP524329 QVK524328:QVL524329 RFG524328:RFH524329 RPC524328:RPD524329 RYY524328:RYZ524329 SIU524328:SIV524329 SSQ524328:SSR524329 TCM524328:TCN524329 TMI524328:TMJ524329 TWE524328:TWF524329 UGA524328:UGB524329 UPW524328:UPX524329 UZS524328:UZT524329 VJO524328:VJP524329 VTK524328:VTL524329 WDG524328:WDH524329 WNC524328:WND524329 G589864:H589865 AQ589864:AR589865 KM589864:KN589865 UI589864:UJ589865 AEE589864:AEF589865 AOA589864:AOB589865 AXW589864:AXX589865 BHS589864:BHT589865 BRO589864:BRP589865 CBK589864:CBL589865 CLG589864:CLH589865 CVC589864:CVD589865 DEY589864:DEZ589865 DOU589864:DOV589865 DYQ589864:DYR589865 EIM589864:EIN589865 ESI589864:ESJ589865 FCE589864:FCF589865 FMA589864:FMB589865 FVW589864:FVX589865 GFS589864:GFT589865 GPO589864:GPP589865 GZK589864:GZL589865 HJG589864:HJH589865 HTC589864:HTD589865 ICY589864:ICZ589865 IMU589864:IMV589865 IWQ589864:IWR589865 JGM589864:JGN589865 JQI589864:JQJ589865 KAE589864:KAF589865 KKA589864:KKB589865 KTW589864:KTX589865 LDS589864:LDT589865 LNO589864:LNP589865 LXK589864:LXL589865 MHG589864:MHH589865 MRC589864:MRD589865 NAY589864:NAZ589865 NKU589864:NKV589865 NUQ589864:NUR589865 OEM589864:OEN589865 OOI589864:OOJ589865 OYE589864:OYF589865 PIA589864:PIB589865 PRW589864:PRX589865 QBS589864:QBT589865 QLO589864:QLP589865 QVK589864:QVL589865 RFG589864:RFH589865 RPC589864:RPD589865 RYY589864:RYZ589865 SIU589864:SIV589865 SSQ589864:SSR589865 TCM589864:TCN589865 TMI589864:TMJ589865 TWE589864:TWF589865 UGA589864:UGB589865 UPW589864:UPX589865 UZS589864:UZT589865 VJO589864:VJP589865 VTK589864:VTL589865 WDG589864:WDH589865 WNC589864:WND589865 G655400:H655401 AQ655400:AR655401 KM655400:KN655401 UI655400:UJ655401 AEE655400:AEF655401 AOA655400:AOB655401 AXW655400:AXX655401 BHS655400:BHT655401 BRO655400:BRP655401 CBK655400:CBL655401 CLG655400:CLH655401 CVC655400:CVD655401 DEY655400:DEZ655401 DOU655400:DOV655401 DYQ655400:DYR655401 EIM655400:EIN655401 ESI655400:ESJ655401 FCE655400:FCF655401 FMA655400:FMB655401 FVW655400:FVX655401 GFS655400:GFT655401 GPO655400:GPP655401 GZK655400:GZL655401 HJG655400:HJH655401 HTC655400:HTD655401 ICY655400:ICZ655401 IMU655400:IMV655401 IWQ655400:IWR655401 JGM655400:JGN655401 JQI655400:JQJ655401 KAE655400:KAF655401 KKA655400:KKB655401 KTW655400:KTX655401 LDS655400:LDT655401 LNO655400:LNP655401 LXK655400:LXL655401 MHG655400:MHH655401 MRC655400:MRD655401 NAY655400:NAZ655401 NKU655400:NKV655401 NUQ655400:NUR655401 OEM655400:OEN655401 OOI655400:OOJ655401 OYE655400:OYF655401 PIA655400:PIB655401 PRW655400:PRX655401 QBS655400:QBT655401 QLO655400:QLP655401 QVK655400:QVL655401 RFG655400:RFH655401 RPC655400:RPD655401 RYY655400:RYZ655401 SIU655400:SIV655401 SSQ655400:SSR655401 TCM655400:TCN655401 TMI655400:TMJ655401 TWE655400:TWF655401 UGA655400:UGB655401 UPW655400:UPX655401 UZS655400:UZT655401 VJO655400:VJP655401 VTK655400:VTL655401 WDG655400:WDH655401 WNC655400:WND655401 G720936:H720937 AQ720936:AR720937 KM720936:KN720937 UI720936:UJ720937 AEE720936:AEF720937 AOA720936:AOB720937 AXW720936:AXX720937 BHS720936:BHT720937 BRO720936:BRP720937 CBK720936:CBL720937 CLG720936:CLH720937 CVC720936:CVD720937 DEY720936:DEZ720937 DOU720936:DOV720937 DYQ720936:DYR720937 EIM720936:EIN720937 ESI720936:ESJ720937 FCE720936:FCF720937 FMA720936:FMB720937 FVW720936:FVX720937 GFS720936:GFT720937 GPO720936:GPP720937 GZK720936:GZL720937 HJG720936:HJH720937 HTC720936:HTD720937 ICY720936:ICZ720937 IMU720936:IMV720937 IWQ720936:IWR720937 JGM720936:JGN720937 JQI720936:JQJ720937 KAE720936:KAF720937 KKA720936:KKB720937 KTW720936:KTX720937 LDS720936:LDT720937 LNO720936:LNP720937 LXK720936:LXL720937 MHG720936:MHH720937 MRC720936:MRD720937 NAY720936:NAZ720937 NKU720936:NKV720937 NUQ720936:NUR720937 OEM720936:OEN720937 OOI720936:OOJ720937 OYE720936:OYF720937 PIA720936:PIB720937 PRW720936:PRX720937 QBS720936:QBT720937 QLO720936:QLP720937 QVK720936:QVL720937 RFG720936:RFH720937 RPC720936:RPD720937 RYY720936:RYZ720937 SIU720936:SIV720937 SSQ720936:SSR720937 TCM720936:TCN720937 TMI720936:TMJ720937 TWE720936:TWF720937 UGA720936:UGB720937 UPW720936:UPX720937 UZS720936:UZT720937 VJO720936:VJP720937 VTK720936:VTL720937 WDG720936:WDH720937 WNC720936:WND720937 G786472:H786473 AQ786472:AR786473 KM786472:KN786473 UI786472:UJ786473 AEE786472:AEF786473 AOA786472:AOB786473 AXW786472:AXX786473 BHS786472:BHT786473 BRO786472:BRP786473 CBK786472:CBL786473 CLG786472:CLH786473 CVC786472:CVD786473 DEY786472:DEZ786473 DOU786472:DOV786473 DYQ786472:DYR786473 EIM786472:EIN786473 ESI786472:ESJ786473 FCE786472:FCF786473 FMA786472:FMB786473 FVW786472:FVX786473 GFS786472:GFT786473 GPO786472:GPP786473 GZK786472:GZL786473 HJG786472:HJH786473 HTC786472:HTD786473 ICY786472:ICZ786473 IMU786472:IMV786473 IWQ786472:IWR786473 JGM786472:JGN786473 JQI786472:JQJ786473 KAE786472:KAF786473 KKA786472:KKB786473 KTW786472:KTX786473 LDS786472:LDT786473 LNO786472:LNP786473 LXK786472:LXL786473 MHG786472:MHH786473 MRC786472:MRD786473 NAY786472:NAZ786473 NKU786472:NKV786473 NUQ786472:NUR786473 OEM786472:OEN786473 OOI786472:OOJ786473 OYE786472:OYF786473 PIA786472:PIB786473 PRW786472:PRX786473 QBS786472:QBT786473 QLO786472:QLP786473 QVK786472:QVL786473 RFG786472:RFH786473 RPC786472:RPD786473 RYY786472:RYZ786473 SIU786472:SIV786473 SSQ786472:SSR786473 TCM786472:TCN786473 TMI786472:TMJ786473 TWE786472:TWF786473 UGA786472:UGB786473 UPW786472:UPX786473 UZS786472:UZT786473 VJO786472:VJP786473 VTK786472:VTL786473 WDG786472:WDH786473 WNC786472:WND786473 G852008:H852009 AQ852008:AR852009 KM852008:KN852009 UI852008:UJ852009 AEE852008:AEF852009 AOA852008:AOB852009 AXW852008:AXX852009 BHS852008:BHT852009 BRO852008:BRP852009 CBK852008:CBL852009 CLG852008:CLH852009 CVC852008:CVD852009 DEY852008:DEZ852009 DOU852008:DOV852009 DYQ852008:DYR852009 EIM852008:EIN852009 ESI852008:ESJ852009 FCE852008:FCF852009 FMA852008:FMB852009 FVW852008:FVX852009 GFS852008:GFT852009 GPO852008:GPP852009 GZK852008:GZL852009 HJG852008:HJH852009 HTC852008:HTD852009 ICY852008:ICZ852009 IMU852008:IMV852009 IWQ852008:IWR852009 JGM852008:JGN852009 JQI852008:JQJ852009 KAE852008:KAF852009 KKA852008:KKB852009 KTW852008:KTX852009 LDS852008:LDT852009 LNO852008:LNP852009 LXK852008:LXL852009 MHG852008:MHH852009 MRC852008:MRD852009 NAY852008:NAZ852009 NKU852008:NKV852009 NUQ852008:NUR852009 OEM852008:OEN852009 OOI852008:OOJ852009 OYE852008:OYF852009 PIA852008:PIB852009 PRW852008:PRX852009 QBS852008:QBT852009 QLO852008:QLP852009 QVK852008:QVL852009 RFG852008:RFH852009 RPC852008:RPD852009 RYY852008:RYZ852009 SIU852008:SIV852009 SSQ852008:SSR852009 TCM852008:TCN852009 TMI852008:TMJ852009 TWE852008:TWF852009 UGA852008:UGB852009 UPW852008:UPX852009 UZS852008:UZT852009 VJO852008:VJP852009 VTK852008:VTL852009 WDG852008:WDH852009 WNC852008:WND852009 G917544:H917545 AQ917544:AR917545 KM917544:KN917545 UI917544:UJ917545 AEE917544:AEF917545 AOA917544:AOB917545 AXW917544:AXX917545 BHS917544:BHT917545 BRO917544:BRP917545 CBK917544:CBL917545 CLG917544:CLH917545 CVC917544:CVD917545 DEY917544:DEZ917545 DOU917544:DOV917545 DYQ917544:DYR917545 EIM917544:EIN917545 ESI917544:ESJ917545 FCE917544:FCF917545 FMA917544:FMB917545 FVW917544:FVX917545 GFS917544:GFT917545 GPO917544:GPP917545 GZK917544:GZL917545 HJG917544:HJH917545 HTC917544:HTD917545 ICY917544:ICZ917545 IMU917544:IMV917545 IWQ917544:IWR917545 JGM917544:JGN917545 JQI917544:JQJ917545 KAE917544:KAF917545 KKA917544:KKB917545 KTW917544:KTX917545 LDS917544:LDT917545 LNO917544:LNP917545 LXK917544:LXL917545 MHG917544:MHH917545 MRC917544:MRD917545 NAY917544:NAZ917545 NKU917544:NKV917545 NUQ917544:NUR917545 OEM917544:OEN917545 OOI917544:OOJ917545 OYE917544:OYF917545 PIA917544:PIB917545 PRW917544:PRX917545 QBS917544:QBT917545 QLO917544:QLP917545 QVK917544:QVL917545 RFG917544:RFH917545 RPC917544:RPD917545 RYY917544:RYZ917545 SIU917544:SIV917545 SSQ917544:SSR917545 TCM917544:TCN917545 TMI917544:TMJ917545 TWE917544:TWF917545 UGA917544:UGB917545 UPW917544:UPX917545 UZS917544:UZT917545 VJO917544:VJP917545 VTK917544:VTL917545 WDG917544:WDH917545 WNC917544:WND917545 G983080:H983081 AQ983080:AR983081 KM983080:KN983081 UI983080:UJ983081 AEE983080:AEF983081 AOA983080:AOB983081 AXW983080:AXX983081 BHS983080:BHT983081 BRO983080:BRP983081 CBK983080:CBL983081 CLG983080:CLH983081 CVC983080:CVD983081 DEY983080:DEZ983081 DOU983080:DOV983081 DYQ983080:DYR983081 EIM983080:EIN983081 ESI983080:ESJ983081 FCE983080:FCF983081 FMA983080:FMB983081 FVW983080:FVX983081 GFS983080:GFT983081 GPO983080:GPP983081 GZK983080:GZL983081 HJG983080:HJH983081 HTC983080:HTD983081 ICY983080:ICZ983081 IMU983080:IMV983081 IWQ983080:IWR983081 JGM983080:JGN983081 JQI983080:JQJ983081 KAE983080:KAF983081 KKA983080:KKB983081 KTW983080:KTX983081 LDS983080:LDT983081 LNO983080:LNP983081 LXK983080:LXL983081 MHG983080:MHH983081 MRC983080:MRD983081 NAY983080:NAZ983081 NKU983080:NKV983081 NUQ983080:NUR983081 OEM983080:OEN983081 OOI983080:OOJ983081 OYE983080:OYF983081 PIA983080:PIB983081 PRW983080:PRX983081 QBS983080:QBT983081 QLO983080:QLP983081 QVK983080:QVL983081 RFG983080:RFH983081 RPC983080:RPD983081 RYY983080:RYZ983081 SIU983080:SIV983081 SSQ983080:SSR983081 TCM983080:TCN983081 TMI983080:TMJ983081 TWE983080:TWF983081 UGA983080:UGB983081 UPW983080:UPX983081 UZS983080:UZT983081 VJO983080:VJP983081">
      <formula1>0</formula1>
      <formula2>1</formula2>
    </dataValidation>
    <dataValidation type="decimal" allowBlank="1" showInputMessage="1" showErrorMessage="1" errorTitle="Error" error="The number of eligible secondary pupils for this factor cannot be negative or higher than 100%. Please insert the correct figure or leave the cell blank to use an LA average." sqref="WDH983067:WDH983073 AR37 KN37 UJ37 AEF37 AOB37 AXX37 BHT37 BRP37 CBL37 CLH37 CVD37 DEZ37 DOV37 DYR37 EIN37 ESJ37 FCF37 FMB37 FVX37 GFT37 GPP37 GZL37 HJH37 HTD37 ICZ37 IMV37 IWR37 JGN37 JQJ37 KAF37 KKB37 KTX37 LDT37 LNP37 LXL37 MHH37 MRD37 NAZ37 NKV37 NUR37 OEN37 OOJ37 OYF37 PIB37 PRX37 QBT37 QLP37 QVL37 RFH37 RPD37 RYZ37 SIV37 SSR37 TCN37 TMJ37 TWF37 UGB37 UPX37 UZT37 VJP37 VTL37 WDH37 WND37 H65571 AR65571 KN65571 UJ65571 AEF65571 AOB65571 AXX65571 BHT65571 BRP65571 CBL65571 CLH65571 CVD65571 DEZ65571 DOV65571 DYR65571 EIN65571 ESJ65571 FCF65571 FMB65571 FVX65571 GFT65571 GPP65571 GZL65571 HJH65571 HTD65571 ICZ65571 IMV65571 IWR65571 JGN65571 JQJ65571 KAF65571 KKB65571 KTX65571 LDT65571 LNP65571 LXL65571 MHH65571 MRD65571 NAZ65571 NKV65571 NUR65571 OEN65571 OOJ65571 OYF65571 PIB65571 PRX65571 QBT65571 QLP65571 QVL65571 RFH65571 RPD65571 RYZ65571 SIV65571 SSR65571 TCN65571 TMJ65571 TWF65571 UGB65571 UPX65571 UZT65571 VJP65571 VTL65571 WDH65571 WND65571 H131107 AR131107 KN131107 UJ131107 AEF131107 AOB131107 AXX131107 BHT131107 BRP131107 CBL131107 CLH131107 CVD131107 DEZ131107 DOV131107 DYR131107 EIN131107 ESJ131107 FCF131107 FMB131107 FVX131107 GFT131107 GPP131107 GZL131107 HJH131107 HTD131107 ICZ131107 IMV131107 IWR131107 JGN131107 JQJ131107 KAF131107 KKB131107 KTX131107 LDT131107 LNP131107 LXL131107 MHH131107 MRD131107 NAZ131107 NKV131107 NUR131107 OEN131107 OOJ131107 OYF131107 PIB131107 PRX131107 QBT131107 QLP131107 QVL131107 RFH131107 RPD131107 RYZ131107 SIV131107 SSR131107 TCN131107 TMJ131107 TWF131107 UGB131107 UPX131107 UZT131107 VJP131107 VTL131107 WDH131107 WND131107 H196643 AR196643 KN196643 UJ196643 AEF196643 AOB196643 AXX196643 BHT196643 BRP196643 CBL196643 CLH196643 CVD196643 DEZ196643 DOV196643 DYR196643 EIN196643 ESJ196643 FCF196643 FMB196643 FVX196643 GFT196643 GPP196643 GZL196643 HJH196643 HTD196643 ICZ196643 IMV196643 IWR196643 JGN196643 JQJ196643 KAF196643 KKB196643 KTX196643 LDT196643 LNP196643 LXL196643 MHH196643 MRD196643 NAZ196643 NKV196643 NUR196643 OEN196643 OOJ196643 OYF196643 PIB196643 PRX196643 QBT196643 QLP196643 QVL196643 RFH196643 RPD196643 RYZ196643 SIV196643 SSR196643 TCN196643 TMJ196643 TWF196643 UGB196643 UPX196643 UZT196643 VJP196643 VTL196643 WDH196643 WND196643 H262179 AR262179 KN262179 UJ262179 AEF262179 AOB262179 AXX262179 BHT262179 BRP262179 CBL262179 CLH262179 CVD262179 DEZ262179 DOV262179 DYR262179 EIN262179 ESJ262179 FCF262179 FMB262179 FVX262179 GFT262179 GPP262179 GZL262179 HJH262179 HTD262179 ICZ262179 IMV262179 IWR262179 JGN262179 JQJ262179 KAF262179 KKB262179 KTX262179 LDT262179 LNP262179 LXL262179 MHH262179 MRD262179 NAZ262179 NKV262179 NUR262179 OEN262179 OOJ262179 OYF262179 PIB262179 PRX262179 QBT262179 QLP262179 QVL262179 RFH262179 RPD262179 RYZ262179 SIV262179 SSR262179 TCN262179 TMJ262179 TWF262179 UGB262179 UPX262179 UZT262179 VJP262179 VTL262179 WDH262179 WND262179 H327715 AR327715 KN327715 UJ327715 AEF327715 AOB327715 AXX327715 BHT327715 BRP327715 CBL327715 CLH327715 CVD327715 DEZ327715 DOV327715 DYR327715 EIN327715 ESJ327715 FCF327715 FMB327715 FVX327715 GFT327715 GPP327715 GZL327715 HJH327715 HTD327715 ICZ327715 IMV327715 IWR327715 JGN327715 JQJ327715 KAF327715 KKB327715 KTX327715 LDT327715 LNP327715 LXL327715 MHH327715 MRD327715 NAZ327715 NKV327715 NUR327715 OEN327715 OOJ327715 OYF327715 PIB327715 PRX327715 QBT327715 QLP327715 QVL327715 RFH327715 RPD327715 RYZ327715 SIV327715 SSR327715 TCN327715 TMJ327715 TWF327715 UGB327715 UPX327715 UZT327715 VJP327715 VTL327715 WDH327715 WND327715 H393251 AR393251 KN393251 UJ393251 AEF393251 AOB393251 AXX393251 BHT393251 BRP393251 CBL393251 CLH393251 CVD393251 DEZ393251 DOV393251 DYR393251 EIN393251 ESJ393251 FCF393251 FMB393251 FVX393251 GFT393251 GPP393251 GZL393251 HJH393251 HTD393251 ICZ393251 IMV393251 IWR393251 JGN393251 JQJ393251 KAF393251 KKB393251 KTX393251 LDT393251 LNP393251 LXL393251 MHH393251 MRD393251 NAZ393251 NKV393251 NUR393251 OEN393251 OOJ393251 OYF393251 PIB393251 PRX393251 QBT393251 QLP393251 QVL393251 RFH393251 RPD393251 RYZ393251 SIV393251 SSR393251 TCN393251 TMJ393251 TWF393251 UGB393251 UPX393251 UZT393251 VJP393251 VTL393251 WDH393251 WND393251 H458787 AR458787 KN458787 UJ458787 AEF458787 AOB458787 AXX458787 BHT458787 BRP458787 CBL458787 CLH458787 CVD458787 DEZ458787 DOV458787 DYR458787 EIN458787 ESJ458787 FCF458787 FMB458787 FVX458787 GFT458787 GPP458787 GZL458787 HJH458787 HTD458787 ICZ458787 IMV458787 IWR458787 JGN458787 JQJ458787 KAF458787 KKB458787 KTX458787 LDT458787 LNP458787 LXL458787 MHH458787 MRD458787 NAZ458787 NKV458787 NUR458787 OEN458787 OOJ458787 OYF458787 PIB458787 PRX458787 QBT458787 QLP458787 QVL458787 RFH458787 RPD458787 RYZ458787 SIV458787 SSR458787 TCN458787 TMJ458787 TWF458787 UGB458787 UPX458787 UZT458787 VJP458787 VTL458787 WDH458787 WND458787 H524323 AR524323 KN524323 UJ524323 AEF524323 AOB524323 AXX524323 BHT524323 BRP524323 CBL524323 CLH524323 CVD524323 DEZ524323 DOV524323 DYR524323 EIN524323 ESJ524323 FCF524323 FMB524323 FVX524323 GFT524323 GPP524323 GZL524323 HJH524323 HTD524323 ICZ524323 IMV524323 IWR524323 JGN524323 JQJ524323 KAF524323 KKB524323 KTX524323 LDT524323 LNP524323 LXL524323 MHH524323 MRD524323 NAZ524323 NKV524323 NUR524323 OEN524323 OOJ524323 OYF524323 PIB524323 PRX524323 QBT524323 QLP524323 QVL524323 RFH524323 RPD524323 RYZ524323 SIV524323 SSR524323 TCN524323 TMJ524323 TWF524323 UGB524323 UPX524323 UZT524323 VJP524323 VTL524323 WDH524323 WND524323 H589859 AR589859 KN589859 UJ589859 AEF589859 AOB589859 AXX589859 BHT589859 BRP589859 CBL589859 CLH589859 CVD589859 DEZ589859 DOV589859 DYR589859 EIN589859 ESJ589859 FCF589859 FMB589859 FVX589859 GFT589859 GPP589859 GZL589859 HJH589859 HTD589859 ICZ589859 IMV589859 IWR589859 JGN589859 JQJ589859 KAF589859 KKB589859 KTX589859 LDT589859 LNP589859 LXL589859 MHH589859 MRD589859 NAZ589859 NKV589859 NUR589859 OEN589859 OOJ589859 OYF589859 PIB589859 PRX589859 QBT589859 QLP589859 QVL589859 RFH589859 RPD589859 RYZ589859 SIV589859 SSR589859 TCN589859 TMJ589859 TWF589859 UGB589859 UPX589859 UZT589859 VJP589859 VTL589859 WDH589859 WND589859 H655395 AR655395 KN655395 UJ655395 AEF655395 AOB655395 AXX655395 BHT655395 BRP655395 CBL655395 CLH655395 CVD655395 DEZ655395 DOV655395 DYR655395 EIN655395 ESJ655395 FCF655395 FMB655395 FVX655395 GFT655395 GPP655395 GZL655395 HJH655395 HTD655395 ICZ655395 IMV655395 IWR655395 JGN655395 JQJ655395 KAF655395 KKB655395 KTX655395 LDT655395 LNP655395 LXL655395 MHH655395 MRD655395 NAZ655395 NKV655395 NUR655395 OEN655395 OOJ655395 OYF655395 PIB655395 PRX655395 QBT655395 QLP655395 QVL655395 RFH655395 RPD655395 RYZ655395 SIV655395 SSR655395 TCN655395 TMJ655395 TWF655395 UGB655395 UPX655395 UZT655395 VJP655395 VTL655395 WDH655395 WND655395 H720931 AR720931 KN720931 UJ720931 AEF720931 AOB720931 AXX720931 BHT720931 BRP720931 CBL720931 CLH720931 CVD720931 DEZ720931 DOV720931 DYR720931 EIN720931 ESJ720931 FCF720931 FMB720931 FVX720931 GFT720931 GPP720931 GZL720931 HJH720931 HTD720931 ICZ720931 IMV720931 IWR720931 JGN720931 JQJ720931 KAF720931 KKB720931 KTX720931 LDT720931 LNP720931 LXL720931 MHH720931 MRD720931 NAZ720931 NKV720931 NUR720931 OEN720931 OOJ720931 OYF720931 PIB720931 PRX720931 QBT720931 QLP720931 QVL720931 RFH720931 RPD720931 RYZ720931 SIV720931 SSR720931 TCN720931 TMJ720931 TWF720931 UGB720931 UPX720931 UZT720931 VJP720931 VTL720931 WDH720931 WND720931 H786467 AR786467 KN786467 UJ786467 AEF786467 AOB786467 AXX786467 BHT786467 BRP786467 CBL786467 CLH786467 CVD786467 DEZ786467 DOV786467 DYR786467 EIN786467 ESJ786467 FCF786467 FMB786467 FVX786467 GFT786467 GPP786467 GZL786467 HJH786467 HTD786467 ICZ786467 IMV786467 IWR786467 JGN786467 JQJ786467 KAF786467 KKB786467 KTX786467 LDT786467 LNP786467 LXL786467 MHH786467 MRD786467 NAZ786467 NKV786467 NUR786467 OEN786467 OOJ786467 OYF786467 PIB786467 PRX786467 QBT786467 QLP786467 QVL786467 RFH786467 RPD786467 RYZ786467 SIV786467 SSR786467 TCN786467 TMJ786467 TWF786467 UGB786467 UPX786467 UZT786467 VJP786467 VTL786467 WDH786467 WND786467 H852003 AR852003 KN852003 UJ852003 AEF852003 AOB852003 AXX852003 BHT852003 BRP852003 CBL852003 CLH852003 CVD852003 DEZ852003 DOV852003 DYR852003 EIN852003 ESJ852003 FCF852003 FMB852003 FVX852003 GFT852003 GPP852003 GZL852003 HJH852003 HTD852003 ICZ852003 IMV852003 IWR852003 JGN852003 JQJ852003 KAF852003 KKB852003 KTX852003 LDT852003 LNP852003 LXL852003 MHH852003 MRD852003 NAZ852003 NKV852003 NUR852003 OEN852003 OOJ852003 OYF852003 PIB852003 PRX852003 QBT852003 QLP852003 QVL852003 RFH852003 RPD852003 RYZ852003 SIV852003 SSR852003 TCN852003 TMJ852003 TWF852003 UGB852003 UPX852003 UZT852003 VJP852003 VTL852003 WDH852003 WND852003 H917539 AR917539 KN917539 UJ917539 AEF917539 AOB917539 AXX917539 BHT917539 BRP917539 CBL917539 CLH917539 CVD917539 DEZ917539 DOV917539 DYR917539 EIN917539 ESJ917539 FCF917539 FMB917539 FVX917539 GFT917539 GPP917539 GZL917539 HJH917539 HTD917539 ICZ917539 IMV917539 IWR917539 JGN917539 JQJ917539 KAF917539 KKB917539 KTX917539 LDT917539 LNP917539 LXL917539 MHH917539 MRD917539 NAZ917539 NKV917539 NUR917539 OEN917539 OOJ917539 OYF917539 PIB917539 PRX917539 QBT917539 QLP917539 QVL917539 RFH917539 RPD917539 RYZ917539 SIV917539 SSR917539 TCN917539 TMJ917539 TWF917539 UGB917539 UPX917539 UZT917539 VJP917539 VTL917539 WDH917539 WND917539 H983075 AR983075 KN983075 UJ983075 AEF983075 AOB983075 AXX983075 BHT983075 BRP983075 CBL983075 CLH983075 CVD983075 DEZ983075 DOV983075 DYR983075 EIN983075 ESJ983075 FCF983075 FMB983075 FVX983075 GFT983075 GPP983075 GZL983075 HJH983075 HTD983075 ICZ983075 IMV983075 IWR983075 JGN983075 JQJ983075 KAF983075 KKB983075 KTX983075 LDT983075 LNP983075 LXL983075 MHH983075 MRD983075 NAZ983075 NKV983075 NUR983075 OEN983075 OOJ983075 OYF983075 PIB983075 PRX983075 QBT983075 QLP983075 QVL983075 RFH983075 RPD983075 RYZ983075 SIV983075 SSR983075 TCN983075 TMJ983075 TWF983075 UGB983075 UPX983075 UZT983075 VJP983075 VTL983075 WDH983075 WND983075 WND983067:WND983073 AR29:AR35 KN29:KN35 UJ29:UJ35 AEF29:AEF35 AOB29:AOB35 AXX29:AXX35 BHT29:BHT35 BRP29:BRP35 CBL29:CBL35 CLH29:CLH35 CVD29:CVD35 DEZ29:DEZ35 DOV29:DOV35 DYR29:DYR35 EIN29:EIN35 ESJ29:ESJ35 FCF29:FCF35 FMB29:FMB35 FVX29:FVX35 GFT29:GFT35 GPP29:GPP35 GZL29:GZL35 HJH29:HJH35 HTD29:HTD35 ICZ29:ICZ35 IMV29:IMV35 IWR29:IWR35 JGN29:JGN35 JQJ29:JQJ35 KAF29:KAF35 KKB29:KKB35 KTX29:KTX35 LDT29:LDT35 LNP29:LNP35 LXL29:LXL35 MHH29:MHH35 MRD29:MRD35 NAZ29:NAZ35 NKV29:NKV35 NUR29:NUR35 OEN29:OEN35 OOJ29:OOJ35 OYF29:OYF35 PIB29:PIB35 PRX29:PRX35 QBT29:QBT35 QLP29:QLP35 QVL29:QVL35 RFH29:RFH35 RPD29:RPD35 RYZ29:RYZ35 SIV29:SIV35 SSR29:SSR35 TCN29:TCN35 TMJ29:TMJ35 TWF29:TWF35 UGB29:UGB35 UPX29:UPX35 UZT29:UZT35 VJP29:VJP35 VTL29:VTL35 WDH29:WDH35 WND29:WND35 H65563:H65569 AR65563:AR65569 KN65563:KN65569 UJ65563:UJ65569 AEF65563:AEF65569 AOB65563:AOB65569 AXX65563:AXX65569 BHT65563:BHT65569 BRP65563:BRP65569 CBL65563:CBL65569 CLH65563:CLH65569 CVD65563:CVD65569 DEZ65563:DEZ65569 DOV65563:DOV65569 DYR65563:DYR65569 EIN65563:EIN65569 ESJ65563:ESJ65569 FCF65563:FCF65569 FMB65563:FMB65569 FVX65563:FVX65569 GFT65563:GFT65569 GPP65563:GPP65569 GZL65563:GZL65569 HJH65563:HJH65569 HTD65563:HTD65569 ICZ65563:ICZ65569 IMV65563:IMV65569 IWR65563:IWR65569 JGN65563:JGN65569 JQJ65563:JQJ65569 KAF65563:KAF65569 KKB65563:KKB65569 KTX65563:KTX65569 LDT65563:LDT65569 LNP65563:LNP65569 LXL65563:LXL65569 MHH65563:MHH65569 MRD65563:MRD65569 NAZ65563:NAZ65569 NKV65563:NKV65569 NUR65563:NUR65569 OEN65563:OEN65569 OOJ65563:OOJ65569 OYF65563:OYF65569 PIB65563:PIB65569 PRX65563:PRX65569 QBT65563:QBT65569 QLP65563:QLP65569 QVL65563:QVL65569 RFH65563:RFH65569 RPD65563:RPD65569 RYZ65563:RYZ65569 SIV65563:SIV65569 SSR65563:SSR65569 TCN65563:TCN65569 TMJ65563:TMJ65569 TWF65563:TWF65569 UGB65563:UGB65569 UPX65563:UPX65569 UZT65563:UZT65569 VJP65563:VJP65569 VTL65563:VTL65569 WDH65563:WDH65569 WND65563:WND65569 H131099:H131105 AR131099:AR131105 KN131099:KN131105 UJ131099:UJ131105 AEF131099:AEF131105 AOB131099:AOB131105 AXX131099:AXX131105 BHT131099:BHT131105 BRP131099:BRP131105 CBL131099:CBL131105 CLH131099:CLH131105 CVD131099:CVD131105 DEZ131099:DEZ131105 DOV131099:DOV131105 DYR131099:DYR131105 EIN131099:EIN131105 ESJ131099:ESJ131105 FCF131099:FCF131105 FMB131099:FMB131105 FVX131099:FVX131105 GFT131099:GFT131105 GPP131099:GPP131105 GZL131099:GZL131105 HJH131099:HJH131105 HTD131099:HTD131105 ICZ131099:ICZ131105 IMV131099:IMV131105 IWR131099:IWR131105 JGN131099:JGN131105 JQJ131099:JQJ131105 KAF131099:KAF131105 KKB131099:KKB131105 KTX131099:KTX131105 LDT131099:LDT131105 LNP131099:LNP131105 LXL131099:LXL131105 MHH131099:MHH131105 MRD131099:MRD131105 NAZ131099:NAZ131105 NKV131099:NKV131105 NUR131099:NUR131105 OEN131099:OEN131105 OOJ131099:OOJ131105 OYF131099:OYF131105 PIB131099:PIB131105 PRX131099:PRX131105 QBT131099:QBT131105 QLP131099:QLP131105 QVL131099:QVL131105 RFH131099:RFH131105 RPD131099:RPD131105 RYZ131099:RYZ131105 SIV131099:SIV131105 SSR131099:SSR131105 TCN131099:TCN131105 TMJ131099:TMJ131105 TWF131099:TWF131105 UGB131099:UGB131105 UPX131099:UPX131105 UZT131099:UZT131105 VJP131099:VJP131105 VTL131099:VTL131105 WDH131099:WDH131105 WND131099:WND131105 H196635:H196641 AR196635:AR196641 KN196635:KN196641 UJ196635:UJ196641 AEF196635:AEF196641 AOB196635:AOB196641 AXX196635:AXX196641 BHT196635:BHT196641 BRP196635:BRP196641 CBL196635:CBL196641 CLH196635:CLH196641 CVD196635:CVD196641 DEZ196635:DEZ196641 DOV196635:DOV196641 DYR196635:DYR196641 EIN196635:EIN196641 ESJ196635:ESJ196641 FCF196635:FCF196641 FMB196635:FMB196641 FVX196635:FVX196641 GFT196635:GFT196641 GPP196635:GPP196641 GZL196635:GZL196641 HJH196635:HJH196641 HTD196635:HTD196641 ICZ196635:ICZ196641 IMV196635:IMV196641 IWR196635:IWR196641 JGN196635:JGN196641 JQJ196635:JQJ196641 KAF196635:KAF196641 KKB196635:KKB196641 KTX196635:KTX196641 LDT196635:LDT196641 LNP196635:LNP196641 LXL196635:LXL196641 MHH196635:MHH196641 MRD196635:MRD196641 NAZ196635:NAZ196641 NKV196635:NKV196641 NUR196635:NUR196641 OEN196635:OEN196641 OOJ196635:OOJ196641 OYF196635:OYF196641 PIB196635:PIB196641 PRX196635:PRX196641 QBT196635:QBT196641 QLP196635:QLP196641 QVL196635:QVL196641 RFH196635:RFH196641 RPD196635:RPD196641 RYZ196635:RYZ196641 SIV196635:SIV196641 SSR196635:SSR196641 TCN196635:TCN196641 TMJ196635:TMJ196641 TWF196635:TWF196641 UGB196635:UGB196641 UPX196635:UPX196641 UZT196635:UZT196641 VJP196635:VJP196641 VTL196635:VTL196641 WDH196635:WDH196641 WND196635:WND196641 H262171:H262177 AR262171:AR262177 KN262171:KN262177 UJ262171:UJ262177 AEF262171:AEF262177 AOB262171:AOB262177 AXX262171:AXX262177 BHT262171:BHT262177 BRP262171:BRP262177 CBL262171:CBL262177 CLH262171:CLH262177 CVD262171:CVD262177 DEZ262171:DEZ262177 DOV262171:DOV262177 DYR262171:DYR262177 EIN262171:EIN262177 ESJ262171:ESJ262177 FCF262171:FCF262177 FMB262171:FMB262177 FVX262171:FVX262177 GFT262171:GFT262177 GPP262171:GPP262177 GZL262171:GZL262177 HJH262171:HJH262177 HTD262171:HTD262177 ICZ262171:ICZ262177 IMV262171:IMV262177 IWR262171:IWR262177 JGN262171:JGN262177 JQJ262171:JQJ262177 KAF262171:KAF262177 KKB262171:KKB262177 KTX262171:KTX262177 LDT262171:LDT262177 LNP262171:LNP262177 LXL262171:LXL262177 MHH262171:MHH262177 MRD262171:MRD262177 NAZ262171:NAZ262177 NKV262171:NKV262177 NUR262171:NUR262177 OEN262171:OEN262177 OOJ262171:OOJ262177 OYF262171:OYF262177 PIB262171:PIB262177 PRX262171:PRX262177 QBT262171:QBT262177 QLP262171:QLP262177 QVL262171:QVL262177 RFH262171:RFH262177 RPD262171:RPD262177 RYZ262171:RYZ262177 SIV262171:SIV262177 SSR262171:SSR262177 TCN262171:TCN262177 TMJ262171:TMJ262177 TWF262171:TWF262177 UGB262171:UGB262177 UPX262171:UPX262177 UZT262171:UZT262177 VJP262171:VJP262177 VTL262171:VTL262177 WDH262171:WDH262177 WND262171:WND262177 H327707:H327713 AR327707:AR327713 KN327707:KN327713 UJ327707:UJ327713 AEF327707:AEF327713 AOB327707:AOB327713 AXX327707:AXX327713 BHT327707:BHT327713 BRP327707:BRP327713 CBL327707:CBL327713 CLH327707:CLH327713 CVD327707:CVD327713 DEZ327707:DEZ327713 DOV327707:DOV327713 DYR327707:DYR327713 EIN327707:EIN327713 ESJ327707:ESJ327713 FCF327707:FCF327713 FMB327707:FMB327713 FVX327707:FVX327713 GFT327707:GFT327713 GPP327707:GPP327713 GZL327707:GZL327713 HJH327707:HJH327713 HTD327707:HTD327713 ICZ327707:ICZ327713 IMV327707:IMV327713 IWR327707:IWR327713 JGN327707:JGN327713 JQJ327707:JQJ327713 KAF327707:KAF327713 KKB327707:KKB327713 KTX327707:KTX327713 LDT327707:LDT327713 LNP327707:LNP327713 LXL327707:LXL327713 MHH327707:MHH327713 MRD327707:MRD327713 NAZ327707:NAZ327713 NKV327707:NKV327713 NUR327707:NUR327713 OEN327707:OEN327713 OOJ327707:OOJ327713 OYF327707:OYF327713 PIB327707:PIB327713 PRX327707:PRX327713 QBT327707:QBT327713 QLP327707:QLP327713 QVL327707:QVL327713 RFH327707:RFH327713 RPD327707:RPD327713 RYZ327707:RYZ327713 SIV327707:SIV327713 SSR327707:SSR327713 TCN327707:TCN327713 TMJ327707:TMJ327713 TWF327707:TWF327713 UGB327707:UGB327713 UPX327707:UPX327713 UZT327707:UZT327713 VJP327707:VJP327713 VTL327707:VTL327713 WDH327707:WDH327713 WND327707:WND327713 H393243:H393249 AR393243:AR393249 KN393243:KN393249 UJ393243:UJ393249 AEF393243:AEF393249 AOB393243:AOB393249 AXX393243:AXX393249 BHT393243:BHT393249 BRP393243:BRP393249 CBL393243:CBL393249 CLH393243:CLH393249 CVD393243:CVD393249 DEZ393243:DEZ393249 DOV393243:DOV393249 DYR393243:DYR393249 EIN393243:EIN393249 ESJ393243:ESJ393249 FCF393243:FCF393249 FMB393243:FMB393249 FVX393243:FVX393249 GFT393243:GFT393249 GPP393243:GPP393249 GZL393243:GZL393249 HJH393243:HJH393249 HTD393243:HTD393249 ICZ393243:ICZ393249 IMV393243:IMV393249 IWR393243:IWR393249 JGN393243:JGN393249 JQJ393243:JQJ393249 KAF393243:KAF393249 KKB393243:KKB393249 KTX393243:KTX393249 LDT393243:LDT393249 LNP393243:LNP393249 LXL393243:LXL393249 MHH393243:MHH393249 MRD393243:MRD393249 NAZ393243:NAZ393249 NKV393243:NKV393249 NUR393243:NUR393249 OEN393243:OEN393249 OOJ393243:OOJ393249 OYF393243:OYF393249 PIB393243:PIB393249 PRX393243:PRX393249 QBT393243:QBT393249 QLP393243:QLP393249 QVL393243:QVL393249 RFH393243:RFH393249 RPD393243:RPD393249 RYZ393243:RYZ393249 SIV393243:SIV393249 SSR393243:SSR393249 TCN393243:TCN393249 TMJ393243:TMJ393249 TWF393243:TWF393249 UGB393243:UGB393249 UPX393243:UPX393249 UZT393243:UZT393249 VJP393243:VJP393249 VTL393243:VTL393249 WDH393243:WDH393249 WND393243:WND393249 H458779:H458785 AR458779:AR458785 KN458779:KN458785 UJ458779:UJ458785 AEF458779:AEF458785 AOB458779:AOB458785 AXX458779:AXX458785 BHT458779:BHT458785 BRP458779:BRP458785 CBL458779:CBL458785 CLH458779:CLH458785 CVD458779:CVD458785 DEZ458779:DEZ458785 DOV458779:DOV458785 DYR458779:DYR458785 EIN458779:EIN458785 ESJ458779:ESJ458785 FCF458779:FCF458785 FMB458779:FMB458785 FVX458779:FVX458785 GFT458779:GFT458785 GPP458779:GPP458785 GZL458779:GZL458785 HJH458779:HJH458785 HTD458779:HTD458785 ICZ458779:ICZ458785 IMV458779:IMV458785 IWR458779:IWR458785 JGN458779:JGN458785 JQJ458779:JQJ458785 KAF458779:KAF458785 KKB458779:KKB458785 KTX458779:KTX458785 LDT458779:LDT458785 LNP458779:LNP458785 LXL458779:LXL458785 MHH458779:MHH458785 MRD458779:MRD458785 NAZ458779:NAZ458785 NKV458779:NKV458785 NUR458779:NUR458785 OEN458779:OEN458785 OOJ458779:OOJ458785 OYF458779:OYF458785 PIB458779:PIB458785 PRX458779:PRX458785 QBT458779:QBT458785 QLP458779:QLP458785 QVL458779:QVL458785 RFH458779:RFH458785 RPD458779:RPD458785 RYZ458779:RYZ458785 SIV458779:SIV458785 SSR458779:SSR458785 TCN458779:TCN458785 TMJ458779:TMJ458785 TWF458779:TWF458785 UGB458779:UGB458785 UPX458779:UPX458785 UZT458779:UZT458785 VJP458779:VJP458785 VTL458779:VTL458785 WDH458779:WDH458785 WND458779:WND458785 H524315:H524321 AR524315:AR524321 KN524315:KN524321 UJ524315:UJ524321 AEF524315:AEF524321 AOB524315:AOB524321 AXX524315:AXX524321 BHT524315:BHT524321 BRP524315:BRP524321 CBL524315:CBL524321 CLH524315:CLH524321 CVD524315:CVD524321 DEZ524315:DEZ524321 DOV524315:DOV524321 DYR524315:DYR524321 EIN524315:EIN524321 ESJ524315:ESJ524321 FCF524315:FCF524321 FMB524315:FMB524321 FVX524315:FVX524321 GFT524315:GFT524321 GPP524315:GPP524321 GZL524315:GZL524321 HJH524315:HJH524321 HTD524315:HTD524321 ICZ524315:ICZ524321 IMV524315:IMV524321 IWR524315:IWR524321 JGN524315:JGN524321 JQJ524315:JQJ524321 KAF524315:KAF524321 KKB524315:KKB524321 KTX524315:KTX524321 LDT524315:LDT524321 LNP524315:LNP524321 LXL524315:LXL524321 MHH524315:MHH524321 MRD524315:MRD524321 NAZ524315:NAZ524321 NKV524315:NKV524321 NUR524315:NUR524321 OEN524315:OEN524321 OOJ524315:OOJ524321 OYF524315:OYF524321 PIB524315:PIB524321 PRX524315:PRX524321 QBT524315:QBT524321 QLP524315:QLP524321 QVL524315:QVL524321 RFH524315:RFH524321 RPD524315:RPD524321 RYZ524315:RYZ524321 SIV524315:SIV524321 SSR524315:SSR524321 TCN524315:TCN524321 TMJ524315:TMJ524321 TWF524315:TWF524321 UGB524315:UGB524321 UPX524315:UPX524321 UZT524315:UZT524321 VJP524315:VJP524321 VTL524315:VTL524321 WDH524315:WDH524321 WND524315:WND524321 H589851:H589857 AR589851:AR589857 KN589851:KN589857 UJ589851:UJ589857 AEF589851:AEF589857 AOB589851:AOB589857 AXX589851:AXX589857 BHT589851:BHT589857 BRP589851:BRP589857 CBL589851:CBL589857 CLH589851:CLH589857 CVD589851:CVD589857 DEZ589851:DEZ589857 DOV589851:DOV589857 DYR589851:DYR589857 EIN589851:EIN589857 ESJ589851:ESJ589857 FCF589851:FCF589857 FMB589851:FMB589857 FVX589851:FVX589857 GFT589851:GFT589857 GPP589851:GPP589857 GZL589851:GZL589857 HJH589851:HJH589857 HTD589851:HTD589857 ICZ589851:ICZ589857 IMV589851:IMV589857 IWR589851:IWR589857 JGN589851:JGN589857 JQJ589851:JQJ589857 KAF589851:KAF589857 KKB589851:KKB589857 KTX589851:KTX589857 LDT589851:LDT589857 LNP589851:LNP589857 LXL589851:LXL589857 MHH589851:MHH589857 MRD589851:MRD589857 NAZ589851:NAZ589857 NKV589851:NKV589857 NUR589851:NUR589857 OEN589851:OEN589857 OOJ589851:OOJ589857 OYF589851:OYF589857 PIB589851:PIB589857 PRX589851:PRX589857 QBT589851:QBT589857 QLP589851:QLP589857 QVL589851:QVL589857 RFH589851:RFH589857 RPD589851:RPD589857 RYZ589851:RYZ589857 SIV589851:SIV589857 SSR589851:SSR589857 TCN589851:TCN589857 TMJ589851:TMJ589857 TWF589851:TWF589857 UGB589851:UGB589857 UPX589851:UPX589857 UZT589851:UZT589857 VJP589851:VJP589857 VTL589851:VTL589857 WDH589851:WDH589857 WND589851:WND589857 H655387:H655393 AR655387:AR655393 KN655387:KN655393 UJ655387:UJ655393 AEF655387:AEF655393 AOB655387:AOB655393 AXX655387:AXX655393 BHT655387:BHT655393 BRP655387:BRP655393 CBL655387:CBL655393 CLH655387:CLH655393 CVD655387:CVD655393 DEZ655387:DEZ655393 DOV655387:DOV655393 DYR655387:DYR655393 EIN655387:EIN655393 ESJ655387:ESJ655393 FCF655387:FCF655393 FMB655387:FMB655393 FVX655387:FVX655393 GFT655387:GFT655393 GPP655387:GPP655393 GZL655387:GZL655393 HJH655387:HJH655393 HTD655387:HTD655393 ICZ655387:ICZ655393 IMV655387:IMV655393 IWR655387:IWR655393 JGN655387:JGN655393 JQJ655387:JQJ655393 KAF655387:KAF655393 KKB655387:KKB655393 KTX655387:KTX655393 LDT655387:LDT655393 LNP655387:LNP655393 LXL655387:LXL655393 MHH655387:MHH655393 MRD655387:MRD655393 NAZ655387:NAZ655393 NKV655387:NKV655393 NUR655387:NUR655393 OEN655387:OEN655393 OOJ655387:OOJ655393 OYF655387:OYF655393 PIB655387:PIB655393 PRX655387:PRX655393 QBT655387:QBT655393 QLP655387:QLP655393 QVL655387:QVL655393 RFH655387:RFH655393 RPD655387:RPD655393 RYZ655387:RYZ655393 SIV655387:SIV655393 SSR655387:SSR655393 TCN655387:TCN655393 TMJ655387:TMJ655393 TWF655387:TWF655393 UGB655387:UGB655393 UPX655387:UPX655393 UZT655387:UZT655393 VJP655387:VJP655393 VTL655387:VTL655393 WDH655387:WDH655393 WND655387:WND655393 H720923:H720929 AR720923:AR720929 KN720923:KN720929 UJ720923:UJ720929 AEF720923:AEF720929 AOB720923:AOB720929 AXX720923:AXX720929 BHT720923:BHT720929 BRP720923:BRP720929 CBL720923:CBL720929 CLH720923:CLH720929 CVD720923:CVD720929 DEZ720923:DEZ720929 DOV720923:DOV720929 DYR720923:DYR720929 EIN720923:EIN720929 ESJ720923:ESJ720929 FCF720923:FCF720929 FMB720923:FMB720929 FVX720923:FVX720929 GFT720923:GFT720929 GPP720923:GPP720929 GZL720923:GZL720929 HJH720923:HJH720929 HTD720923:HTD720929 ICZ720923:ICZ720929 IMV720923:IMV720929 IWR720923:IWR720929 JGN720923:JGN720929 JQJ720923:JQJ720929 KAF720923:KAF720929 KKB720923:KKB720929 KTX720923:KTX720929 LDT720923:LDT720929 LNP720923:LNP720929 LXL720923:LXL720929 MHH720923:MHH720929 MRD720923:MRD720929 NAZ720923:NAZ720929 NKV720923:NKV720929 NUR720923:NUR720929 OEN720923:OEN720929 OOJ720923:OOJ720929 OYF720923:OYF720929 PIB720923:PIB720929 PRX720923:PRX720929 QBT720923:QBT720929 QLP720923:QLP720929 QVL720923:QVL720929 RFH720923:RFH720929 RPD720923:RPD720929 RYZ720923:RYZ720929 SIV720923:SIV720929 SSR720923:SSR720929 TCN720923:TCN720929 TMJ720923:TMJ720929 TWF720923:TWF720929 UGB720923:UGB720929 UPX720923:UPX720929 UZT720923:UZT720929 VJP720923:VJP720929 VTL720923:VTL720929 WDH720923:WDH720929 WND720923:WND720929 H786459:H786465 AR786459:AR786465 KN786459:KN786465 UJ786459:UJ786465 AEF786459:AEF786465 AOB786459:AOB786465 AXX786459:AXX786465 BHT786459:BHT786465 BRP786459:BRP786465 CBL786459:CBL786465 CLH786459:CLH786465 CVD786459:CVD786465 DEZ786459:DEZ786465 DOV786459:DOV786465 DYR786459:DYR786465 EIN786459:EIN786465 ESJ786459:ESJ786465 FCF786459:FCF786465 FMB786459:FMB786465 FVX786459:FVX786465 GFT786459:GFT786465 GPP786459:GPP786465 GZL786459:GZL786465 HJH786459:HJH786465 HTD786459:HTD786465 ICZ786459:ICZ786465 IMV786459:IMV786465 IWR786459:IWR786465 JGN786459:JGN786465 JQJ786459:JQJ786465 KAF786459:KAF786465 KKB786459:KKB786465 KTX786459:KTX786465 LDT786459:LDT786465 LNP786459:LNP786465 LXL786459:LXL786465 MHH786459:MHH786465 MRD786459:MRD786465 NAZ786459:NAZ786465 NKV786459:NKV786465 NUR786459:NUR786465 OEN786459:OEN786465 OOJ786459:OOJ786465 OYF786459:OYF786465 PIB786459:PIB786465 PRX786459:PRX786465 QBT786459:QBT786465 QLP786459:QLP786465 QVL786459:QVL786465 RFH786459:RFH786465 RPD786459:RPD786465 RYZ786459:RYZ786465 SIV786459:SIV786465 SSR786459:SSR786465 TCN786459:TCN786465 TMJ786459:TMJ786465 TWF786459:TWF786465 UGB786459:UGB786465 UPX786459:UPX786465 UZT786459:UZT786465 VJP786459:VJP786465 VTL786459:VTL786465 WDH786459:WDH786465 WND786459:WND786465 H851995:H852001 AR851995:AR852001 KN851995:KN852001 UJ851995:UJ852001 AEF851995:AEF852001 AOB851995:AOB852001 AXX851995:AXX852001 BHT851995:BHT852001 BRP851995:BRP852001 CBL851995:CBL852001 CLH851995:CLH852001 CVD851995:CVD852001 DEZ851995:DEZ852001 DOV851995:DOV852001 DYR851995:DYR852001 EIN851995:EIN852001 ESJ851995:ESJ852001 FCF851995:FCF852001 FMB851995:FMB852001 FVX851995:FVX852001 GFT851995:GFT852001 GPP851995:GPP852001 GZL851995:GZL852001 HJH851995:HJH852001 HTD851995:HTD852001 ICZ851995:ICZ852001 IMV851995:IMV852001 IWR851995:IWR852001 JGN851995:JGN852001 JQJ851995:JQJ852001 KAF851995:KAF852001 KKB851995:KKB852001 KTX851995:KTX852001 LDT851995:LDT852001 LNP851995:LNP852001 LXL851995:LXL852001 MHH851995:MHH852001 MRD851995:MRD852001 NAZ851995:NAZ852001 NKV851995:NKV852001 NUR851995:NUR852001 OEN851995:OEN852001 OOJ851995:OOJ852001 OYF851995:OYF852001 PIB851995:PIB852001 PRX851995:PRX852001 QBT851995:QBT852001 QLP851995:QLP852001 QVL851995:QVL852001 RFH851995:RFH852001 RPD851995:RPD852001 RYZ851995:RYZ852001 SIV851995:SIV852001 SSR851995:SSR852001 TCN851995:TCN852001 TMJ851995:TMJ852001 TWF851995:TWF852001 UGB851995:UGB852001 UPX851995:UPX852001 UZT851995:UZT852001 VJP851995:VJP852001 VTL851995:VTL852001 WDH851995:WDH852001 WND851995:WND852001 H917531:H917537 AR917531:AR917537 KN917531:KN917537 UJ917531:UJ917537 AEF917531:AEF917537 AOB917531:AOB917537 AXX917531:AXX917537 BHT917531:BHT917537 BRP917531:BRP917537 CBL917531:CBL917537 CLH917531:CLH917537 CVD917531:CVD917537 DEZ917531:DEZ917537 DOV917531:DOV917537 DYR917531:DYR917537 EIN917531:EIN917537 ESJ917531:ESJ917537 FCF917531:FCF917537 FMB917531:FMB917537 FVX917531:FVX917537 GFT917531:GFT917537 GPP917531:GPP917537 GZL917531:GZL917537 HJH917531:HJH917537 HTD917531:HTD917537 ICZ917531:ICZ917537 IMV917531:IMV917537 IWR917531:IWR917537 JGN917531:JGN917537 JQJ917531:JQJ917537 KAF917531:KAF917537 KKB917531:KKB917537 KTX917531:KTX917537 LDT917531:LDT917537 LNP917531:LNP917537 LXL917531:LXL917537 MHH917531:MHH917537 MRD917531:MRD917537 NAZ917531:NAZ917537 NKV917531:NKV917537 NUR917531:NUR917537 OEN917531:OEN917537 OOJ917531:OOJ917537 OYF917531:OYF917537 PIB917531:PIB917537 PRX917531:PRX917537 QBT917531:QBT917537 QLP917531:QLP917537 QVL917531:QVL917537 RFH917531:RFH917537 RPD917531:RPD917537 RYZ917531:RYZ917537 SIV917531:SIV917537 SSR917531:SSR917537 TCN917531:TCN917537 TMJ917531:TMJ917537 TWF917531:TWF917537 UGB917531:UGB917537 UPX917531:UPX917537 UZT917531:UZT917537 VJP917531:VJP917537 VTL917531:VTL917537 WDH917531:WDH917537 WND917531:WND917537 H983067:H983073 AR983067:AR983073 KN983067:KN983073 UJ983067:UJ983073 AEF983067:AEF983073 AOB983067:AOB983073 AXX983067:AXX983073 BHT983067:BHT983073 BRP983067:BRP983073 CBL983067:CBL983073 CLH983067:CLH983073 CVD983067:CVD983073 DEZ983067:DEZ983073 DOV983067:DOV983073 DYR983067:DYR983073 EIN983067:EIN983073 ESJ983067:ESJ983073 FCF983067:FCF983073 FMB983067:FMB983073 FVX983067:FVX983073 GFT983067:GFT983073 GPP983067:GPP983073 GZL983067:GZL983073 HJH983067:HJH983073 HTD983067:HTD983073 ICZ983067:ICZ983073 IMV983067:IMV983073 IWR983067:IWR983073 JGN983067:JGN983073 JQJ983067:JQJ983073 KAF983067:KAF983073 KKB983067:KKB983073 KTX983067:KTX983073 LDT983067:LDT983073 LNP983067:LNP983073 LXL983067:LXL983073 MHH983067:MHH983073 MRD983067:MRD983073 NAZ983067:NAZ983073 NKV983067:NKV983073 NUR983067:NUR983073 OEN983067:OEN983073 OOJ983067:OOJ983073 OYF983067:OYF983073 PIB983067:PIB983073 PRX983067:PRX983073 QBT983067:QBT983073 QLP983067:QLP983073 QVL983067:QVL983073 RFH983067:RFH983073 RPD983067:RPD983073 RYZ983067:RYZ983073 SIV983067:SIV983073 SSR983067:SSR983073 TCN983067:TCN983073 TMJ983067:TMJ983073 TWF983067:TWF983073 UGB983067:UGB983073 UPX983067:UPX983073 UZT983067:UZT983073 VJP983067:VJP983073 VTL983067:VTL983073">
      <formula1>0</formula1>
      <formula2>1</formula2>
    </dataValidation>
    <dataValidation type="decimal" allowBlank="1" showInputMessage="1" showErrorMessage="1" errorTitle="Error" error="The number of eligible primary pupils for this factor cannot be negative or higher than t100%. Please insert the correct figure or leave the cell blank to use an LA average." sqref="WNC983075 AQ37 KM37 UI37 AEE37 AOA37 AXW37 BHS37 BRO37 CBK37 CLG37 CVC37 DEY37 DOU37 DYQ37 EIM37 ESI37 FCE37 FMA37 FVW37 GFS37 GPO37 GZK37 HJG37 HTC37 ICY37 IMU37 IWQ37 JGM37 JQI37 KAE37 KKA37 KTW37 LDS37 LNO37 LXK37 MHG37 MRC37 NAY37 NKU37 NUQ37 OEM37 OOI37 OYE37 PIA37 PRW37 QBS37 QLO37 QVK37 RFG37 RPC37 RYY37 SIU37 SSQ37 TCM37 TMI37 TWE37 UGA37 UPW37 UZS37 VJO37 VTK37 WDG37 WNC37 G65571 AQ65571 KM65571 UI65571 AEE65571 AOA65571 AXW65571 BHS65571 BRO65571 CBK65571 CLG65571 CVC65571 DEY65571 DOU65571 DYQ65571 EIM65571 ESI65571 FCE65571 FMA65571 FVW65571 GFS65571 GPO65571 GZK65571 HJG65571 HTC65571 ICY65571 IMU65571 IWQ65571 JGM65571 JQI65571 KAE65571 KKA65571 KTW65571 LDS65571 LNO65571 LXK65571 MHG65571 MRC65571 NAY65571 NKU65571 NUQ65571 OEM65571 OOI65571 OYE65571 PIA65571 PRW65571 QBS65571 QLO65571 QVK65571 RFG65571 RPC65571 RYY65571 SIU65571 SSQ65571 TCM65571 TMI65571 TWE65571 UGA65571 UPW65571 UZS65571 VJO65571 VTK65571 WDG65571 WNC65571 G131107 AQ131107 KM131107 UI131107 AEE131107 AOA131107 AXW131107 BHS131107 BRO131107 CBK131107 CLG131107 CVC131107 DEY131107 DOU131107 DYQ131107 EIM131107 ESI131107 FCE131107 FMA131107 FVW131107 GFS131107 GPO131107 GZK131107 HJG131107 HTC131107 ICY131107 IMU131107 IWQ131107 JGM131107 JQI131107 KAE131107 KKA131107 KTW131107 LDS131107 LNO131107 LXK131107 MHG131107 MRC131107 NAY131107 NKU131107 NUQ131107 OEM131107 OOI131107 OYE131107 PIA131107 PRW131107 QBS131107 QLO131107 QVK131107 RFG131107 RPC131107 RYY131107 SIU131107 SSQ131107 TCM131107 TMI131107 TWE131107 UGA131107 UPW131107 UZS131107 VJO131107 VTK131107 WDG131107 WNC131107 G196643 AQ196643 KM196643 UI196643 AEE196643 AOA196643 AXW196643 BHS196643 BRO196643 CBK196643 CLG196643 CVC196643 DEY196643 DOU196643 DYQ196643 EIM196643 ESI196643 FCE196643 FMA196643 FVW196643 GFS196643 GPO196643 GZK196643 HJG196643 HTC196643 ICY196643 IMU196643 IWQ196643 JGM196643 JQI196643 KAE196643 KKA196643 KTW196643 LDS196643 LNO196643 LXK196643 MHG196643 MRC196643 NAY196643 NKU196643 NUQ196643 OEM196643 OOI196643 OYE196643 PIA196643 PRW196643 QBS196643 QLO196643 QVK196643 RFG196643 RPC196643 RYY196643 SIU196643 SSQ196643 TCM196643 TMI196643 TWE196643 UGA196643 UPW196643 UZS196643 VJO196643 VTK196643 WDG196643 WNC196643 G262179 AQ262179 KM262179 UI262179 AEE262179 AOA262179 AXW262179 BHS262179 BRO262179 CBK262179 CLG262179 CVC262179 DEY262179 DOU262179 DYQ262179 EIM262179 ESI262179 FCE262179 FMA262179 FVW262179 GFS262179 GPO262179 GZK262179 HJG262179 HTC262179 ICY262179 IMU262179 IWQ262179 JGM262179 JQI262179 KAE262179 KKA262179 KTW262179 LDS262179 LNO262179 LXK262179 MHG262179 MRC262179 NAY262179 NKU262179 NUQ262179 OEM262179 OOI262179 OYE262179 PIA262179 PRW262179 QBS262179 QLO262179 QVK262179 RFG262179 RPC262179 RYY262179 SIU262179 SSQ262179 TCM262179 TMI262179 TWE262179 UGA262179 UPW262179 UZS262179 VJO262179 VTK262179 WDG262179 WNC262179 G327715 AQ327715 KM327715 UI327715 AEE327715 AOA327715 AXW327715 BHS327715 BRO327715 CBK327715 CLG327715 CVC327715 DEY327715 DOU327715 DYQ327715 EIM327715 ESI327715 FCE327715 FMA327715 FVW327715 GFS327715 GPO327715 GZK327715 HJG327715 HTC327715 ICY327715 IMU327715 IWQ327715 JGM327715 JQI327715 KAE327715 KKA327715 KTW327715 LDS327715 LNO327715 LXK327715 MHG327715 MRC327715 NAY327715 NKU327715 NUQ327715 OEM327715 OOI327715 OYE327715 PIA327715 PRW327715 QBS327715 QLO327715 QVK327715 RFG327715 RPC327715 RYY327715 SIU327715 SSQ327715 TCM327715 TMI327715 TWE327715 UGA327715 UPW327715 UZS327715 VJO327715 VTK327715 WDG327715 WNC327715 G393251 AQ393251 KM393251 UI393251 AEE393251 AOA393251 AXW393251 BHS393251 BRO393251 CBK393251 CLG393251 CVC393251 DEY393251 DOU393251 DYQ393251 EIM393251 ESI393251 FCE393251 FMA393251 FVW393251 GFS393251 GPO393251 GZK393251 HJG393251 HTC393251 ICY393251 IMU393251 IWQ393251 JGM393251 JQI393251 KAE393251 KKA393251 KTW393251 LDS393251 LNO393251 LXK393251 MHG393251 MRC393251 NAY393251 NKU393251 NUQ393251 OEM393251 OOI393251 OYE393251 PIA393251 PRW393251 QBS393251 QLO393251 QVK393251 RFG393251 RPC393251 RYY393251 SIU393251 SSQ393251 TCM393251 TMI393251 TWE393251 UGA393251 UPW393251 UZS393251 VJO393251 VTK393251 WDG393251 WNC393251 G458787 AQ458787 KM458787 UI458787 AEE458787 AOA458787 AXW458787 BHS458787 BRO458787 CBK458787 CLG458787 CVC458787 DEY458787 DOU458787 DYQ458787 EIM458787 ESI458787 FCE458787 FMA458787 FVW458787 GFS458787 GPO458787 GZK458787 HJG458787 HTC458787 ICY458787 IMU458787 IWQ458787 JGM458787 JQI458787 KAE458787 KKA458787 KTW458787 LDS458787 LNO458787 LXK458787 MHG458787 MRC458787 NAY458787 NKU458787 NUQ458787 OEM458787 OOI458787 OYE458787 PIA458787 PRW458787 QBS458787 QLO458787 QVK458787 RFG458787 RPC458787 RYY458787 SIU458787 SSQ458787 TCM458787 TMI458787 TWE458787 UGA458787 UPW458787 UZS458787 VJO458787 VTK458787 WDG458787 WNC458787 G524323 AQ524323 KM524323 UI524323 AEE524323 AOA524323 AXW524323 BHS524323 BRO524323 CBK524323 CLG524323 CVC524323 DEY524323 DOU524323 DYQ524323 EIM524323 ESI524323 FCE524323 FMA524323 FVW524323 GFS524323 GPO524323 GZK524323 HJG524323 HTC524323 ICY524323 IMU524323 IWQ524323 JGM524323 JQI524323 KAE524323 KKA524323 KTW524323 LDS524323 LNO524323 LXK524323 MHG524323 MRC524323 NAY524323 NKU524323 NUQ524323 OEM524323 OOI524323 OYE524323 PIA524323 PRW524323 QBS524323 QLO524323 QVK524323 RFG524323 RPC524323 RYY524323 SIU524323 SSQ524323 TCM524323 TMI524323 TWE524323 UGA524323 UPW524323 UZS524323 VJO524323 VTK524323 WDG524323 WNC524323 G589859 AQ589859 KM589859 UI589859 AEE589859 AOA589859 AXW589859 BHS589859 BRO589859 CBK589859 CLG589859 CVC589859 DEY589859 DOU589859 DYQ589859 EIM589859 ESI589859 FCE589859 FMA589859 FVW589859 GFS589859 GPO589859 GZK589859 HJG589859 HTC589859 ICY589859 IMU589859 IWQ589859 JGM589859 JQI589859 KAE589859 KKA589859 KTW589859 LDS589859 LNO589859 LXK589859 MHG589859 MRC589859 NAY589859 NKU589859 NUQ589859 OEM589859 OOI589859 OYE589859 PIA589859 PRW589859 QBS589859 QLO589859 QVK589859 RFG589859 RPC589859 RYY589859 SIU589859 SSQ589859 TCM589859 TMI589859 TWE589859 UGA589859 UPW589859 UZS589859 VJO589859 VTK589859 WDG589859 WNC589859 G655395 AQ655395 KM655395 UI655395 AEE655395 AOA655395 AXW655395 BHS655395 BRO655395 CBK655395 CLG655395 CVC655395 DEY655395 DOU655395 DYQ655395 EIM655395 ESI655395 FCE655395 FMA655395 FVW655395 GFS655395 GPO655395 GZK655395 HJG655395 HTC655395 ICY655395 IMU655395 IWQ655395 JGM655395 JQI655395 KAE655395 KKA655395 KTW655395 LDS655395 LNO655395 LXK655395 MHG655395 MRC655395 NAY655395 NKU655395 NUQ655395 OEM655395 OOI655395 OYE655395 PIA655395 PRW655395 QBS655395 QLO655395 QVK655395 RFG655395 RPC655395 RYY655395 SIU655395 SSQ655395 TCM655395 TMI655395 TWE655395 UGA655395 UPW655395 UZS655395 VJO655395 VTK655395 WDG655395 WNC655395 G720931 AQ720931 KM720931 UI720931 AEE720931 AOA720931 AXW720931 BHS720931 BRO720931 CBK720931 CLG720931 CVC720931 DEY720931 DOU720931 DYQ720931 EIM720931 ESI720931 FCE720931 FMA720931 FVW720931 GFS720931 GPO720931 GZK720931 HJG720931 HTC720931 ICY720931 IMU720931 IWQ720931 JGM720931 JQI720931 KAE720931 KKA720931 KTW720931 LDS720931 LNO720931 LXK720931 MHG720931 MRC720931 NAY720931 NKU720931 NUQ720931 OEM720931 OOI720931 OYE720931 PIA720931 PRW720931 QBS720931 QLO720931 QVK720931 RFG720931 RPC720931 RYY720931 SIU720931 SSQ720931 TCM720931 TMI720931 TWE720931 UGA720931 UPW720931 UZS720931 VJO720931 VTK720931 WDG720931 WNC720931 G786467 AQ786467 KM786467 UI786467 AEE786467 AOA786467 AXW786467 BHS786467 BRO786467 CBK786467 CLG786467 CVC786467 DEY786467 DOU786467 DYQ786467 EIM786467 ESI786467 FCE786467 FMA786467 FVW786467 GFS786467 GPO786467 GZK786467 HJG786467 HTC786467 ICY786467 IMU786467 IWQ786467 JGM786467 JQI786467 KAE786467 KKA786467 KTW786467 LDS786467 LNO786467 LXK786467 MHG786467 MRC786467 NAY786467 NKU786467 NUQ786467 OEM786467 OOI786467 OYE786467 PIA786467 PRW786467 QBS786467 QLO786467 QVK786467 RFG786467 RPC786467 RYY786467 SIU786467 SSQ786467 TCM786467 TMI786467 TWE786467 UGA786467 UPW786467 UZS786467 VJO786467 VTK786467 WDG786467 WNC786467 G852003 AQ852003 KM852003 UI852003 AEE852003 AOA852003 AXW852003 BHS852003 BRO852003 CBK852003 CLG852003 CVC852003 DEY852003 DOU852003 DYQ852003 EIM852003 ESI852003 FCE852003 FMA852003 FVW852003 GFS852003 GPO852003 GZK852003 HJG852003 HTC852003 ICY852003 IMU852003 IWQ852003 JGM852003 JQI852003 KAE852003 KKA852003 KTW852003 LDS852003 LNO852003 LXK852003 MHG852003 MRC852003 NAY852003 NKU852003 NUQ852003 OEM852003 OOI852003 OYE852003 PIA852003 PRW852003 QBS852003 QLO852003 QVK852003 RFG852003 RPC852003 RYY852003 SIU852003 SSQ852003 TCM852003 TMI852003 TWE852003 UGA852003 UPW852003 UZS852003 VJO852003 VTK852003 WDG852003 WNC852003 G917539 AQ917539 KM917539 UI917539 AEE917539 AOA917539 AXW917539 BHS917539 BRO917539 CBK917539 CLG917539 CVC917539 DEY917539 DOU917539 DYQ917539 EIM917539 ESI917539 FCE917539 FMA917539 FVW917539 GFS917539 GPO917539 GZK917539 HJG917539 HTC917539 ICY917539 IMU917539 IWQ917539 JGM917539 JQI917539 KAE917539 KKA917539 KTW917539 LDS917539 LNO917539 LXK917539 MHG917539 MRC917539 NAY917539 NKU917539 NUQ917539 OEM917539 OOI917539 OYE917539 PIA917539 PRW917539 QBS917539 QLO917539 QVK917539 RFG917539 RPC917539 RYY917539 SIU917539 SSQ917539 TCM917539 TMI917539 TWE917539 UGA917539 UPW917539 UZS917539 VJO917539 VTK917539 WDG917539 WNC917539 G983075 AQ983075 KM983075 UI983075 AEE983075 AOA983075 AXW983075 BHS983075 BRO983075 CBK983075 CLG983075 CVC983075 DEY983075 DOU983075 DYQ983075 EIM983075 ESI983075 FCE983075 FMA983075 FVW983075 GFS983075 GPO983075 GZK983075 HJG983075 HTC983075 ICY983075 IMU983075 IWQ983075 JGM983075 JQI983075 KAE983075 KKA983075 KTW983075 LDS983075 LNO983075 LXK983075 MHG983075 MRC983075 NAY983075 NKU983075 NUQ983075 OEM983075 OOI983075 OYE983075 PIA983075 PRW983075 QBS983075 QLO983075 QVK983075 RFG983075 RPC983075 RYY983075 SIU983075 SSQ983075 TCM983075 TMI983075 TWE983075 UGA983075 UPW983075 UZS983075 VJO983075 VTK983075 WDG983075">
      <formula1>0</formula1>
      <formula2>1</formula2>
    </dataValidation>
    <dataValidation type="decimal" allowBlank="1" showInputMessage="1" showErrorMessage="1" errorTitle="Error" error="The number of eligible primary pupils for this factor cannot be negative or higher than 100%. Please insert the correct figure or leave the cell blank to use an LA average." sqref="WDG983078 AQ38 KM38 UI38 AEE38 AOA38 AXW38 BHS38 BRO38 CBK38 CLG38 CVC38 DEY38 DOU38 DYQ38 EIM38 ESI38 FCE38 FMA38 FVW38 GFS38 GPO38 GZK38 HJG38 HTC38 ICY38 IMU38 IWQ38 JGM38 JQI38 KAE38 KKA38 KTW38 LDS38 LNO38 LXK38 MHG38 MRC38 NAY38 NKU38 NUQ38 OEM38 OOI38 OYE38 PIA38 PRW38 QBS38 QLO38 QVK38 RFG38 RPC38 RYY38 SIU38 SSQ38 TCM38 TMI38 TWE38 UGA38 UPW38 UZS38 VJO38 VTK38 WDG38 WNC38 G65572 AQ65572 KM65572 UI65572 AEE65572 AOA65572 AXW65572 BHS65572 BRO65572 CBK65572 CLG65572 CVC65572 DEY65572 DOU65572 DYQ65572 EIM65572 ESI65572 FCE65572 FMA65572 FVW65572 GFS65572 GPO65572 GZK65572 HJG65572 HTC65572 ICY65572 IMU65572 IWQ65572 JGM65572 JQI65572 KAE65572 KKA65572 KTW65572 LDS65572 LNO65572 LXK65572 MHG65572 MRC65572 NAY65572 NKU65572 NUQ65572 OEM65572 OOI65572 OYE65572 PIA65572 PRW65572 QBS65572 QLO65572 QVK65572 RFG65572 RPC65572 RYY65572 SIU65572 SSQ65572 TCM65572 TMI65572 TWE65572 UGA65572 UPW65572 UZS65572 VJO65572 VTK65572 WDG65572 WNC65572 G131108 AQ131108 KM131108 UI131108 AEE131108 AOA131108 AXW131108 BHS131108 BRO131108 CBK131108 CLG131108 CVC131108 DEY131108 DOU131108 DYQ131108 EIM131108 ESI131108 FCE131108 FMA131108 FVW131108 GFS131108 GPO131108 GZK131108 HJG131108 HTC131108 ICY131108 IMU131108 IWQ131108 JGM131108 JQI131108 KAE131108 KKA131108 KTW131108 LDS131108 LNO131108 LXK131108 MHG131108 MRC131108 NAY131108 NKU131108 NUQ131108 OEM131108 OOI131108 OYE131108 PIA131108 PRW131108 QBS131108 QLO131108 QVK131108 RFG131108 RPC131108 RYY131108 SIU131108 SSQ131108 TCM131108 TMI131108 TWE131108 UGA131108 UPW131108 UZS131108 VJO131108 VTK131108 WDG131108 WNC131108 G196644 AQ196644 KM196644 UI196644 AEE196644 AOA196644 AXW196644 BHS196644 BRO196644 CBK196644 CLG196644 CVC196644 DEY196644 DOU196644 DYQ196644 EIM196644 ESI196644 FCE196644 FMA196644 FVW196644 GFS196644 GPO196644 GZK196644 HJG196644 HTC196644 ICY196644 IMU196644 IWQ196644 JGM196644 JQI196644 KAE196644 KKA196644 KTW196644 LDS196644 LNO196644 LXK196644 MHG196644 MRC196644 NAY196644 NKU196644 NUQ196644 OEM196644 OOI196644 OYE196644 PIA196644 PRW196644 QBS196644 QLO196644 QVK196644 RFG196644 RPC196644 RYY196644 SIU196644 SSQ196644 TCM196644 TMI196644 TWE196644 UGA196644 UPW196644 UZS196644 VJO196644 VTK196644 WDG196644 WNC196644 G262180 AQ262180 KM262180 UI262180 AEE262180 AOA262180 AXW262180 BHS262180 BRO262180 CBK262180 CLG262180 CVC262180 DEY262180 DOU262180 DYQ262180 EIM262180 ESI262180 FCE262180 FMA262180 FVW262180 GFS262180 GPO262180 GZK262180 HJG262180 HTC262180 ICY262180 IMU262180 IWQ262180 JGM262180 JQI262180 KAE262180 KKA262180 KTW262180 LDS262180 LNO262180 LXK262180 MHG262180 MRC262180 NAY262180 NKU262180 NUQ262180 OEM262180 OOI262180 OYE262180 PIA262180 PRW262180 QBS262180 QLO262180 QVK262180 RFG262180 RPC262180 RYY262180 SIU262180 SSQ262180 TCM262180 TMI262180 TWE262180 UGA262180 UPW262180 UZS262180 VJO262180 VTK262180 WDG262180 WNC262180 G327716 AQ327716 KM327716 UI327716 AEE327716 AOA327716 AXW327716 BHS327716 BRO327716 CBK327716 CLG327716 CVC327716 DEY327716 DOU327716 DYQ327716 EIM327716 ESI327716 FCE327716 FMA327716 FVW327716 GFS327716 GPO327716 GZK327716 HJG327716 HTC327716 ICY327716 IMU327716 IWQ327716 JGM327716 JQI327716 KAE327716 KKA327716 KTW327716 LDS327716 LNO327716 LXK327716 MHG327716 MRC327716 NAY327716 NKU327716 NUQ327716 OEM327716 OOI327716 OYE327716 PIA327716 PRW327716 QBS327716 QLO327716 QVK327716 RFG327716 RPC327716 RYY327716 SIU327716 SSQ327716 TCM327716 TMI327716 TWE327716 UGA327716 UPW327716 UZS327716 VJO327716 VTK327716 WDG327716 WNC327716 G393252 AQ393252 KM393252 UI393252 AEE393252 AOA393252 AXW393252 BHS393252 BRO393252 CBK393252 CLG393252 CVC393252 DEY393252 DOU393252 DYQ393252 EIM393252 ESI393252 FCE393252 FMA393252 FVW393252 GFS393252 GPO393252 GZK393252 HJG393252 HTC393252 ICY393252 IMU393252 IWQ393252 JGM393252 JQI393252 KAE393252 KKA393252 KTW393252 LDS393252 LNO393252 LXK393252 MHG393252 MRC393252 NAY393252 NKU393252 NUQ393252 OEM393252 OOI393252 OYE393252 PIA393252 PRW393252 QBS393252 QLO393252 QVK393252 RFG393252 RPC393252 RYY393252 SIU393252 SSQ393252 TCM393252 TMI393252 TWE393252 UGA393252 UPW393252 UZS393252 VJO393252 VTK393252 WDG393252 WNC393252 G458788 AQ458788 KM458788 UI458788 AEE458788 AOA458788 AXW458788 BHS458788 BRO458788 CBK458788 CLG458788 CVC458788 DEY458788 DOU458788 DYQ458788 EIM458788 ESI458788 FCE458788 FMA458788 FVW458788 GFS458788 GPO458788 GZK458788 HJG458788 HTC458788 ICY458788 IMU458788 IWQ458788 JGM458788 JQI458788 KAE458788 KKA458788 KTW458788 LDS458788 LNO458788 LXK458788 MHG458788 MRC458788 NAY458788 NKU458788 NUQ458788 OEM458788 OOI458788 OYE458788 PIA458788 PRW458788 QBS458788 QLO458788 QVK458788 RFG458788 RPC458788 RYY458788 SIU458788 SSQ458788 TCM458788 TMI458788 TWE458788 UGA458788 UPW458788 UZS458788 VJO458788 VTK458788 WDG458788 WNC458788 G524324 AQ524324 KM524324 UI524324 AEE524324 AOA524324 AXW524324 BHS524324 BRO524324 CBK524324 CLG524324 CVC524324 DEY524324 DOU524324 DYQ524324 EIM524324 ESI524324 FCE524324 FMA524324 FVW524324 GFS524324 GPO524324 GZK524324 HJG524324 HTC524324 ICY524324 IMU524324 IWQ524324 JGM524324 JQI524324 KAE524324 KKA524324 KTW524324 LDS524324 LNO524324 LXK524324 MHG524324 MRC524324 NAY524324 NKU524324 NUQ524324 OEM524324 OOI524324 OYE524324 PIA524324 PRW524324 QBS524324 QLO524324 QVK524324 RFG524324 RPC524324 RYY524324 SIU524324 SSQ524324 TCM524324 TMI524324 TWE524324 UGA524324 UPW524324 UZS524324 VJO524324 VTK524324 WDG524324 WNC524324 G589860 AQ589860 KM589860 UI589860 AEE589860 AOA589860 AXW589860 BHS589860 BRO589860 CBK589860 CLG589860 CVC589860 DEY589860 DOU589860 DYQ589860 EIM589860 ESI589860 FCE589860 FMA589860 FVW589860 GFS589860 GPO589860 GZK589860 HJG589860 HTC589860 ICY589860 IMU589860 IWQ589860 JGM589860 JQI589860 KAE589860 KKA589860 KTW589860 LDS589860 LNO589860 LXK589860 MHG589860 MRC589860 NAY589860 NKU589860 NUQ589860 OEM589860 OOI589860 OYE589860 PIA589860 PRW589860 QBS589860 QLO589860 QVK589860 RFG589860 RPC589860 RYY589860 SIU589860 SSQ589860 TCM589860 TMI589860 TWE589860 UGA589860 UPW589860 UZS589860 VJO589860 VTK589860 WDG589860 WNC589860 G655396 AQ655396 KM655396 UI655396 AEE655396 AOA655396 AXW655396 BHS655396 BRO655396 CBK655396 CLG655396 CVC655396 DEY655396 DOU655396 DYQ655396 EIM655396 ESI655396 FCE655396 FMA655396 FVW655396 GFS655396 GPO655396 GZK655396 HJG655396 HTC655396 ICY655396 IMU655396 IWQ655396 JGM655396 JQI655396 KAE655396 KKA655396 KTW655396 LDS655396 LNO655396 LXK655396 MHG655396 MRC655396 NAY655396 NKU655396 NUQ655396 OEM655396 OOI655396 OYE655396 PIA655396 PRW655396 QBS655396 QLO655396 QVK655396 RFG655396 RPC655396 RYY655396 SIU655396 SSQ655396 TCM655396 TMI655396 TWE655396 UGA655396 UPW655396 UZS655396 VJO655396 VTK655396 WDG655396 WNC655396 G720932 AQ720932 KM720932 UI720932 AEE720932 AOA720932 AXW720932 BHS720932 BRO720932 CBK720932 CLG720932 CVC720932 DEY720932 DOU720932 DYQ720932 EIM720932 ESI720932 FCE720932 FMA720932 FVW720932 GFS720932 GPO720932 GZK720932 HJG720932 HTC720932 ICY720932 IMU720932 IWQ720932 JGM720932 JQI720932 KAE720932 KKA720932 KTW720932 LDS720932 LNO720932 LXK720932 MHG720932 MRC720932 NAY720932 NKU720932 NUQ720932 OEM720932 OOI720932 OYE720932 PIA720932 PRW720932 QBS720932 QLO720932 QVK720932 RFG720932 RPC720932 RYY720932 SIU720932 SSQ720932 TCM720932 TMI720932 TWE720932 UGA720932 UPW720932 UZS720932 VJO720932 VTK720932 WDG720932 WNC720932 G786468 AQ786468 KM786468 UI786468 AEE786468 AOA786468 AXW786468 BHS786468 BRO786468 CBK786468 CLG786468 CVC786468 DEY786468 DOU786468 DYQ786468 EIM786468 ESI786468 FCE786468 FMA786468 FVW786468 GFS786468 GPO786468 GZK786468 HJG786468 HTC786468 ICY786468 IMU786468 IWQ786468 JGM786468 JQI786468 KAE786468 KKA786468 KTW786468 LDS786468 LNO786468 LXK786468 MHG786468 MRC786468 NAY786468 NKU786468 NUQ786468 OEM786468 OOI786468 OYE786468 PIA786468 PRW786468 QBS786468 QLO786468 QVK786468 RFG786468 RPC786468 RYY786468 SIU786468 SSQ786468 TCM786468 TMI786468 TWE786468 UGA786468 UPW786468 UZS786468 VJO786468 VTK786468 WDG786468 WNC786468 G852004 AQ852004 KM852004 UI852004 AEE852004 AOA852004 AXW852004 BHS852004 BRO852004 CBK852004 CLG852004 CVC852004 DEY852004 DOU852004 DYQ852004 EIM852004 ESI852004 FCE852004 FMA852004 FVW852004 GFS852004 GPO852004 GZK852004 HJG852004 HTC852004 ICY852004 IMU852004 IWQ852004 JGM852004 JQI852004 KAE852004 KKA852004 KTW852004 LDS852004 LNO852004 LXK852004 MHG852004 MRC852004 NAY852004 NKU852004 NUQ852004 OEM852004 OOI852004 OYE852004 PIA852004 PRW852004 QBS852004 QLO852004 QVK852004 RFG852004 RPC852004 RYY852004 SIU852004 SSQ852004 TCM852004 TMI852004 TWE852004 UGA852004 UPW852004 UZS852004 VJO852004 VTK852004 WDG852004 WNC852004 G917540 AQ917540 KM917540 UI917540 AEE917540 AOA917540 AXW917540 BHS917540 BRO917540 CBK917540 CLG917540 CVC917540 DEY917540 DOU917540 DYQ917540 EIM917540 ESI917540 FCE917540 FMA917540 FVW917540 GFS917540 GPO917540 GZK917540 HJG917540 HTC917540 ICY917540 IMU917540 IWQ917540 JGM917540 JQI917540 KAE917540 KKA917540 KTW917540 LDS917540 LNO917540 LXK917540 MHG917540 MRC917540 NAY917540 NKU917540 NUQ917540 OEM917540 OOI917540 OYE917540 PIA917540 PRW917540 QBS917540 QLO917540 QVK917540 RFG917540 RPC917540 RYY917540 SIU917540 SSQ917540 TCM917540 TMI917540 TWE917540 UGA917540 UPW917540 UZS917540 VJO917540 VTK917540 WDG917540 WNC917540 G983076 AQ983076 KM983076 UI983076 AEE983076 AOA983076 AXW983076 BHS983076 BRO983076 CBK983076 CLG983076 CVC983076 DEY983076 DOU983076 DYQ983076 EIM983076 ESI983076 FCE983076 FMA983076 FVW983076 GFS983076 GPO983076 GZK983076 HJG983076 HTC983076 ICY983076 IMU983076 IWQ983076 JGM983076 JQI983076 KAE983076 KKA983076 KTW983076 LDS983076 LNO983076 LXK983076 MHG983076 MRC983076 NAY983076 NKU983076 NUQ983076 OEM983076 OOI983076 OYE983076 PIA983076 PRW983076 QBS983076 QLO983076 QVK983076 RFG983076 RPC983076 RYY983076 SIU983076 SSQ983076 TCM983076 TMI983076 TWE983076 UGA983076 UPW983076 UZS983076 VJO983076 VTK983076 WDG983076 WNC983076 WNC983078 AQ28 KM28 UI28 AEE28 AOA28 AXW28 BHS28 BRO28 CBK28 CLG28 CVC28 DEY28 DOU28 DYQ28 EIM28 ESI28 FCE28 FMA28 FVW28 GFS28 GPO28 GZK28 HJG28 HTC28 ICY28 IMU28 IWQ28 JGM28 JQI28 KAE28 KKA28 KTW28 LDS28 LNO28 LXK28 MHG28 MRC28 NAY28 NKU28 NUQ28 OEM28 OOI28 OYE28 PIA28 PRW28 QBS28 QLO28 QVK28 RFG28 RPC28 RYY28 SIU28 SSQ28 TCM28 TMI28 TWE28 UGA28 UPW28 UZS28 VJO28 VTK28 WDG28 WNC28 G65562 AQ65562 KM65562 UI65562 AEE65562 AOA65562 AXW65562 BHS65562 BRO65562 CBK65562 CLG65562 CVC65562 DEY65562 DOU65562 DYQ65562 EIM65562 ESI65562 FCE65562 FMA65562 FVW65562 GFS65562 GPO65562 GZK65562 HJG65562 HTC65562 ICY65562 IMU65562 IWQ65562 JGM65562 JQI65562 KAE65562 KKA65562 KTW65562 LDS65562 LNO65562 LXK65562 MHG65562 MRC65562 NAY65562 NKU65562 NUQ65562 OEM65562 OOI65562 OYE65562 PIA65562 PRW65562 QBS65562 QLO65562 QVK65562 RFG65562 RPC65562 RYY65562 SIU65562 SSQ65562 TCM65562 TMI65562 TWE65562 UGA65562 UPW65562 UZS65562 VJO65562 VTK65562 WDG65562 WNC65562 G131098 AQ131098 KM131098 UI131098 AEE131098 AOA131098 AXW131098 BHS131098 BRO131098 CBK131098 CLG131098 CVC131098 DEY131098 DOU131098 DYQ131098 EIM131098 ESI131098 FCE131098 FMA131098 FVW131098 GFS131098 GPO131098 GZK131098 HJG131098 HTC131098 ICY131098 IMU131098 IWQ131098 JGM131098 JQI131098 KAE131098 KKA131098 KTW131098 LDS131098 LNO131098 LXK131098 MHG131098 MRC131098 NAY131098 NKU131098 NUQ131098 OEM131098 OOI131098 OYE131098 PIA131098 PRW131098 QBS131098 QLO131098 QVK131098 RFG131098 RPC131098 RYY131098 SIU131098 SSQ131098 TCM131098 TMI131098 TWE131098 UGA131098 UPW131098 UZS131098 VJO131098 VTK131098 WDG131098 WNC131098 G196634 AQ196634 KM196634 UI196634 AEE196634 AOA196634 AXW196634 BHS196634 BRO196634 CBK196634 CLG196634 CVC196634 DEY196634 DOU196634 DYQ196634 EIM196634 ESI196634 FCE196634 FMA196634 FVW196634 GFS196634 GPO196634 GZK196634 HJG196634 HTC196634 ICY196634 IMU196634 IWQ196634 JGM196634 JQI196634 KAE196634 KKA196634 KTW196634 LDS196634 LNO196634 LXK196634 MHG196634 MRC196634 NAY196634 NKU196634 NUQ196634 OEM196634 OOI196634 OYE196634 PIA196634 PRW196634 QBS196634 QLO196634 QVK196634 RFG196634 RPC196634 RYY196634 SIU196634 SSQ196634 TCM196634 TMI196634 TWE196634 UGA196634 UPW196634 UZS196634 VJO196634 VTK196634 WDG196634 WNC196634 G262170 AQ262170 KM262170 UI262170 AEE262170 AOA262170 AXW262170 BHS262170 BRO262170 CBK262170 CLG262170 CVC262170 DEY262170 DOU262170 DYQ262170 EIM262170 ESI262170 FCE262170 FMA262170 FVW262170 GFS262170 GPO262170 GZK262170 HJG262170 HTC262170 ICY262170 IMU262170 IWQ262170 JGM262170 JQI262170 KAE262170 KKA262170 KTW262170 LDS262170 LNO262170 LXK262170 MHG262170 MRC262170 NAY262170 NKU262170 NUQ262170 OEM262170 OOI262170 OYE262170 PIA262170 PRW262170 QBS262170 QLO262170 QVK262170 RFG262170 RPC262170 RYY262170 SIU262170 SSQ262170 TCM262170 TMI262170 TWE262170 UGA262170 UPW262170 UZS262170 VJO262170 VTK262170 WDG262170 WNC262170 G327706 AQ327706 KM327706 UI327706 AEE327706 AOA327706 AXW327706 BHS327706 BRO327706 CBK327706 CLG327706 CVC327706 DEY327706 DOU327706 DYQ327706 EIM327706 ESI327706 FCE327706 FMA327706 FVW327706 GFS327706 GPO327706 GZK327706 HJG327706 HTC327706 ICY327706 IMU327706 IWQ327706 JGM327706 JQI327706 KAE327706 KKA327706 KTW327706 LDS327706 LNO327706 LXK327706 MHG327706 MRC327706 NAY327706 NKU327706 NUQ327706 OEM327706 OOI327706 OYE327706 PIA327706 PRW327706 QBS327706 QLO327706 QVK327706 RFG327706 RPC327706 RYY327706 SIU327706 SSQ327706 TCM327706 TMI327706 TWE327706 UGA327706 UPW327706 UZS327706 VJO327706 VTK327706 WDG327706 WNC327706 G393242 AQ393242 KM393242 UI393242 AEE393242 AOA393242 AXW393242 BHS393242 BRO393242 CBK393242 CLG393242 CVC393242 DEY393242 DOU393242 DYQ393242 EIM393242 ESI393242 FCE393242 FMA393242 FVW393242 GFS393242 GPO393242 GZK393242 HJG393242 HTC393242 ICY393242 IMU393242 IWQ393242 JGM393242 JQI393242 KAE393242 KKA393242 KTW393242 LDS393242 LNO393242 LXK393242 MHG393242 MRC393242 NAY393242 NKU393242 NUQ393242 OEM393242 OOI393242 OYE393242 PIA393242 PRW393242 QBS393242 QLO393242 QVK393242 RFG393242 RPC393242 RYY393242 SIU393242 SSQ393242 TCM393242 TMI393242 TWE393242 UGA393242 UPW393242 UZS393242 VJO393242 VTK393242 WDG393242 WNC393242 G458778 AQ458778 KM458778 UI458778 AEE458778 AOA458778 AXW458778 BHS458778 BRO458778 CBK458778 CLG458778 CVC458778 DEY458778 DOU458778 DYQ458778 EIM458778 ESI458778 FCE458778 FMA458778 FVW458778 GFS458778 GPO458778 GZK458778 HJG458778 HTC458778 ICY458778 IMU458778 IWQ458778 JGM458778 JQI458778 KAE458778 KKA458778 KTW458778 LDS458778 LNO458778 LXK458778 MHG458778 MRC458778 NAY458778 NKU458778 NUQ458778 OEM458778 OOI458778 OYE458778 PIA458778 PRW458778 QBS458778 QLO458778 QVK458778 RFG458778 RPC458778 RYY458778 SIU458778 SSQ458778 TCM458778 TMI458778 TWE458778 UGA458778 UPW458778 UZS458778 VJO458778 VTK458778 WDG458778 WNC458778 G524314 AQ524314 KM524314 UI524314 AEE524314 AOA524314 AXW524314 BHS524314 BRO524314 CBK524314 CLG524314 CVC524314 DEY524314 DOU524314 DYQ524314 EIM524314 ESI524314 FCE524314 FMA524314 FVW524314 GFS524314 GPO524314 GZK524314 HJG524314 HTC524314 ICY524314 IMU524314 IWQ524314 JGM524314 JQI524314 KAE524314 KKA524314 KTW524314 LDS524314 LNO524314 LXK524314 MHG524314 MRC524314 NAY524314 NKU524314 NUQ524314 OEM524314 OOI524314 OYE524314 PIA524314 PRW524314 QBS524314 QLO524314 QVK524314 RFG524314 RPC524314 RYY524314 SIU524314 SSQ524314 TCM524314 TMI524314 TWE524314 UGA524314 UPW524314 UZS524314 VJO524314 VTK524314 WDG524314 WNC524314 G589850 AQ589850 KM589850 UI589850 AEE589850 AOA589850 AXW589850 BHS589850 BRO589850 CBK589850 CLG589850 CVC589850 DEY589850 DOU589850 DYQ589850 EIM589850 ESI589850 FCE589850 FMA589850 FVW589850 GFS589850 GPO589850 GZK589850 HJG589850 HTC589850 ICY589850 IMU589850 IWQ589850 JGM589850 JQI589850 KAE589850 KKA589850 KTW589850 LDS589850 LNO589850 LXK589850 MHG589850 MRC589850 NAY589850 NKU589850 NUQ589850 OEM589850 OOI589850 OYE589850 PIA589850 PRW589850 QBS589850 QLO589850 QVK589850 RFG589850 RPC589850 RYY589850 SIU589850 SSQ589850 TCM589850 TMI589850 TWE589850 UGA589850 UPW589850 UZS589850 VJO589850 VTK589850 WDG589850 WNC589850 G655386 AQ655386 KM655386 UI655386 AEE655386 AOA655386 AXW655386 BHS655386 BRO655386 CBK655386 CLG655386 CVC655386 DEY655386 DOU655386 DYQ655386 EIM655386 ESI655386 FCE655386 FMA655386 FVW655386 GFS655386 GPO655386 GZK655386 HJG655386 HTC655386 ICY655386 IMU655386 IWQ655386 JGM655386 JQI655386 KAE655386 KKA655386 KTW655386 LDS655386 LNO655386 LXK655386 MHG655386 MRC655386 NAY655386 NKU655386 NUQ655386 OEM655386 OOI655386 OYE655386 PIA655386 PRW655386 QBS655386 QLO655386 QVK655386 RFG655386 RPC655386 RYY655386 SIU655386 SSQ655386 TCM655386 TMI655386 TWE655386 UGA655386 UPW655386 UZS655386 VJO655386 VTK655386 WDG655386 WNC655386 G720922 AQ720922 KM720922 UI720922 AEE720922 AOA720922 AXW720922 BHS720922 BRO720922 CBK720922 CLG720922 CVC720922 DEY720922 DOU720922 DYQ720922 EIM720922 ESI720922 FCE720922 FMA720922 FVW720922 GFS720922 GPO720922 GZK720922 HJG720922 HTC720922 ICY720922 IMU720922 IWQ720922 JGM720922 JQI720922 KAE720922 KKA720922 KTW720922 LDS720922 LNO720922 LXK720922 MHG720922 MRC720922 NAY720922 NKU720922 NUQ720922 OEM720922 OOI720922 OYE720922 PIA720922 PRW720922 QBS720922 QLO720922 QVK720922 RFG720922 RPC720922 RYY720922 SIU720922 SSQ720922 TCM720922 TMI720922 TWE720922 UGA720922 UPW720922 UZS720922 VJO720922 VTK720922 WDG720922 WNC720922 G786458 AQ786458 KM786458 UI786458 AEE786458 AOA786458 AXW786458 BHS786458 BRO786458 CBK786458 CLG786458 CVC786458 DEY786458 DOU786458 DYQ786458 EIM786458 ESI786458 FCE786458 FMA786458 FVW786458 GFS786458 GPO786458 GZK786458 HJG786458 HTC786458 ICY786458 IMU786458 IWQ786458 JGM786458 JQI786458 KAE786458 KKA786458 KTW786458 LDS786458 LNO786458 LXK786458 MHG786458 MRC786458 NAY786458 NKU786458 NUQ786458 OEM786458 OOI786458 OYE786458 PIA786458 PRW786458 QBS786458 QLO786458 QVK786458 RFG786458 RPC786458 RYY786458 SIU786458 SSQ786458 TCM786458 TMI786458 TWE786458 UGA786458 UPW786458 UZS786458 VJO786458 VTK786458 WDG786458 WNC786458 G851994 AQ851994 KM851994 UI851994 AEE851994 AOA851994 AXW851994 BHS851994 BRO851994 CBK851994 CLG851994 CVC851994 DEY851994 DOU851994 DYQ851994 EIM851994 ESI851994 FCE851994 FMA851994 FVW851994 GFS851994 GPO851994 GZK851994 HJG851994 HTC851994 ICY851994 IMU851994 IWQ851994 JGM851994 JQI851994 KAE851994 KKA851994 KTW851994 LDS851994 LNO851994 LXK851994 MHG851994 MRC851994 NAY851994 NKU851994 NUQ851994 OEM851994 OOI851994 OYE851994 PIA851994 PRW851994 QBS851994 QLO851994 QVK851994 RFG851994 RPC851994 RYY851994 SIU851994 SSQ851994 TCM851994 TMI851994 TWE851994 UGA851994 UPW851994 UZS851994 VJO851994 VTK851994 WDG851994 WNC851994 G917530 AQ917530 KM917530 UI917530 AEE917530 AOA917530 AXW917530 BHS917530 BRO917530 CBK917530 CLG917530 CVC917530 DEY917530 DOU917530 DYQ917530 EIM917530 ESI917530 FCE917530 FMA917530 FVW917530 GFS917530 GPO917530 GZK917530 HJG917530 HTC917530 ICY917530 IMU917530 IWQ917530 JGM917530 JQI917530 KAE917530 KKA917530 KTW917530 LDS917530 LNO917530 LXK917530 MHG917530 MRC917530 NAY917530 NKU917530 NUQ917530 OEM917530 OOI917530 OYE917530 PIA917530 PRW917530 QBS917530 QLO917530 QVK917530 RFG917530 RPC917530 RYY917530 SIU917530 SSQ917530 TCM917530 TMI917530 TWE917530 UGA917530 UPW917530 UZS917530 VJO917530 VTK917530 WDG917530 WNC917530 G983066 AQ983066 KM983066 UI983066 AEE983066 AOA983066 AXW983066 BHS983066 BRO983066 CBK983066 CLG983066 CVC983066 DEY983066 DOU983066 DYQ983066 EIM983066 ESI983066 FCE983066 FMA983066 FVW983066 GFS983066 GPO983066 GZK983066 HJG983066 HTC983066 ICY983066 IMU983066 IWQ983066 JGM983066 JQI983066 KAE983066 KKA983066 KTW983066 LDS983066 LNO983066 LXK983066 MHG983066 MRC983066 NAY983066 NKU983066 NUQ983066 OEM983066 OOI983066 OYE983066 PIA983066 PRW983066 QBS983066 QLO983066 QVK983066 RFG983066 RPC983066 RYY983066 SIU983066 SSQ983066 TCM983066 TMI983066 TWE983066 UGA983066 UPW983066 UZS983066 VJO983066 VTK983066 WDG983066 WNC983066 VTK983078 AQ40 KM40 UI40 AEE40 AOA40 AXW40 BHS40 BRO40 CBK40 CLG40 CVC40 DEY40 DOU40 DYQ40 EIM40 ESI40 FCE40 FMA40 FVW40 GFS40 GPO40 GZK40 HJG40 HTC40 ICY40 IMU40 IWQ40 JGM40 JQI40 KAE40 KKA40 KTW40 LDS40 LNO40 LXK40 MHG40 MRC40 NAY40 NKU40 NUQ40 OEM40 OOI40 OYE40 PIA40 PRW40 QBS40 QLO40 QVK40 RFG40 RPC40 RYY40 SIU40 SSQ40 TCM40 TMI40 TWE40 UGA40 UPW40 UZS40 VJO40 VTK40 WDG40 WNC40 G65574 AQ65574 KM65574 UI65574 AEE65574 AOA65574 AXW65574 BHS65574 BRO65574 CBK65574 CLG65574 CVC65574 DEY65574 DOU65574 DYQ65574 EIM65574 ESI65574 FCE65574 FMA65574 FVW65574 GFS65574 GPO65574 GZK65574 HJG65574 HTC65574 ICY65574 IMU65574 IWQ65574 JGM65574 JQI65574 KAE65574 KKA65574 KTW65574 LDS65574 LNO65574 LXK65574 MHG65574 MRC65574 NAY65574 NKU65574 NUQ65574 OEM65574 OOI65574 OYE65574 PIA65574 PRW65574 QBS65574 QLO65574 QVK65574 RFG65574 RPC65574 RYY65574 SIU65574 SSQ65574 TCM65574 TMI65574 TWE65574 UGA65574 UPW65574 UZS65574 VJO65574 VTK65574 WDG65574 WNC65574 G131110 AQ131110 KM131110 UI131110 AEE131110 AOA131110 AXW131110 BHS131110 BRO131110 CBK131110 CLG131110 CVC131110 DEY131110 DOU131110 DYQ131110 EIM131110 ESI131110 FCE131110 FMA131110 FVW131110 GFS131110 GPO131110 GZK131110 HJG131110 HTC131110 ICY131110 IMU131110 IWQ131110 JGM131110 JQI131110 KAE131110 KKA131110 KTW131110 LDS131110 LNO131110 LXK131110 MHG131110 MRC131110 NAY131110 NKU131110 NUQ131110 OEM131110 OOI131110 OYE131110 PIA131110 PRW131110 QBS131110 QLO131110 QVK131110 RFG131110 RPC131110 RYY131110 SIU131110 SSQ131110 TCM131110 TMI131110 TWE131110 UGA131110 UPW131110 UZS131110 VJO131110 VTK131110 WDG131110 WNC131110 G196646 AQ196646 KM196646 UI196646 AEE196646 AOA196646 AXW196646 BHS196646 BRO196646 CBK196646 CLG196646 CVC196646 DEY196646 DOU196646 DYQ196646 EIM196646 ESI196646 FCE196646 FMA196646 FVW196646 GFS196646 GPO196646 GZK196646 HJG196646 HTC196646 ICY196646 IMU196646 IWQ196646 JGM196646 JQI196646 KAE196646 KKA196646 KTW196646 LDS196646 LNO196646 LXK196646 MHG196646 MRC196646 NAY196646 NKU196646 NUQ196646 OEM196646 OOI196646 OYE196646 PIA196646 PRW196646 QBS196646 QLO196646 QVK196646 RFG196646 RPC196646 RYY196646 SIU196646 SSQ196646 TCM196646 TMI196646 TWE196646 UGA196646 UPW196646 UZS196646 VJO196646 VTK196646 WDG196646 WNC196646 G262182 AQ262182 KM262182 UI262182 AEE262182 AOA262182 AXW262182 BHS262182 BRO262182 CBK262182 CLG262182 CVC262182 DEY262182 DOU262182 DYQ262182 EIM262182 ESI262182 FCE262182 FMA262182 FVW262182 GFS262182 GPO262182 GZK262182 HJG262182 HTC262182 ICY262182 IMU262182 IWQ262182 JGM262182 JQI262182 KAE262182 KKA262182 KTW262182 LDS262182 LNO262182 LXK262182 MHG262182 MRC262182 NAY262182 NKU262182 NUQ262182 OEM262182 OOI262182 OYE262182 PIA262182 PRW262182 QBS262182 QLO262182 QVK262182 RFG262182 RPC262182 RYY262182 SIU262182 SSQ262182 TCM262182 TMI262182 TWE262182 UGA262182 UPW262182 UZS262182 VJO262182 VTK262182 WDG262182 WNC262182 G327718 AQ327718 KM327718 UI327718 AEE327718 AOA327718 AXW327718 BHS327718 BRO327718 CBK327718 CLG327718 CVC327718 DEY327718 DOU327718 DYQ327718 EIM327718 ESI327718 FCE327718 FMA327718 FVW327718 GFS327718 GPO327718 GZK327718 HJG327718 HTC327718 ICY327718 IMU327718 IWQ327718 JGM327718 JQI327718 KAE327718 KKA327718 KTW327718 LDS327718 LNO327718 LXK327718 MHG327718 MRC327718 NAY327718 NKU327718 NUQ327718 OEM327718 OOI327718 OYE327718 PIA327718 PRW327718 QBS327718 QLO327718 QVK327718 RFG327718 RPC327718 RYY327718 SIU327718 SSQ327718 TCM327718 TMI327718 TWE327718 UGA327718 UPW327718 UZS327718 VJO327718 VTK327718 WDG327718 WNC327718 G393254 AQ393254 KM393254 UI393254 AEE393254 AOA393254 AXW393254 BHS393254 BRO393254 CBK393254 CLG393254 CVC393254 DEY393254 DOU393254 DYQ393254 EIM393254 ESI393254 FCE393254 FMA393254 FVW393254 GFS393254 GPO393254 GZK393254 HJG393254 HTC393254 ICY393254 IMU393254 IWQ393254 JGM393254 JQI393254 KAE393254 KKA393254 KTW393254 LDS393254 LNO393254 LXK393254 MHG393254 MRC393254 NAY393254 NKU393254 NUQ393254 OEM393254 OOI393254 OYE393254 PIA393254 PRW393254 QBS393254 QLO393254 QVK393254 RFG393254 RPC393254 RYY393254 SIU393254 SSQ393254 TCM393254 TMI393254 TWE393254 UGA393254 UPW393254 UZS393254 VJO393254 VTK393254 WDG393254 WNC393254 G458790 AQ458790 KM458790 UI458790 AEE458790 AOA458790 AXW458790 BHS458790 BRO458790 CBK458790 CLG458790 CVC458790 DEY458790 DOU458790 DYQ458790 EIM458790 ESI458790 FCE458790 FMA458790 FVW458790 GFS458790 GPO458790 GZK458790 HJG458790 HTC458790 ICY458790 IMU458790 IWQ458790 JGM458790 JQI458790 KAE458790 KKA458790 KTW458790 LDS458790 LNO458790 LXK458790 MHG458790 MRC458790 NAY458790 NKU458790 NUQ458790 OEM458790 OOI458790 OYE458790 PIA458790 PRW458790 QBS458790 QLO458790 QVK458790 RFG458790 RPC458790 RYY458790 SIU458790 SSQ458790 TCM458790 TMI458790 TWE458790 UGA458790 UPW458790 UZS458790 VJO458790 VTK458790 WDG458790 WNC458790 G524326 AQ524326 KM524326 UI524326 AEE524326 AOA524326 AXW524326 BHS524326 BRO524326 CBK524326 CLG524326 CVC524326 DEY524326 DOU524326 DYQ524326 EIM524326 ESI524326 FCE524326 FMA524326 FVW524326 GFS524326 GPO524326 GZK524326 HJG524326 HTC524326 ICY524326 IMU524326 IWQ524326 JGM524326 JQI524326 KAE524326 KKA524326 KTW524326 LDS524326 LNO524326 LXK524326 MHG524326 MRC524326 NAY524326 NKU524326 NUQ524326 OEM524326 OOI524326 OYE524326 PIA524326 PRW524326 QBS524326 QLO524326 QVK524326 RFG524326 RPC524326 RYY524326 SIU524326 SSQ524326 TCM524326 TMI524326 TWE524326 UGA524326 UPW524326 UZS524326 VJO524326 VTK524326 WDG524326 WNC524326 G589862 AQ589862 KM589862 UI589862 AEE589862 AOA589862 AXW589862 BHS589862 BRO589862 CBK589862 CLG589862 CVC589862 DEY589862 DOU589862 DYQ589862 EIM589862 ESI589862 FCE589862 FMA589862 FVW589862 GFS589862 GPO589862 GZK589862 HJG589862 HTC589862 ICY589862 IMU589862 IWQ589862 JGM589862 JQI589862 KAE589862 KKA589862 KTW589862 LDS589862 LNO589862 LXK589862 MHG589862 MRC589862 NAY589862 NKU589862 NUQ589862 OEM589862 OOI589862 OYE589862 PIA589862 PRW589862 QBS589862 QLO589862 QVK589862 RFG589862 RPC589862 RYY589862 SIU589862 SSQ589862 TCM589862 TMI589862 TWE589862 UGA589862 UPW589862 UZS589862 VJO589862 VTK589862 WDG589862 WNC589862 G655398 AQ655398 KM655398 UI655398 AEE655398 AOA655398 AXW655398 BHS655398 BRO655398 CBK655398 CLG655398 CVC655398 DEY655398 DOU655398 DYQ655398 EIM655398 ESI655398 FCE655398 FMA655398 FVW655398 GFS655398 GPO655398 GZK655398 HJG655398 HTC655398 ICY655398 IMU655398 IWQ655398 JGM655398 JQI655398 KAE655398 KKA655398 KTW655398 LDS655398 LNO655398 LXK655398 MHG655398 MRC655398 NAY655398 NKU655398 NUQ655398 OEM655398 OOI655398 OYE655398 PIA655398 PRW655398 QBS655398 QLO655398 QVK655398 RFG655398 RPC655398 RYY655398 SIU655398 SSQ655398 TCM655398 TMI655398 TWE655398 UGA655398 UPW655398 UZS655398 VJO655398 VTK655398 WDG655398 WNC655398 G720934 AQ720934 KM720934 UI720934 AEE720934 AOA720934 AXW720934 BHS720934 BRO720934 CBK720934 CLG720934 CVC720934 DEY720934 DOU720934 DYQ720934 EIM720934 ESI720934 FCE720934 FMA720934 FVW720934 GFS720934 GPO720934 GZK720934 HJG720934 HTC720934 ICY720934 IMU720934 IWQ720934 JGM720934 JQI720934 KAE720934 KKA720934 KTW720934 LDS720934 LNO720934 LXK720934 MHG720934 MRC720934 NAY720934 NKU720934 NUQ720934 OEM720934 OOI720934 OYE720934 PIA720934 PRW720934 QBS720934 QLO720934 QVK720934 RFG720934 RPC720934 RYY720934 SIU720934 SSQ720934 TCM720934 TMI720934 TWE720934 UGA720934 UPW720934 UZS720934 VJO720934 VTK720934 WDG720934 WNC720934 G786470 AQ786470 KM786470 UI786470 AEE786470 AOA786470 AXW786470 BHS786470 BRO786470 CBK786470 CLG786470 CVC786470 DEY786470 DOU786470 DYQ786470 EIM786470 ESI786470 FCE786470 FMA786470 FVW786470 GFS786470 GPO786470 GZK786470 HJG786470 HTC786470 ICY786470 IMU786470 IWQ786470 JGM786470 JQI786470 KAE786470 KKA786470 KTW786470 LDS786470 LNO786470 LXK786470 MHG786470 MRC786470 NAY786470 NKU786470 NUQ786470 OEM786470 OOI786470 OYE786470 PIA786470 PRW786470 QBS786470 QLO786470 QVK786470 RFG786470 RPC786470 RYY786470 SIU786470 SSQ786470 TCM786470 TMI786470 TWE786470 UGA786470 UPW786470 UZS786470 VJO786470 VTK786470 WDG786470 WNC786470 G852006 AQ852006 KM852006 UI852006 AEE852006 AOA852006 AXW852006 BHS852006 BRO852006 CBK852006 CLG852006 CVC852006 DEY852006 DOU852006 DYQ852006 EIM852006 ESI852006 FCE852006 FMA852006 FVW852006 GFS852006 GPO852006 GZK852006 HJG852006 HTC852006 ICY852006 IMU852006 IWQ852006 JGM852006 JQI852006 KAE852006 KKA852006 KTW852006 LDS852006 LNO852006 LXK852006 MHG852006 MRC852006 NAY852006 NKU852006 NUQ852006 OEM852006 OOI852006 OYE852006 PIA852006 PRW852006 QBS852006 QLO852006 QVK852006 RFG852006 RPC852006 RYY852006 SIU852006 SSQ852006 TCM852006 TMI852006 TWE852006 UGA852006 UPW852006 UZS852006 VJO852006 VTK852006 WDG852006 WNC852006 G917542 AQ917542 KM917542 UI917542 AEE917542 AOA917542 AXW917542 BHS917542 BRO917542 CBK917542 CLG917542 CVC917542 DEY917542 DOU917542 DYQ917542 EIM917542 ESI917542 FCE917542 FMA917542 FVW917542 GFS917542 GPO917542 GZK917542 HJG917542 HTC917542 ICY917542 IMU917542 IWQ917542 JGM917542 JQI917542 KAE917542 KKA917542 KTW917542 LDS917542 LNO917542 LXK917542 MHG917542 MRC917542 NAY917542 NKU917542 NUQ917542 OEM917542 OOI917542 OYE917542 PIA917542 PRW917542 QBS917542 QLO917542 QVK917542 RFG917542 RPC917542 RYY917542 SIU917542 SSQ917542 TCM917542 TMI917542 TWE917542 UGA917542 UPW917542 UZS917542 VJO917542 VTK917542 WDG917542 WNC917542 G983078 AQ983078 KM983078 UI983078 AEE983078 AOA983078 AXW983078 BHS983078 BRO983078 CBK983078 CLG983078 CVC983078 DEY983078 DOU983078 DYQ983078 EIM983078 ESI983078 FCE983078 FMA983078 FVW983078 GFS983078 GPO983078 GZK983078 HJG983078 HTC983078 ICY983078 IMU983078 IWQ983078 JGM983078 JQI983078 KAE983078 KKA983078 KTW983078 LDS983078 LNO983078 LXK983078 MHG983078 MRC983078 NAY983078 NKU983078 NUQ983078 OEM983078 OOI983078 OYE983078 PIA983078 PRW983078 QBS983078 QLO983078 QVK983078 RFG983078 RPC983078 RYY983078 SIU983078 SSQ983078 TCM983078 TMI983078 TWE983078 UGA983078 UPW983078 UZS983078 VJO983078">
      <formula1>0</formula1>
      <formula2>1</formula2>
    </dataValidation>
    <dataValidation type="decimal" allowBlank="1" showInputMessage="1" showErrorMessage="1" errorTitle="Error" error="The number of eligible secondary pupils for this factor cannot be negative or higher than100%. Please insert the correct figure or leave the cell blank to use an LA average." sqref="WND983077 AR39 KN39 UJ39 AEF39 AOB39 AXX39 BHT39 BRP39 CBL39 CLH39 CVD39 DEZ39 DOV39 DYR39 EIN39 ESJ39 FCF39 FMB39 FVX39 GFT39 GPP39 GZL39 HJH39 HTD39 ICZ39 IMV39 IWR39 JGN39 JQJ39 KAF39 KKB39 KTX39 LDT39 LNP39 LXL39 MHH39 MRD39 NAZ39 NKV39 NUR39 OEN39 OOJ39 OYF39 PIB39 PRX39 QBT39 QLP39 QVL39 RFH39 RPD39 RYZ39 SIV39 SSR39 TCN39 TMJ39 TWF39 UGB39 UPX39 UZT39 VJP39 VTL39 WDH39 WND39 H65573 AR65573 KN65573 UJ65573 AEF65573 AOB65573 AXX65573 BHT65573 BRP65573 CBL65573 CLH65573 CVD65573 DEZ65573 DOV65573 DYR65573 EIN65573 ESJ65573 FCF65573 FMB65573 FVX65573 GFT65573 GPP65573 GZL65573 HJH65573 HTD65573 ICZ65573 IMV65573 IWR65573 JGN65573 JQJ65573 KAF65573 KKB65573 KTX65573 LDT65573 LNP65573 LXL65573 MHH65573 MRD65573 NAZ65573 NKV65573 NUR65573 OEN65573 OOJ65573 OYF65573 PIB65573 PRX65573 QBT65573 QLP65573 QVL65573 RFH65573 RPD65573 RYZ65573 SIV65573 SSR65573 TCN65573 TMJ65573 TWF65573 UGB65573 UPX65573 UZT65573 VJP65573 VTL65573 WDH65573 WND65573 H131109 AR131109 KN131109 UJ131109 AEF131109 AOB131109 AXX131109 BHT131109 BRP131109 CBL131109 CLH131109 CVD131109 DEZ131109 DOV131109 DYR131109 EIN131109 ESJ131109 FCF131109 FMB131109 FVX131109 GFT131109 GPP131109 GZL131109 HJH131109 HTD131109 ICZ131109 IMV131109 IWR131109 JGN131109 JQJ131109 KAF131109 KKB131109 KTX131109 LDT131109 LNP131109 LXL131109 MHH131109 MRD131109 NAZ131109 NKV131109 NUR131109 OEN131109 OOJ131109 OYF131109 PIB131109 PRX131109 QBT131109 QLP131109 QVL131109 RFH131109 RPD131109 RYZ131109 SIV131109 SSR131109 TCN131109 TMJ131109 TWF131109 UGB131109 UPX131109 UZT131109 VJP131109 VTL131109 WDH131109 WND131109 H196645 AR196645 KN196645 UJ196645 AEF196645 AOB196645 AXX196645 BHT196645 BRP196645 CBL196645 CLH196645 CVD196645 DEZ196645 DOV196645 DYR196645 EIN196645 ESJ196645 FCF196645 FMB196645 FVX196645 GFT196645 GPP196645 GZL196645 HJH196645 HTD196645 ICZ196645 IMV196645 IWR196645 JGN196645 JQJ196645 KAF196645 KKB196645 KTX196645 LDT196645 LNP196645 LXL196645 MHH196645 MRD196645 NAZ196645 NKV196645 NUR196645 OEN196645 OOJ196645 OYF196645 PIB196645 PRX196645 QBT196645 QLP196645 QVL196645 RFH196645 RPD196645 RYZ196645 SIV196645 SSR196645 TCN196645 TMJ196645 TWF196645 UGB196645 UPX196645 UZT196645 VJP196645 VTL196645 WDH196645 WND196645 H262181 AR262181 KN262181 UJ262181 AEF262181 AOB262181 AXX262181 BHT262181 BRP262181 CBL262181 CLH262181 CVD262181 DEZ262181 DOV262181 DYR262181 EIN262181 ESJ262181 FCF262181 FMB262181 FVX262181 GFT262181 GPP262181 GZL262181 HJH262181 HTD262181 ICZ262181 IMV262181 IWR262181 JGN262181 JQJ262181 KAF262181 KKB262181 KTX262181 LDT262181 LNP262181 LXL262181 MHH262181 MRD262181 NAZ262181 NKV262181 NUR262181 OEN262181 OOJ262181 OYF262181 PIB262181 PRX262181 QBT262181 QLP262181 QVL262181 RFH262181 RPD262181 RYZ262181 SIV262181 SSR262181 TCN262181 TMJ262181 TWF262181 UGB262181 UPX262181 UZT262181 VJP262181 VTL262181 WDH262181 WND262181 H327717 AR327717 KN327717 UJ327717 AEF327717 AOB327717 AXX327717 BHT327717 BRP327717 CBL327717 CLH327717 CVD327717 DEZ327717 DOV327717 DYR327717 EIN327717 ESJ327717 FCF327717 FMB327717 FVX327717 GFT327717 GPP327717 GZL327717 HJH327717 HTD327717 ICZ327717 IMV327717 IWR327717 JGN327717 JQJ327717 KAF327717 KKB327717 KTX327717 LDT327717 LNP327717 LXL327717 MHH327717 MRD327717 NAZ327717 NKV327717 NUR327717 OEN327717 OOJ327717 OYF327717 PIB327717 PRX327717 QBT327717 QLP327717 QVL327717 RFH327717 RPD327717 RYZ327717 SIV327717 SSR327717 TCN327717 TMJ327717 TWF327717 UGB327717 UPX327717 UZT327717 VJP327717 VTL327717 WDH327717 WND327717 H393253 AR393253 KN393253 UJ393253 AEF393253 AOB393253 AXX393253 BHT393253 BRP393253 CBL393253 CLH393253 CVD393253 DEZ393253 DOV393253 DYR393253 EIN393253 ESJ393253 FCF393253 FMB393253 FVX393253 GFT393253 GPP393253 GZL393253 HJH393253 HTD393253 ICZ393253 IMV393253 IWR393253 JGN393253 JQJ393253 KAF393253 KKB393253 KTX393253 LDT393253 LNP393253 LXL393253 MHH393253 MRD393253 NAZ393253 NKV393253 NUR393253 OEN393253 OOJ393253 OYF393253 PIB393253 PRX393253 QBT393253 QLP393253 QVL393253 RFH393253 RPD393253 RYZ393253 SIV393253 SSR393253 TCN393253 TMJ393253 TWF393253 UGB393253 UPX393253 UZT393253 VJP393253 VTL393253 WDH393253 WND393253 H458789 AR458789 KN458789 UJ458789 AEF458789 AOB458789 AXX458789 BHT458789 BRP458789 CBL458789 CLH458789 CVD458789 DEZ458789 DOV458789 DYR458789 EIN458789 ESJ458789 FCF458789 FMB458789 FVX458789 GFT458789 GPP458789 GZL458789 HJH458789 HTD458789 ICZ458789 IMV458789 IWR458789 JGN458789 JQJ458789 KAF458789 KKB458789 KTX458789 LDT458789 LNP458789 LXL458789 MHH458789 MRD458789 NAZ458789 NKV458789 NUR458789 OEN458789 OOJ458789 OYF458789 PIB458789 PRX458789 QBT458789 QLP458789 QVL458789 RFH458789 RPD458789 RYZ458789 SIV458789 SSR458789 TCN458789 TMJ458789 TWF458789 UGB458789 UPX458789 UZT458789 VJP458789 VTL458789 WDH458789 WND458789 H524325 AR524325 KN524325 UJ524325 AEF524325 AOB524325 AXX524325 BHT524325 BRP524325 CBL524325 CLH524325 CVD524325 DEZ524325 DOV524325 DYR524325 EIN524325 ESJ524325 FCF524325 FMB524325 FVX524325 GFT524325 GPP524325 GZL524325 HJH524325 HTD524325 ICZ524325 IMV524325 IWR524325 JGN524325 JQJ524325 KAF524325 KKB524325 KTX524325 LDT524325 LNP524325 LXL524325 MHH524325 MRD524325 NAZ524325 NKV524325 NUR524325 OEN524325 OOJ524325 OYF524325 PIB524325 PRX524325 QBT524325 QLP524325 QVL524325 RFH524325 RPD524325 RYZ524325 SIV524325 SSR524325 TCN524325 TMJ524325 TWF524325 UGB524325 UPX524325 UZT524325 VJP524325 VTL524325 WDH524325 WND524325 H589861 AR589861 KN589861 UJ589861 AEF589861 AOB589861 AXX589861 BHT589861 BRP589861 CBL589861 CLH589861 CVD589861 DEZ589861 DOV589861 DYR589861 EIN589861 ESJ589861 FCF589861 FMB589861 FVX589861 GFT589861 GPP589861 GZL589861 HJH589861 HTD589861 ICZ589861 IMV589861 IWR589861 JGN589861 JQJ589861 KAF589861 KKB589861 KTX589861 LDT589861 LNP589861 LXL589861 MHH589861 MRD589861 NAZ589861 NKV589861 NUR589861 OEN589861 OOJ589861 OYF589861 PIB589861 PRX589861 QBT589861 QLP589861 QVL589861 RFH589861 RPD589861 RYZ589861 SIV589861 SSR589861 TCN589861 TMJ589861 TWF589861 UGB589861 UPX589861 UZT589861 VJP589861 VTL589861 WDH589861 WND589861 H655397 AR655397 KN655397 UJ655397 AEF655397 AOB655397 AXX655397 BHT655397 BRP655397 CBL655397 CLH655397 CVD655397 DEZ655397 DOV655397 DYR655397 EIN655397 ESJ655397 FCF655397 FMB655397 FVX655397 GFT655397 GPP655397 GZL655397 HJH655397 HTD655397 ICZ655397 IMV655397 IWR655397 JGN655397 JQJ655397 KAF655397 KKB655397 KTX655397 LDT655397 LNP655397 LXL655397 MHH655397 MRD655397 NAZ655397 NKV655397 NUR655397 OEN655397 OOJ655397 OYF655397 PIB655397 PRX655397 QBT655397 QLP655397 QVL655397 RFH655397 RPD655397 RYZ655397 SIV655397 SSR655397 TCN655397 TMJ655397 TWF655397 UGB655397 UPX655397 UZT655397 VJP655397 VTL655397 WDH655397 WND655397 H720933 AR720933 KN720933 UJ720933 AEF720933 AOB720933 AXX720933 BHT720933 BRP720933 CBL720933 CLH720933 CVD720933 DEZ720933 DOV720933 DYR720933 EIN720933 ESJ720933 FCF720933 FMB720933 FVX720933 GFT720933 GPP720933 GZL720933 HJH720933 HTD720933 ICZ720933 IMV720933 IWR720933 JGN720933 JQJ720933 KAF720933 KKB720933 KTX720933 LDT720933 LNP720933 LXL720933 MHH720933 MRD720933 NAZ720933 NKV720933 NUR720933 OEN720933 OOJ720933 OYF720933 PIB720933 PRX720933 QBT720933 QLP720933 QVL720933 RFH720933 RPD720933 RYZ720933 SIV720933 SSR720933 TCN720933 TMJ720933 TWF720933 UGB720933 UPX720933 UZT720933 VJP720933 VTL720933 WDH720933 WND720933 H786469 AR786469 KN786469 UJ786469 AEF786469 AOB786469 AXX786469 BHT786469 BRP786469 CBL786469 CLH786469 CVD786469 DEZ786469 DOV786469 DYR786469 EIN786469 ESJ786469 FCF786469 FMB786469 FVX786469 GFT786469 GPP786469 GZL786469 HJH786469 HTD786469 ICZ786469 IMV786469 IWR786469 JGN786469 JQJ786469 KAF786469 KKB786469 KTX786469 LDT786469 LNP786469 LXL786469 MHH786469 MRD786469 NAZ786469 NKV786469 NUR786469 OEN786469 OOJ786469 OYF786469 PIB786469 PRX786469 QBT786469 QLP786469 QVL786469 RFH786469 RPD786469 RYZ786469 SIV786469 SSR786469 TCN786469 TMJ786469 TWF786469 UGB786469 UPX786469 UZT786469 VJP786469 VTL786469 WDH786469 WND786469 H852005 AR852005 KN852005 UJ852005 AEF852005 AOB852005 AXX852005 BHT852005 BRP852005 CBL852005 CLH852005 CVD852005 DEZ852005 DOV852005 DYR852005 EIN852005 ESJ852005 FCF852005 FMB852005 FVX852005 GFT852005 GPP852005 GZL852005 HJH852005 HTD852005 ICZ852005 IMV852005 IWR852005 JGN852005 JQJ852005 KAF852005 KKB852005 KTX852005 LDT852005 LNP852005 LXL852005 MHH852005 MRD852005 NAZ852005 NKV852005 NUR852005 OEN852005 OOJ852005 OYF852005 PIB852005 PRX852005 QBT852005 QLP852005 QVL852005 RFH852005 RPD852005 RYZ852005 SIV852005 SSR852005 TCN852005 TMJ852005 TWF852005 UGB852005 UPX852005 UZT852005 VJP852005 VTL852005 WDH852005 WND852005 H917541 AR917541 KN917541 UJ917541 AEF917541 AOB917541 AXX917541 BHT917541 BRP917541 CBL917541 CLH917541 CVD917541 DEZ917541 DOV917541 DYR917541 EIN917541 ESJ917541 FCF917541 FMB917541 FVX917541 GFT917541 GPP917541 GZL917541 HJH917541 HTD917541 ICZ917541 IMV917541 IWR917541 JGN917541 JQJ917541 KAF917541 KKB917541 KTX917541 LDT917541 LNP917541 LXL917541 MHH917541 MRD917541 NAZ917541 NKV917541 NUR917541 OEN917541 OOJ917541 OYF917541 PIB917541 PRX917541 QBT917541 QLP917541 QVL917541 RFH917541 RPD917541 RYZ917541 SIV917541 SSR917541 TCN917541 TMJ917541 TWF917541 UGB917541 UPX917541 UZT917541 VJP917541 VTL917541 WDH917541 WND917541 H983077 AR983077 KN983077 UJ983077 AEF983077 AOB983077 AXX983077 BHT983077 BRP983077 CBL983077 CLH983077 CVD983077 DEZ983077 DOV983077 DYR983077 EIN983077 ESJ983077 FCF983077 FMB983077 FVX983077 GFT983077 GPP983077 GZL983077 HJH983077 HTD983077 ICZ983077 IMV983077 IWR983077 JGN983077 JQJ983077 KAF983077 KKB983077 KTX983077 LDT983077 LNP983077 LXL983077 MHH983077 MRD983077 NAZ983077 NKV983077 NUR983077 OEN983077 OOJ983077 OYF983077 PIB983077 PRX983077 QBT983077 QLP983077 QVL983077 RFH983077 RPD983077 RYZ983077 SIV983077 SSR983077 TCN983077 TMJ983077 TWF983077 UGB983077 UPX983077 UZT983077 VJP983077 VTL983077 WDH983077">
      <formula1>0</formula1>
      <formula2>1</formula2>
    </dataValidation>
    <dataValidation type="decimal" allowBlank="1" showInputMessage="1" showErrorMessage="1" errorTitle="Error" error="The percentage of eligible primary pupils for this factor cannot be negative or higher than 100%. Please insert the correct figure." sqref="G37 G68:G69">
      <formula1>0</formula1>
      <formula2>1</formula2>
    </dataValidation>
    <dataValidation type="decimal" allowBlank="1" showInputMessage="1" showErrorMessage="1" errorTitle="Error" error="The percentage of eligible secondary pupils for this factor cannot be negative or higher than 100%. Please insert the correct figure." sqref="H37 H68:H69">
      <formula1>0</formula1>
      <formula2>1</formula2>
    </dataValidation>
    <dataValidation type="custom" operator="greaterThanOrEqual" allowBlank="1" showInputMessage="1" showErrorMessage="1" errorTitle="Negative value" error="The number of pupils cannot be negative. Please insert a positive figure." sqref="G22:J22">
      <formula1>AND(Opening_Date_Value&lt;DATE(2020,9,1),G28&gt;=0,G28&lt;=1)</formula1>
    </dataValidation>
  </dataValidations>
  <pageMargins left="0.7" right="0.7" top="0.75" bottom="0.75" header="0.3" footer="0.3"/>
  <pageSetup paperSize="8" scale="50" orientation="portrait"/>
  <headerFooter scaleWithDoc="1" alignWithMargins="0" differentFirst="0" differentOddEven="0"/>
  <drawing r:id="rId2"/>
  <extLst/>
</worksheet>
</file>

<file path=xl/worksheets/sheet1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3"/>
  <dimension ref="A1:AY158"/>
  <sheetViews>
    <sheetView topLeftCell="A1" showGridLines="0" zoomScale="70" view="normal" workbookViewId="0">
      <pane xSplit="2" ySplit="4" topLeftCell="J5" activePane="bottomRight" state="frozen"/>
      <selection pane="bottomRight" activeCell="M3" sqref="M3"/>
    </sheetView>
  </sheetViews>
  <sheetFormatPr defaultColWidth="9" zeroHeight="true" defaultRowHeight="15"/>
  <cols>
    <col min="1" max="1" width="13.75390625" style="391" customWidth="1"/>
    <col min="2" max="2" width="43.375" style="389" bestFit="1" customWidth="1"/>
    <col min="3" max="3" width="15.00390625" style="389" customWidth="1"/>
    <col min="4" max="4" width="13.75390625" style="389" customWidth="1"/>
    <col min="5" max="9" width="12.00390625" style="389" customWidth="1"/>
    <col min="10" max="10" width="10.625" style="390" customWidth="1"/>
    <col min="11" max="11" width="12.00390625" style="390" bestFit="1" customWidth="1"/>
    <col min="12" max="12" width="10.75390625" style="390" customWidth="1"/>
    <col min="13" max="13" width="11.00390625" style="390" bestFit="1" customWidth="1"/>
    <col min="14" max="14" width="12.00390625" style="390" bestFit="1" customWidth="1"/>
    <col min="15" max="15" width="11.75390625" style="390" bestFit="1" customWidth="1"/>
    <col min="16" max="29" width="12.00390625" style="390" bestFit="1" customWidth="1"/>
    <col min="30" max="30" width="11.00390625" style="390" bestFit="1" customWidth="1"/>
    <col min="31" max="34" width="12.00390625" style="390" bestFit="1" customWidth="1"/>
    <col min="35" max="39" width="14.00390625" style="390" bestFit="1" customWidth="1"/>
    <col min="40" max="40" width="12.25390625" style="390" bestFit="1" customWidth="1"/>
    <col min="41" max="41" width="11.25390625" style="390" customWidth="1"/>
    <col min="42" max="42" width="9.00390625" style="390" customWidth="1"/>
    <col min="43" max="43" width="10.00390625" style="390" customWidth="1"/>
    <col min="44" max="44" width="23.25390625" style="390" customWidth="1"/>
    <col min="45" max="45" width="23.00390625" style="390" customWidth="1"/>
    <col min="46" max="46" width="9.00390625" style="390" customWidth="1"/>
    <col min="47" max="51" width="9.00390625" style="390" hidden="1" customWidth="1"/>
    <col min="52" max="16384" width="9.00390625" style="390" customWidth="1"/>
  </cols>
  <sheetData>
    <row r="1" spans="1:45" ht="26.25">
      <c r="A1" s="388" t="s">
        <v>1181</v>
      </c>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row>
    <row r="2" spans="5:45" ht="15.75" thickBot="1">
      <c r="E2" s="392"/>
      <c r="F2" s="392"/>
      <c r="I2" s="392"/>
      <c r="AI2" s="393"/>
      <c r="AK2" s="393"/>
      <c r="AL2" s="393"/>
      <c r="AQ2" s="393"/>
      <c r="AR2" s="393"/>
      <c r="AS2" s="393"/>
    </row>
    <row r="3" spans="1:45" ht="75.75" thickBot="1">
      <c r="A3" s="751" t="s">
        <v>580</v>
      </c>
      <c r="B3" s="752" t="s">
        <v>170</v>
      </c>
      <c r="C3" s="753" t="s">
        <v>1099</v>
      </c>
      <c r="D3" s="753" t="s">
        <v>612</v>
      </c>
      <c r="E3" s="754" t="s">
        <v>1100</v>
      </c>
      <c r="F3" s="754" t="s">
        <v>613</v>
      </c>
      <c r="G3" s="754" t="s">
        <v>614</v>
      </c>
      <c r="H3" s="754" t="s">
        <v>1101</v>
      </c>
      <c r="I3" s="754" t="s">
        <v>1102</v>
      </c>
      <c r="J3" s="755" t="s">
        <v>615</v>
      </c>
      <c r="K3" s="755" t="s">
        <v>616</v>
      </c>
      <c r="L3" s="755" t="s">
        <v>617</v>
      </c>
      <c r="M3" s="755" t="s">
        <v>618</v>
      </c>
      <c r="N3" s="755" t="s">
        <v>619</v>
      </c>
      <c r="O3" s="755" t="s">
        <v>620</v>
      </c>
      <c r="P3" s="755" t="s">
        <v>621</v>
      </c>
      <c r="Q3" s="755" t="s">
        <v>622</v>
      </c>
      <c r="R3" s="755" t="s">
        <v>623</v>
      </c>
      <c r="S3" s="755" t="s">
        <v>624</v>
      </c>
      <c r="T3" s="755" t="s">
        <v>625</v>
      </c>
      <c r="U3" s="755" t="s">
        <v>626</v>
      </c>
      <c r="V3" s="755" t="s">
        <v>627</v>
      </c>
      <c r="W3" s="755" t="s">
        <v>628</v>
      </c>
      <c r="X3" s="755" t="s">
        <v>629</v>
      </c>
      <c r="Y3" s="755" t="s">
        <v>630</v>
      </c>
      <c r="Z3" s="755" t="s">
        <v>631</v>
      </c>
      <c r="AA3" s="755" t="s">
        <v>632</v>
      </c>
      <c r="AB3" s="755" t="s">
        <v>633</v>
      </c>
      <c r="AC3" s="755" t="s">
        <v>634</v>
      </c>
      <c r="AD3" s="755" t="s">
        <v>635</v>
      </c>
      <c r="AE3" s="755" t="s">
        <v>636</v>
      </c>
      <c r="AF3" s="755" t="s">
        <v>637</v>
      </c>
      <c r="AG3" s="755" t="s">
        <v>638</v>
      </c>
      <c r="AH3" s="755" t="s">
        <v>639</v>
      </c>
      <c r="AI3" s="755" t="s">
        <v>1094</v>
      </c>
      <c r="AJ3" s="755" t="s">
        <v>1095</v>
      </c>
      <c r="AK3" s="755" t="s">
        <v>1096</v>
      </c>
      <c r="AL3" s="755" t="s">
        <v>1097</v>
      </c>
      <c r="AM3" s="755" t="s">
        <v>1098</v>
      </c>
      <c r="AN3" s="755" t="s">
        <v>640</v>
      </c>
      <c r="AO3" s="755" t="s">
        <v>641</v>
      </c>
      <c r="AP3" s="394"/>
      <c r="AQ3" s="755" t="s">
        <v>642</v>
      </c>
      <c r="AR3" s="755" t="s">
        <v>643</v>
      </c>
      <c r="AS3" s="755" t="s">
        <v>644</v>
      </c>
    </row>
    <row r="4" spans="1:45">
      <c r="A4" s="756">
        <v>201</v>
      </c>
      <c r="B4" s="757" t="s">
        <v>203</v>
      </c>
      <c r="C4" s="758">
        <v>237</v>
      </c>
      <c r="D4" s="758">
        <v>207</v>
      </c>
      <c r="E4" s="758">
        <v>0</v>
      </c>
      <c r="F4" s="758">
        <v>0</v>
      </c>
      <c r="G4" s="758">
        <v>0</v>
      </c>
      <c r="H4" s="758">
        <v>0</v>
      </c>
      <c r="I4" s="758">
        <v>0</v>
      </c>
      <c r="J4" s="759">
        <v>0.130801687763713</v>
      </c>
      <c r="K4" s="759">
        <v>0.175</v>
      </c>
      <c r="L4" s="759">
        <v>0</v>
      </c>
      <c r="M4" s="759">
        <v>0</v>
      </c>
      <c r="N4" s="759">
        <v>0.189873417721519</v>
      </c>
      <c r="O4" s="759">
        <v>0.0253164556962025</v>
      </c>
      <c r="P4" s="759">
        <v>0.379746835443038</v>
      </c>
      <c r="Q4" s="759">
        <v>0.126582278481013</v>
      </c>
      <c r="R4" s="759">
        <v>0.105485232067511</v>
      </c>
      <c r="S4" s="759">
        <v>0.160337552742616</v>
      </c>
      <c r="T4" s="759">
        <v>0.0126582278481013</v>
      </c>
      <c r="U4" s="759">
        <v>0</v>
      </c>
      <c r="V4" s="759">
        <v>0</v>
      </c>
      <c r="W4" s="759">
        <v>0</v>
      </c>
      <c r="X4" s="759">
        <v>0</v>
      </c>
      <c r="Y4" s="759">
        <v>0</v>
      </c>
      <c r="Z4" s="759">
        <v>0</v>
      </c>
      <c r="AA4" s="759">
        <v>0</v>
      </c>
      <c r="AB4" s="759">
        <v>0.0631067961165049</v>
      </c>
      <c r="AC4" s="759">
        <v>0.174757281553398</v>
      </c>
      <c r="AD4" s="759">
        <v>0.262135922330097</v>
      </c>
      <c r="AE4" s="759">
        <v>0</v>
      </c>
      <c r="AF4" s="759">
        <v>0</v>
      </c>
      <c r="AG4" s="759">
        <v>0</v>
      </c>
      <c r="AH4" s="759">
        <v>0</v>
      </c>
      <c r="AI4" s="759">
        <v>0.252577319587629</v>
      </c>
      <c r="AJ4" s="759">
        <v>0</v>
      </c>
      <c r="AK4" s="759">
        <v>0</v>
      </c>
      <c r="AL4" s="759">
        <v>0</v>
      </c>
      <c r="AM4" s="759">
        <v>0</v>
      </c>
      <c r="AN4" s="759">
        <v>0.050632911392405104</v>
      </c>
      <c r="AO4" s="760">
        <v>0</v>
      </c>
      <c r="AP4" s="394"/>
      <c r="AQ4" s="769"/>
      <c r="AR4" s="770"/>
      <c r="AS4" s="770"/>
    </row>
    <row r="5" spans="1:45">
      <c r="A5" s="396">
        <v>202</v>
      </c>
      <c r="B5" s="761" t="s">
        <v>199</v>
      </c>
      <c r="C5" s="762">
        <v>10751</v>
      </c>
      <c r="D5" s="762">
        <v>9287</v>
      </c>
      <c r="E5" s="762">
        <v>7959</v>
      </c>
      <c r="F5" s="762">
        <v>1592</v>
      </c>
      <c r="G5" s="762">
        <v>1594</v>
      </c>
      <c r="H5" s="762">
        <v>1599</v>
      </c>
      <c r="I5" s="762">
        <v>3174</v>
      </c>
      <c r="J5" s="763">
        <v>0.27150962701144082</v>
      </c>
      <c r="K5" s="763">
        <v>0.3941662139866377</v>
      </c>
      <c r="L5" s="763">
        <v>0.28521171001382062</v>
      </c>
      <c r="M5" s="763">
        <v>0.54339679294373444</v>
      </c>
      <c r="N5" s="763">
        <v>0.23459380325390347</v>
      </c>
      <c r="O5" s="763">
        <v>0.0937916348093188</v>
      </c>
      <c r="P5" s="763">
        <v>0.099529617547269217</v>
      </c>
      <c r="Q5" s="763">
        <v>0.0942284443563599</v>
      </c>
      <c r="R5" s="763">
        <v>0.15002057625697252</v>
      </c>
      <c r="S5" s="763">
        <v>0.23771800816610852</v>
      </c>
      <c r="T5" s="763">
        <v>0.090117915610067309</v>
      </c>
      <c r="U5" s="763">
        <v>0.17453700834435437</v>
      </c>
      <c r="V5" s="763">
        <v>0.080978152199204415</v>
      </c>
      <c r="W5" s="763">
        <v>0.11164403259518005</v>
      </c>
      <c r="X5" s="763">
        <v>0.12875032714316878</v>
      </c>
      <c r="Y5" s="763">
        <v>0.17677155552444321</v>
      </c>
      <c r="Z5" s="763">
        <v>0.23791389806276497</v>
      </c>
      <c r="AA5" s="763">
        <v>0.089405026130884246</v>
      </c>
      <c r="AB5" s="763">
        <v>0.10349897053863835</v>
      </c>
      <c r="AC5" s="763">
        <v>0.20288209702594723</v>
      </c>
      <c r="AD5" s="763">
        <v>0.30878178504650755</v>
      </c>
      <c r="AE5" s="763">
        <v>0.0123408619858393</v>
      </c>
      <c r="AF5" s="763">
        <v>0.02418937957822162</v>
      </c>
      <c r="AG5" s="763">
        <v>0.03787523542565039</v>
      </c>
      <c r="AH5" s="763">
        <v>0.0022613103969455111</v>
      </c>
      <c r="AI5" s="763">
        <v>0.38363298744795765</v>
      </c>
      <c r="AJ5" s="763">
        <v>0.29080653537059675</v>
      </c>
      <c r="AK5" s="763">
        <v>0.35649146813282978</v>
      </c>
      <c r="AL5" s="763">
        <v>0.42099163706273213</v>
      </c>
      <c r="AM5" s="763">
        <v>0.14736992790058046</v>
      </c>
      <c r="AN5" s="763">
        <v>0.091805413449911652</v>
      </c>
      <c r="AO5" s="764">
        <v>0.0737529840432215</v>
      </c>
      <c r="AP5" s="394"/>
      <c r="AQ5" s="397"/>
      <c r="AR5" s="398"/>
      <c r="AS5" s="398"/>
    </row>
    <row r="6" spans="1:45">
      <c r="A6" s="396">
        <v>203</v>
      </c>
      <c r="B6" s="761" t="s">
        <v>225</v>
      </c>
      <c r="C6" s="762">
        <v>24709</v>
      </c>
      <c r="D6" s="762">
        <v>21143</v>
      </c>
      <c r="E6" s="762">
        <v>13297</v>
      </c>
      <c r="F6" s="762">
        <v>2917</v>
      </c>
      <c r="G6" s="762">
        <v>2825</v>
      </c>
      <c r="H6" s="762">
        <v>2711</v>
      </c>
      <c r="I6" s="762">
        <v>4844</v>
      </c>
      <c r="J6" s="763">
        <v>0.17333765024889719</v>
      </c>
      <c r="K6" s="763">
        <v>0.308024743349624</v>
      </c>
      <c r="L6" s="763">
        <v>0.17530269985711056</v>
      </c>
      <c r="M6" s="763">
        <v>0.39935188650228159</v>
      </c>
      <c r="N6" s="763">
        <v>0.23559852750961877</v>
      </c>
      <c r="O6" s="763">
        <v>0.16159548400458781</v>
      </c>
      <c r="P6" s="763">
        <v>0.174497143383799</v>
      </c>
      <c r="Q6" s="763">
        <v>0.16867712854981526</v>
      </c>
      <c r="R6" s="763">
        <v>0.16206198117885268</v>
      </c>
      <c r="S6" s="763">
        <v>0.096634867062018057</v>
      </c>
      <c r="T6" s="763">
        <v>0.00093486831130859462</v>
      </c>
      <c r="U6" s="763">
        <v>0.25627896807605982</v>
      </c>
      <c r="V6" s="763">
        <v>0.14733920604775883</v>
      </c>
      <c r="W6" s="763">
        <v>0.1675687225768521</v>
      </c>
      <c r="X6" s="763">
        <v>0.16596048114059048</v>
      </c>
      <c r="Y6" s="763">
        <v>0.1560235687223904</v>
      </c>
      <c r="Z6" s="763">
        <v>0.10570008194123563</v>
      </c>
      <c r="AA6" s="763">
        <v>0.0011289714951129605</v>
      </c>
      <c r="AB6" s="763">
        <v>0.078972191763301378</v>
      </c>
      <c r="AC6" s="763">
        <v>0.15471495068121363</v>
      </c>
      <c r="AD6" s="763">
        <v>0.22868680135674396</v>
      </c>
      <c r="AE6" s="763">
        <v>0.015267850003624382</v>
      </c>
      <c r="AF6" s="763">
        <v>0.031912061317266351</v>
      </c>
      <c r="AG6" s="763">
        <v>0.049748860021589444</v>
      </c>
      <c r="AH6" s="763">
        <v>0.0042271782843371353</v>
      </c>
      <c r="AI6" s="763">
        <v>0.24599368959253121</v>
      </c>
      <c r="AJ6" s="763">
        <v>0.31457049605656312</v>
      </c>
      <c r="AK6" s="763">
        <v>0.32564169484846761</v>
      </c>
      <c r="AL6" s="763">
        <v>0.40281565223243332</v>
      </c>
      <c r="AM6" s="763">
        <v>0.14781063249552143</v>
      </c>
      <c r="AN6" s="763">
        <v>0.11064794204540859</v>
      </c>
      <c r="AO6" s="764">
        <v>0.11521395803564712</v>
      </c>
      <c r="AP6" s="394"/>
      <c r="AQ6" s="397"/>
      <c r="AR6" s="398"/>
      <c r="AS6" s="398"/>
    </row>
    <row r="7" spans="1:45">
      <c r="A7" s="396">
        <v>204</v>
      </c>
      <c r="B7" s="761" t="s">
        <v>226</v>
      </c>
      <c r="C7" s="762">
        <v>18410</v>
      </c>
      <c r="D7" s="762">
        <v>15845</v>
      </c>
      <c r="E7" s="762">
        <v>11941</v>
      </c>
      <c r="F7" s="762">
        <v>2576</v>
      </c>
      <c r="G7" s="762">
        <v>2493</v>
      </c>
      <c r="H7" s="762">
        <v>2364</v>
      </c>
      <c r="I7" s="762">
        <v>4508</v>
      </c>
      <c r="J7" s="763">
        <v>0.28403041825095054</v>
      </c>
      <c r="K7" s="763">
        <v>0.40253969694402153</v>
      </c>
      <c r="L7" s="763">
        <v>0.332886692906792</v>
      </c>
      <c r="M7" s="763">
        <v>0.53305689332330053</v>
      </c>
      <c r="N7" s="763">
        <v>0.10521084707115401</v>
      </c>
      <c r="O7" s="763">
        <v>0.093083315003564551</v>
      </c>
      <c r="P7" s="763">
        <v>0.12550326662085903</v>
      </c>
      <c r="Q7" s="763">
        <v>0.10133358911152338</v>
      </c>
      <c r="R7" s="763">
        <v>0.2299906968609304</v>
      </c>
      <c r="S7" s="763">
        <v>0.30507916985943673</v>
      </c>
      <c r="T7" s="763">
        <v>0.039799115472531843</v>
      </c>
      <c r="U7" s="763">
        <v>0.11324887033909196</v>
      </c>
      <c r="V7" s="763">
        <v>0.089781476746210356</v>
      </c>
      <c r="W7" s="763">
        <v>0.12380953742187183</v>
      </c>
      <c r="X7" s="763">
        <v>0.10079300147364822</v>
      </c>
      <c r="Y7" s="763">
        <v>0.23487999549893276</v>
      </c>
      <c r="Z7" s="763">
        <v>0.29925700130777805</v>
      </c>
      <c r="AA7" s="763">
        <v>0.0382301172124671</v>
      </c>
      <c r="AB7" s="763">
        <v>0.0785876782683356</v>
      </c>
      <c r="AC7" s="763">
        <v>0.16161135249593581</v>
      </c>
      <c r="AD7" s="763">
        <v>0.24410164223154307</v>
      </c>
      <c r="AE7" s="763">
        <v>0.008326943852855909</v>
      </c>
      <c r="AF7" s="763">
        <v>0.01719973234764937</v>
      </c>
      <c r="AG7" s="763">
        <v>0.026472175594495953</v>
      </c>
      <c r="AH7" s="763">
        <v>0.003203023196858285</v>
      </c>
      <c r="AI7" s="763">
        <v>0.28732311879944727</v>
      </c>
      <c r="AJ7" s="763">
        <v>0.27498747902205734</v>
      </c>
      <c r="AK7" s="763">
        <v>0.30938338278238031</v>
      </c>
      <c r="AL7" s="763">
        <v>0.37011909900269635</v>
      </c>
      <c r="AM7" s="763">
        <v>0.17246844767146155</v>
      </c>
      <c r="AN7" s="763">
        <v>0.095817490494296581</v>
      </c>
      <c r="AO7" s="764">
        <v>0.044301147307595726</v>
      </c>
      <c r="AP7" s="394"/>
      <c r="AQ7" s="397"/>
      <c r="AR7" s="398"/>
      <c r="AS7" s="398"/>
    </row>
    <row r="8" spans="1:45">
      <c r="A8" s="396">
        <v>205</v>
      </c>
      <c r="B8" s="761" t="s">
        <v>228</v>
      </c>
      <c r="C8" s="762">
        <v>9854</v>
      </c>
      <c r="D8" s="762">
        <v>8471</v>
      </c>
      <c r="E8" s="762">
        <v>7010</v>
      </c>
      <c r="F8" s="762">
        <v>1442</v>
      </c>
      <c r="G8" s="762">
        <v>1420</v>
      </c>
      <c r="H8" s="762">
        <v>1420</v>
      </c>
      <c r="I8" s="762">
        <v>2728</v>
      </c>
      <c r="J8" s="763">
        <v>0.21077734929977679</v>
      </c>
      <c r="K8" s="763">
        <v>0.3431129066564359</v>
      </c>
      <c r="L8" s="763">
        <v>0.19087018544935802</v>
      </c>
      <c r="M8" s="763">
        <v>0.39865908418719742</v>
      </c>
      <c r="N8" s="763">
        <v>0.30173937964502057</v>
      </c>
      <c r="O8" s="763">
        <v>0.088437065996115991</v>
      </c>
      <c r="P8" s="763">
        <v>0.1075526178660893</v>
      </c>
      <c r="Q8" s="763">
        <v>0.10210681036412149</v>
      </c>
      <c r="R8" s="763">
        <v>0.12817402451906573</v>
      </c>
      <c r="S8" s="763">
        <v>0.1750216312286266</v>
      </c>
      <c r="T8" s="763">
        <v>0.096968470380960251</v>
      </c>
      <c r="U8" s="763">
        <v>0.3525558362722378</v>
      </c>
      <c r="V8" s="763">
        <v>0.076726805335463472</v>
      </c>
      <c r="W8" s="763">
        <v>0.095282075550325571</v>
      </c>
      <c r="X8" s="763">
        <v>0.09301894457876346</v>
      </c>
      <c r="Y8" s="763">
        <v>0.11131697117651748</v>
      </c>
      <c r="Z8" s="763">
        <v>0.18205672814168192</v>
      </c>
      <c r="AA8" s="763">
        <v>0.0890426389450104</v>
      </c>
      <c r="AB8" s="763">
        <v>0.093627170852602762</v>
      </c>
      <c r="AC8" s="763">
        <v>0.18064037559953602</v>
      </c>
      <c r="AD8" s="763">
        <v>0.26413226034997789</v>
      </c>
      <c r="AE8" s="763">
        <v>0.023006660563188987</v>
      </c>
      <c r="AF8" s="763">
        <v>0.038447135179174391</v>
      </c>
      <c r="AG8" s="763">
        <v>0.058177379223236486</v>
      </c>
      <c r="AH8" s="763">
        <v>0.0026522850372514978</v>
      </c>
      <c r="AI8" s="763">
        <v>0.31579407244839924</v>
      </c>
      <c r="AJ8" s="763">
        <v>0.22369590175453866</v>
      </c>
      <c r="AK8" s="763">
        <v>0.24458632885886586</v>
      </c>
      <c r="AL8" s="763">
        <v>0.33980973702174255</v>
      </c>
      <c r="AM8" s="763">
        <v>0.12253702009784426</v>
      </c>
      <c r="AN8" s="763">
        <v>0.1069616399431703</v>
      </c>
      <c r="AO8" s="764">
        <v>0.062767475035663323</v>
      </c>
      <c r="AP8" s="394"/>
      <c r="AQ8" s="397"/>
      <c r="AR8" s="398"/>
      <c r="AS8" s="398"/>
    </row>
    <row r="9" spans="1:45">
      <c r="A9" s="396">
        <v>206</v>
      </c>
      <c r="B9" s="761" t="s">
        <v>240</v>
      </c>
      <c r="C9" s="762">
        <v>13592</v>
      </c>
      <c r="D9" s="762">
        <v>11708</v>
      </c>
      <c r="E9" s="762">
        <v>7445</v>
      </c>
      <c r="F9" s="762">
        <v>1530</v>
      </c>
      <c r="G9" s="762">
        <v>1523</v>
      </c>
      <c r="H9" s="762">
        <v>1479</v>
      </c>
      <c r="I9" s="762">
        <v>2913</v>
      </c>
      <c r="J9" s="763">
        <v>0.28421130076515588</v>
      </c>
      <c r="K9" s="763">
        <v>0.469723638656482</v>
      </c>
      <c r="L9" s="763">
        <v>0.33337810611148416</v>
      </c>
      <c r="M9" s="763">
        <v>0.67276152883773455</v>
      </c>
      <c r="N9" s="763">
        <v>0.13723150759748273</v>
      </c>
      <c r="O9" s="763">
        <v>0.055475785929982757</v>
      </c>
      <c r="P9" s="763">
        <v>0.10691372994186379</v>
      </c>
      <c r="Q9" s="763">
        <v>0.14253058528035786</v>
      </c>
      <c r="R9" s="763">
        <v>0.16137693932072261</v>
      </c>
      <c r="S9" s="763">
        <v>0.28059843988896177</v>
      </c>
      <c r="T9" s="763">
        <v>0.11587301204062844</v>
      </c>
      <c r="U9" s="763">
        <v>0.0877220492894409</v>
      </c>
      <c r="V9" s="763">
        <v>0.052741735478473072</v>
      </c>
      <c r="W9" s="763">
        <v>0.0965840173546961</v>
      </c>
      <c r="X9" s="763">
        <v>0.14824361019551427</v>
      </c>
      <c r="Y9" s="763">
        <v>0.1756078251057358</v>
      </c>
      <c r="Z9" s="763">
        <v>0.31111520673102655</v>
      </c>
      <c r="AA9" s="763">
        <v>0.12798555584511345</v>
      </c>
      <c r="AB9" s="763">
        <v>0.072070455309250075</v>
      </c>
      <c r="AC9" s="763">
        <v>0.14199848499836837</v>
      </c>
      <c r="AD9" s="763">
        <v>0.21651403653811058</v>
      </c>
      <c r="AE9" s="763">
        <v>0.010959954365883869</v>
      </c>
      <c r="AF9" s="763">
        <v>0.023121718346257463</v>
      </c>
      <c r="AG9" s="763">
        <v>0.034755784009931887</v>
      </c>
      <c r="AH9" s="763">
        <v>0.0037732426346236136</v>
      </c>
      <c r="AI9" s="763">
        <v>0.37374886063992774</v>
      </c>
      <c r="AJ9" s="763">
        <v>0.3232379726370499</v>
      </c>
      <c r="AK9" s="763">
        <v>0.35920581977417781</v>
      </c>
      <c r="AL9" s="763">
        <v>0.44057637755306633</v>
      </c>
      <c r="AM9" s="763">
        <v>0.1789011831948554</v>
      </c>
      <c r="AN9" s="763">
        <v>0.086153619776339</v>
      </c>
      <c r="AO9" s="764">
        <v>0.14640698455339154</v>
      </c>
      <c r="AP9" s="394"/>
      <c r="AQ9" s="397"/>
      <c r="AR9" s="398"/>
      <c r="AS9" s="398"/>
    </row>
    <row r="10" spans="1:45">
      <c r="A10" s="396">
        <v>207</v>
      </c>
      <c r="B10" s="761" t="s">
        <v>241</v>
      </c>
      <c r="C10" s="762">
        <v>6778</v>
      </c>
      <c r="D10" s="762">
        <v>5820</v>
      </c>
      <c r="E10" s="762">
        <v>4721</v>
      </c>
      <c r="F10" s="762">
        <v>1036</v>
      </c>
      <c r="G10" s="762">
        <v>959</v>
      </c>
      <c r="H10" s="762">
        <v>940</v>
      </c>
      <c r="I10" s="762">
        <v>1786</v>
      </c>
      <c r="J10" s="763">
        <v>0.21909117733844796</v>
      </c>
      <c r="K10" s="763">
        <v>0.34570176972196609</v>
      </c>
      <c r="L10" s="763">
        <v>0.20652404151662776</v>
      </c>
      <c r="M10" s="763">
        <v>0.44042860616445889</v>
      </c>
      <c r="N10" s="763">
        <v>0.38423442152418252</v>
      </c>
      <c r="O10" s="763">
        <v>0.060075712867834453</v>
      </c>
      <c r="P10" s="763">
        <v>0.069962311220794576</v>
      </c>
      <c r="Q10" s="763">
        <v>0.11184581131468113</v>
      </c>
      <c r="R10" s="763">
        <v>0.089413610880120134</v>
      </c>
      <c r="S10" s="763">
        <v>0.22529607822098235</v>
      </c>
      <c r="T10" s="763">
        <v>0.059172053971404813</v>
      </c>
      <c r="U10" s="763">
        <v>0.30226646896843878</v>
      </c>
      <c r="V10" s="763">
        <v>0.084304172844736458</v>
      </c>
      <c r="W10" s="763">
        <v>0.085998729082821523</v>
      </c>
      <c r="X10" s="763">
        <v>0.1099343359457743</v>
      </c>
      <c r="Y10" s="763">
        <v>0.12687989832662566</v>
      </c>
      <c r="Z10" s="763">
        <v>0.22707053590341014</v>
      </c>
      <c r="AA10" s="763">
        <v>0.0635458589281933</v>
      </c>
      <c r="AB10" s="763">
        <v>0.10758873452046702</v>
      </c>
      <c r="AC10" s="763">
        <v>0.2062134610830228</v>
      </c>
      <c r="AD10" s="763">
        <v>0.29667127117027586</v>
      </c>
      <c r="AE10" s="763">
        <v>0.021077277653636796</v>
      </c>
      <c r="AF10" s="763">
        <v>0.038316053401973318</v>
      </c>
      <c r="AG10" s="763">
        <v>0.054716554764648234</v>
      </c>
      <c r="AH10" s="763">
        <v>0.0020540249648172693</v>
      </c>
      <c r="AI10" s="763">
        <v>0.36701459541337583</v>
      </c>
      <c r="AJ10" s="763">
        <v>0.25508399574536567</v>
      </c>
      <c r="AK10" s="763">
        <v>0.27604548299437015</v>
      </c>
      <c r="AL10" s="763">
        <v>0.33151183631085962</v>
      </c>
      <c r="AM10" s="763">
        <v>0.12389452566742711</v>
      </c>
      <c r="AN10" s="763">
        <v>0.09501327825317199</v>
      </c>
      <c r="AO10" s="764">
        <v>0.050836687142554578</v>
      </c>
      <c r="AP10" s="394"/>
      <c r="AQ10" s="397"/>
      <c r="AR10" s="398"/>
      <c r="AS10" s="398"/>
    </row>
    <row r="11" spans="1:45">
      <c r="A11" s="396">
        <v>208</v>
      </c>
      <c r="B11" s="761" t="s">
        <v>247</v>
      </c>
      <c r="C11" s="762">
        <v>21612</v>
      </c>
      <c r="D11" s="762">
        <v>18540</v>
      </c>
      <c r="E11" s="762">
        <v>11490</v>
      </c>
      <c r="F11" s="762">
        <v>2469</v>
      </c>
      <c r="G11" s="762">
        <v>2320</v>
      </c>
      <c r="H11" s="762">
        <v>2225</v>
      </c>
      <c r="I11" s="762">
        <v>4476</v>
      </c>
      <c r="J11" s="763">
        <v>0.23857116416805479</v>
      </c>
      <c r="K11" s="763">
        <v>0.38030759108590972</v>
      </c>
      <c r="L11" s="763">
        <v>0.2757180156657964</v>
      </c>
      <c r="M11" s="763">
        <v>0.52120798559971782</v>
      </c>
      <c r="N11" s="763">
        <v>0.20565847322683606</v>
      </c>
      <c r="O11" s="763">
        <v>0.098066286025135577</v>
      </c>
      <c r="P11" s="763">
        <v>0.16956204200897979</v>
      </c>
      <c r="Q11" s="763">
        <v>0.15462604574080929</v>
      </c>
      <c r="R11" s="763">
        <v>0.18839442582206611</v>
      </c>
      <c r="S11" s="763">
        <v>0.17094241203233326</v>
      </c>
      <c r="T11" s="763">
        <v>0.012750315143840018</v>
      </c>
      <c r="U11" s="763">
        <v>0.14325473191722637</v>
      </c>
      <c r="V11" s="763">
        <v>0.091021845910368368</v>
      </c>
      <c r="W11" s="763">
        <v>0.17068526529771086</v>
      </c>
      <c r="X11" s="763">
        <v>0.16571083225566946</v>
      </c>
      <c r="Y11" s="763">
        <v>0.21490649431631112</v>
      </c>
      <c r="Z11" s="763">
        <v>0.19809889710253714</v>
      </c>
      <c r="AA11" s="763">
        <v>0.016321933200176702</v>
      </c>
      <c r="AB11" s="763">
        <v>0.091851620496772743</v>
      </c>
      <c r="AC11" s="763">
        <v>0.17772155492214972</v>
      </c>
      <c r="AD11" s="763">
        <v>0.26545853440680384</v>
      </c>
      <c r="AE11" s="763">
        <v>0.022308025537988361</v>
      </c>
      <c r="AF11" s="763">
        <v>0.043396201924478441</v>
      </c>
      <c r="AG11" s="763">
        <v>0.06320924587156028</v>
      </c>
      <c r="AH11" s="763">
        <v>0.0033729075853734356</v>
      </c>
      <c r="AI11" s="763">
        <v>0.36701464062753525</v>
      </c>
      <c r="AJ11" s="763">
        <v>0.3515494533807495</v>
      </c>
      <c r="AK11" s="763">
        <v>0.36379008174394273</v>
      </c>
      <c r="AL11" s="763">
        <v>0.45321885030595171</v>
      </c>
      <c r="AM11" s="763">
        <v>0.189014051789995</v>
      </c>
      <c r="AN11" s="763">
        <v>0.069220803257449559</v>
      </c>
      <c r="AO11" s="764">
        <v>0.058224543080939918</v>
      </c>
      <c r="AP11" s="394"/>
      <c r="AQ11" s="397"/>
      <c r="AR11" s="398"/>
      <c r="AS11" s="398"/>
    </row>
    <row r="12" spans="1:45">
      <c r="A12" s="396">
        <v>209</v>
      </c>
      <c r="B12" s="761" t="s">
        <v>252</v>
      </c>
      <c r="C12" s="762">
        <v>24986</v>
      </c>
      <c r="D12" s="762">
        <v>21487</v>
      </c>
      <c r="E12" s="762">
        <v>11292</v>
      </c>
      <c r="F12" s="762">
        <v>2242</v>
      </c>
      <c r="G12" s="762">
        <v>2218</v>
      </c>
      <c r="H12" s="762">
        <v>2331</v>
      </c>
      <c r="I12" s="762">
        <v>4501</v>
      </c>
      <c r="J12" s="763">
        <v>0.159689426078604</v>
      </c>
      <c r="K12" s="763">
        <v>0.30435819102376893</v>
      </c>
      <c r="L12" s="763">
        <v>0.19907899397803763</v>
      </c>
      <c r="M12" s="763">
        <v>0.43315004099223242</v>
      </c>
      <c r="N12" s="763">
        <v>0.18269044793315842</v>
      </c>
      <c r="O12" s="763">
        <v>0.15410938446228598</v>
      </c>
      <c r="P12" s="763">
        <v>0.19159331980621508</v>
      </c>
      <c r="Q12" s="763">
        <v>0.13363046778409715</v>
      </c>
      <c r="R12" s="763">
        <v>0.15977422075348524</v>
      </c>
      <c r="S12" s="763">
        <v>0.16869360426938704</v>
      </c>
      <c r="T12" s="763">
        <v>0.00950855499137117</v>
      </c>
      <c r="U12" s="763">
        <v>0.13828698644841464</v>
      </c>
      <c r="V12" s="763">
        <v>0.13996539434289754</v>
      </c>
      <c r="W12" s="763">
        <v>0.182849275201918</v>
      </c>
      <c r="X12" s="763">
        <v>0.13792234032245421</v>
      </c>
      <c r="Y12" s="763">
        <v>0.19037646969957706</v>
      </c>
      <c r="Z12" s="763">
        <v>0.19987654072380642</v>
      </c>
      <c r="AA12" s="763">
        <v>0.010722993260931962</v>
      </c>
      <c r="AB12" s="763">
        <v>0.066509143180552385</v>
      </c>
      <c r="AC12" s="763">
        <v>0.12941140624019018</v>
      </c>
      <c r="AD12" s="763">
        <v>0.18882451266606026</v>
      </c>
      <c r="AE12" s="763">
        <v>0.015799222002799734</v>
      </c>
      <c r="AF12" s="763">
        <v>0.030296946381130719</v>
      </c>
      <c r="AG12" s="763">
        <v>0.045271290373419128</v>
      </c>
      <c r="AH12" s="763">
        <v>0.004439102822353767</v>
      </c>
      <c r="AI12" s="763">
        <v>0.23450654456629366</v>
      </c>
      <c r="AJ12" s="763">
        <v>0.36453540641442633</v>
      </c>
      <c r="AK12" s="763">
        <v>0.4222433539299888</v>
      </c>
      <c r="AL12" s="763">
        <v>0.47618998598980983</v>
      </c>
      <c r="AM12" s="763">
        <v>0.17062821918630952</v>
      </c>
      <c r="AN12" s="763">
        <v>0.097374529736652574</v>
      </c>
      <c r="AO12" s="764">
        <v>0.0642933049946865</v>
      </c>
      <c r="AP12" s="394"/>
      <c r="AQ12" s="397"/>
      <c r="AR12" s="398"/>
      <c r="AS12" s="398"/>
    </row>
    <row r="13" spans="1:45">
      <c r="A13" s="396">
        <v>210</v>
      </c>
      <c r="B13" s="761" t="s">
        <v>297</v>
      </c>
      <c r="C13" s="762">
        <v>23342</v>
      </c>
      <c r="D13" s="762">
        <v>20066</v>
      </c>
      <c r="E13" s="762">
        <v>14509</v>
      </c>
      <c r="F13" s="762">
        <v>3267</v>
      </c>
      <c r="G13" s="762">
        <v>3037</v>
      </c>
      <c r="H13" s="762">
        <v>3028</v>
      </c>
      <c r="I13" s="762">
        <v>5177</v>
      </c>
      <c r="J13" s="763">
        <v>0.22063233656070602</v>
      </c>
      <c r="K13" s="763">
        <v>0.35763845684992762</v>
      </c>
      <c r="L13" s="763">
        <v>0.26576607622854792</v>
      </c>
      <c r="M13" s="763">
        <v>0.50660101129320234</v>
      </c>
      <c r="N13" s="763">
        <v>0.17201541546307367</v>
      </c>
      <c r="O13" s="763">
        <v>0.055667067130779783</v>
      </c>
      <c r="P13" s="763">
        <v>0.12980451808134827</v>
      </c>
      <c r="Q13" s="763">
        <v>0.19574893574583391</v>
      </c>
      <c r="R13" s="763">
        <v>0.26283400325049527</v>
      </c>
      <c r="S13" s="763">
        <v>0.16444048836778158</v>
      </c>
      <c r="T13" s="763">
        <v>0.019489571960687509</v>
      </c>
      <c r="U13" s="763">
        <v>0.15995968104386579</v>
      </c>
      <c r="V13" s="763">
        <v>0.056504763327012091</v>
      </c>
      <c r="W13" s="763">
        <v>0.13870003937127987</v>
      </c>
      <c r="X13" s="763">
        <v>0.18885204468400268</v>
      </c>
      <c r="Y13" s="763">
        <v>0.25658696607390996</v>
      </c>
      <c r="Z13" s="763">
        <v>0.17917358002089334</v>
      </c>
      <c r="AA13" s="763">
        <v>0.020222925479036574</v>
      </c>
      <c r="AB13" s="763">
        <v>0.086705786504199148</v>
      </c>
      <c r="AC13" s="763">
        <v>0.16585179155978333</v>
      </c>
      <c r="AD13" s="763">
        <v>0.24024657938633648</v>
      </c>
      <c r="AE13" s="763">
        <v>0.017235518606777897</v>
      </c>
      <c r="AF13" s="763">
        <v>0.030437358055221204</v>
      </c>
      <c r="AG13" s="763">
        <v>0.042652831340649039</v>
      </c>
      <c r="AH13" s="763">
        <v>0.0037433490844268379</v>
      </c>
      <c r="AI13" s="763">
        <v>0.30461594008499171</v>
      </c>
      <c r="AJ13" s="763">
        <v>0.29217975334472274</v>
      </c>
      <c r="AK13" s="763">
        <v>0.32679919418510811</v>
      </c>
      <c r="AL13" s="763">
        <v>0.40987044867643019</v>
      </c>
      <c r="AM13" s="763">
        <v>0.16257099638138159</v>
      </c>
      <c r="AN13" s="763">
        <v>0.075700454117042251</v>
      </c>
      <c r="AO13" s="764">
        <v>0.095664759804259411</v>
      </c>
      <c r="AP13" s="394"/>
      <c r="AQ13" s="397"/>
      <c r="AR13" s="398"/>
      <c r="AS13" s="398"/>
    </row>
    <row r="14" spans="1:45">
      <c r="A14" s="396">
        <v>211</v>
      </c>
      <c r="B14" s="761" t="s">
        <v>312</v>
      </c>
      <c r="C14" s="762">
        <v>23449</v>
      </c>
      <c r="D14" s="762">
        <v>20153</v>
      </c>
      <c r="E14" s="762">
        <v>14437</v>
      </c>
      <c r="F14" s="762">
        <v>2899</v>
      </c>
      <c r="G14" s="762">
        <v>2956</v>
      </c>
      <c r="H14" s="762">
        <v>2881</v>
      </c>
      <c r="I14" s="762">
        <v>5701</v>
      </c>
      <c r="J14" s="763">
        <v>0.30956543989082691</v>
      </c>
      <c r="K14" s="763">
        <v>0.43993450892033387</v>
      </c>
      <c r="L14" s="763">
        <v>0.37209946664819549</v>
      </c>
      <c r="M14" s="763">
        <v>0.62201897580279442</v>
      </c>
      <c r="N14" s="763">
        <v>0.049808326916847313</v>
      </c>
      <c r="O14" s="763">
        <v>0.027918825138353968</v>
      </c>
      <c r="P14" s="763">
        <v>0.033743864593807391</v>
      </c>
      <c r="Q14" s="763">
        <v>0.14797244572730478</v>
      </c>
      <c r="R14" s="763">
        <v>0.2062596139929074</v>
      </c>
      <c r="S14" s="763">
        <v>0.41674538435475411</v>
      </c>
      <c r="T14" s="763">
        <v>0.11755153927602512</v>
      </c>
      <c r="U14" s="763">
        <v>0.03434726444646679</v>
      </c>
      <c r="V14" s="763">
        <v>0.03114580493961884</v>
      </c>
      <c r="W14" s="763">
        <v>0.034553084625084225</v>
      </c>
      <c r="X14" s="763">
        <v>0.14915608301744898</v>
      </c>
      <c r="Y14" s="763">
        <v>0.21283360409049995</v>
      </c>
      <c r="Z14" s="763">
        <v>0.42123380378517172</v>
      </c>
      <c r="AA14" s="763">
        <v>0.11673035509570956</v>
      </c>
      <c r="AB14" s="763">
        <v>0.13646948676575876</v>
      </c>
      <c r="AC14" s="763">
        <v>0.27653762691435296</v>
      </c>
      <c r="AD14" s="763">
        <v>0.40316948148636089</v>
      </c>
      <c r="AE14" s="763">
        <v>0.012498223593102755</v>
      </c>
      <c r="AF14" s="763">
        <v>0.025686074312847137</v>
      </c>
      <c r="AG14" s="763">
        <v>0.041298449398350992</v>
      </c>
      <c r="AH14" s="763">
        <v>0.0017373944820576134</v>
      </c>
      <c r="AI14" s="763">
        <v>0.38184098310802495</v>
      </c>
      <c r="AJ14" s="763">
        <v>0.29152039113327732</v>
      </c>
      <c r="AK14" s="763">
        <v>0.33346573290640008</v>
      </c>
      <c r="AL14" s="763">
        <v>0.40510340308634812</v>
      </c>
      <c r="AM14" s="763">
        <v>0.16454542941217953</v>
      </c>
      <c r="AN14" s="763">
        <v>0.092754488464326837</v>
      </c>
      <c r="AO14" s="764">
        <v>0.050772321119346139</v>
      </c>
      <c r="AP14" s="394"/>
      <c r="AQ14" s="397"/>
      <c r="AR14" s="398"/>
      <c r="AS14" s="398"/>
    </row>
    <row r="15" spans="1:45">
      <c r="A15" s="396">
        <v>212</v>
      </c>
      <c r="B15" s="761" t="s">
        <v>317</v>
      </c>
      <c r="C15" s="762">
        <v>18761</v>
      </c>
      <c r="D15" s="762">
        <v>15960</v>
      </c>
      <c r="E15" s="762">
        <v>9501</v>
      </c>
      <c r="F15" s="762">
        <v>2115</v>
      </c>
      <c r="G15" s="762">
        <v>1956</v>
      </c>
      <c r="H15" s="762">
        <v>1841</v>
      </c>
      <c r="I15" s="762">
        <v>3589</v>
      </c>
      <c r="J15" s="763">
        <v>0.16454346783220516</v>
      </c>
      <c r="K15" s="763">
        <v>0.2725522758624192</v>
      </c>
      <c r="L15" s="763">
        <v>0.16882433428060217</v>
      </c>
      <c r="M15" s="763">
        <v>0.40716111441297</v>
      </c>
      <c r="N15" s="763">
        <v>0.4164041210321941</v>
      </c>
      <c r="O15" s="763">
        <v>0.1380750934557719</v>
      </c>
      <c r="P15" s="763">
        <v>0.12569096607672184</v>
      </c>
      <c r="Q15" s="763">
        <v>0.069686437406288285</v>
      </c>
      <c r="R15" s="763">
        <v>0.066614561317915946</v>
      </c>
      <c r="S15" s="763">
        <v>0.17028613817699875</v>
      </c>
      <c r="T15" s="763">
        <v>0.013242682534109249</v>
      </c>
      <c r="U15" s="763">
        <v>0.349607918817245</v>
      </c>
      <c r="V15" s="763">
        <v>0.1432680291459365</v>
      </c>
      <c r="W15" s="763">
        <v>0.13341364620852436</v>
      </c>
      <c r="X15" s="763">
        <v>0.088306847202036631</v>
      </c>
      <c r="Y15" s="763">
        <v>0.092798828428081764</v>
      </c>
      <c r="Z15" s="763">
        <v>0.17846240682717146</v>
      </c>
      <c r="AA15" s="763">
        <v>0.01414232337100413</v>
      </c>
      <c r="AB15" s="763">
        <v>0.087366307946680946</v>
      </c>
      <c r="AC15" s="763">
        <v>0.16965276487131328</v>
      </c>
      <c r="AD15" s="763">
        <v>0.24953145391566431</v>
      </c>
      <c r="AE15" s="763">
        <v>0.020897256318912021</v>
      </c>
      <c r="AF15" s="763">
        <v>0.042689401702905222</v>
      </c>
      <c r="AG15" s="763">
        <v>0.068473418146833456</v>
      </c>
      <c r="AH15" s="763">
        <v>0.0028933840025015</v>
      </c>
      <c r="AI15" s="763">
        <v>0.31200906362213676</v>
      </c>
      <c r="AJ15" s="763">
        <v>0.29971342304104365</v>
      </c>
      <c r="AK15" s="763">
        <v>0.32486133056545552</v>
      </c>
      <c r="AL15" s="763">
        <v>0.41889905112725118</v>
      </c>
      <c r="AM15" s="763">
        <v>0.17880003271590506</v>
      </c>
      <c r="AN15" s="763">
        <v>0.080912531314961872</v>
      </c>
      <c r="AO15" s="764">
        <v>0.064414272181875551</v>
      </c>
      <c r="AP15" s="394"/>
      <c r="AQ15" s="397"/>
      <c r="AR15" s="398"/>
      <c r="AS15" s="398"/>
    </row>
    <row r="16" spans="1:45">
      <c r="A16" s="396">
        <v>213</v>
      </c>
      <c r="B16" s="761" t="s">
        <v>322</v>
      </c>
      <c r="C16" s="762">
        <v>9695</v>
      </c>
      <c r="D16" s="762">
        <v>8480</v>
      </c>
      <c r="E16" s="762">
        <v>8697</v>
      </c>
      <c r="F16" s="762">
        <v>1833</v>
      </c>
      <c r="G16" s="762">
        <v>1772</v>
      </c>
      <c r="H16" s="762">
        <v>1704</v>
      </c>
      <c r="I16" s="762">
        <v>3388</v>
      </c>
      <c r="J16" s="763">
        <v>0.22186694172253743</v>
      </c>
      <c r="K16" s="763">
        <v>0.38332122327334778</v>
      </c>
      <c r="L16" s="763">
        <v>0.24502702081177422</v>
      </c>
      <c r="M16" s="763">
        <v>0.51135083044323448</v>
      </c>
      <c r="N16" s="763">
        <v>0.2139044041046271</v>
      </c>
      <c r="O16" s="763">
        <v>0.066191414496585374</v>
      </c>
      <c r="P16" s="763">
        <v>0.093545688957859544</v>
      </c>
      <c r="Q16" s="763">
        <v>0.12220305354483188</v>
      </c>
      <c r="R16" s="763">
        <v>0.11122696041435665</v>
      </c>
      <c r="S16" s="763">
        <v>0.27883116262231744</v>
      </c>
      <c r="T16" s="763">
        <v>0.11409731585942218</v>
      </c>
      <c r="U16" s="763">
        <v>0.14190657908066306</v>
      </c>
      <c r="V16" s="763">
        <v>0.067570718835012769</v>
      </c>
      <c r="W16" s="763">
        <v>0.10151204544769842</v>
      </c>
      <c r="X16" s="763">
        <v>0.141467369625988</v>
      </c>
      <c r="Y16" s="763">
        <v>0.14607293050444148</v>
      </c>
      <c r="Z16" s="763">
        <v>0.29489506554657891</v>
      </c>
      <c r="AA16" s="763">
        <v>0.10657529095961736</v>
      </c>
      <c r="AB16" s="763">
        <v>0.11217724306455655</v>
      </c>
      <c r="AC16" s="763">
        <v>0.229519159531681</v>
      </c>
      <c r="AD16" s="763">
        <v>0.34750659977384707</v>
      </c>
      <c r="AE16" s="763">
        <v>0.017260028686683044</v>
      </c>
      <c r="AF16" s="763">
        <v>0.030262192480759859</v>
      </c>
      <c r="AG16" s="763">
        <v>0.043016272645363458</v>
      </c>
      <c r="AH16" s="763">
        <v>0.002157750453177221</v>
      </c>
      <c r="AI16" s="763">
        <v>0.35619523605219783</v>
      </c>
      <c r="AJ16" s="763">
        <v>0.28564998899567068</v>
      </c>
      <c r="AK16" s="763">
        <v>0.30162958663180878</v>
      </c>
      <c r="AL16" s="763">
        <v>0.39515172813403637</v>
      </c>
      <c r="AM16" s="763">
        <v>0.14265616742562706</v>
      </c>
      <c r="AN16" s="763">
        <v>0.10541516245487365</v>
      </c>
      <c r="AO16" s="764">
        <v>0.0385190295504197</v>
      </c>
      <c r="AP16" s="394"/>
      <c r="AQ16" s="397"/>
      <c r="AR16" s="398"/>
      <c r="AS16" s="398"/>
    </row>
    <row r="17" spans="1:45">
      <c r="A17" s="396">
        <v>301</v>
      </c>
      <c r="B17" s="761" t="s">
        <v>172</v>
      </c>
      <c r="C17" s="762">
        <v>24993</v>
      </c>
      <c r="D17" s="762">
        <v>21593</v>
      </c>
      <c r="E17" s="762">
        <v>13675</v>
      </c>
      <c r="F17" s="762">
        <v>3107</v>
      </c>
      <c r="G17" s="762">
        <v>2804</v>
      </c>
      <c r="H17" s="762">
        <v>2789</v>
      </c>
      <c r="I17" s="762">
        <v>4975</v>
      </c>
      <c r="J17" s="763">
        <v>0.15648381546833112</v>
      </c>
      <c r="K17" s="763">
        <v>0.27554079503313972</v>
      </c>
      <c r="L17" s="763">
        <v>0.17133455210237664</v>
      </c>
      <c r="M17" s="763">
        <v>0.41127429636019364</v>
      </c>
      <c r="N17" s="763">
        <v>0.067625957034908785</v>
      </c>
      <c r="O17" s="763">
        <v>0.069309824471893766</v>
      </c>
      <c r="P17" s="763">
        <v>0.2732366575215418</v>
      </c>
      <c r="Q17" s="763">
        <v>0.24195564701628516</v>
      </c>
      <c r="R17" s="763">
        <v>0.22596506541080469</v>
      </c>
      <c r="S17" s="763">
        <v>0.12174666991528557</v>
      </c>
      <c r="T17" s="763">
        <v>0.00016017862928041239</v>
      </c>
      <c r="U17" s="763">
        <v>0.075906606947974423</v>
      </c>
      <c r="V17" s="763">
        <v>0.0730686626639107</v>
      </c>
      <c r="W17" s="763">
        <v>0.2810028886184886</v>
      </c>
      <c r="X17" s="763">
        <v>0.2259960944543675</v>
      </c>
      <c r="Y17" s="763">
        <v>0.22808038951365686</v>
      </c>
      <c r="Z17" s="763">
        <v>0.11528524269043761</v>
      </c>
      <c r="AA17" s="763">
        <v>0.00066011511116415348</v>
      </c>
      <c r="AB17" s="763">
        <v>0.11714366614167668</v>
      </c>
      <c r="AC17" s="763">
        <v>0.22773379086517737</v>
      </c>
      <c r="AD17" s="763">
        <v>0.32544793716384635</v>
      </c>
      <c r="AE17" s="763">
        <v>0.017281364834982431</v>
      </c>
      <c r="AF17" s="763">
        <v>0.034754547548654084</v>
      </c>
      <c r="AG17" s="763">
        <v>0.055347130420961892</v>
      </c>
      <c r="AH17" s="763">
        <v>0.0042335935747247876</v>
      </c>
      <c r="AI17" s="763">
        <v>0.34689758691163991</v>
      </c>
      <c r="AJ17" s="763">
        <v>0.35761444118148061</v>
      </c>
      <c r="AK17" s="763">
        <v>0.37391877083415992</v>
      </c>
      <c r="AL17" s="763">
        <v>0.44970615314406626</v>
      </c>
      <c r="AM17" s="763">
        <v>0.22117748563244496</v>
      </c>
      <c r="AN17" s="763">
        <v>0.1362381466810707</v>
      </c>
      <c r="AO17" s="764">
        <v>0.06171846435100551</v>
      </c>
      <c r="AP17" s="394"/>
      <c r="AQ17" s="397"/>
      <c r="AR17" s="398"/>
      <c r="AS17" s="398"/>
    </row>
    <row r="18" spans="1:45">
      <c r="A18" s="396">
        <v>302</v>
      </c>
      <c r="B18" s="761" t="s">
        <v>174</v>
      </c>
      <c r="C18" s="762">
        <v>30052</v>
      </c>
      <c r="D18" s="762">
        <v>25894</v>
      </c>
      <c r="E18" s="762">
        <v>20553</v>
      </c>
      <c r="F18" s="762">
        <v>4379</v>
      </c>
      <c r="G18" s="762">
        <v>4251</v>
      </c>
      <c r="H18" s="762">
        <v>4099</v>
      </c>
      <c r="I18" s="762">
        <v>7824</v>
      </c>
      <c r="J18" s="763">
        <v>0.13686277119659251</v>
      </c>
      <c r="K18" s="763">
        <v>0.24571212151564123</v>
      </c>
      <c r="L18" s="763">
        <v>0.12212329100374641</v>
      </c>
      <c r="M18" s="763">
        <v>0.28236381799596583</v>
      </c>
      <c r="N18" s="763">
        <v>0.587109104707144</v>
      </c>
      <c r="O18" s="763">
        <v>0.10851673400306988</v>
      </c>
      <c r="P18" s="763">
        <v>0.096982967726977815</v>
      </c>
      <c r="Q18" s="763">
        <v>0.0943341321538703</v>
      </c>
      <c r="R18" s="763">
        <v>0.070808276082251834</v>
      </c>
      <c r="S18" s="763">
        <v>0.041847060501048618</v>
      </c>
      <c r="T18" s="763">
        <v>0.00040172482563740269</v>
      </c>
      <c r="U18" s="763">
        <v>0.56954986020596921</v>
      </c>
      <c r="V18" s="763">
        <v>0.11398192905297982</v>
      </c>
      <c r="W18" s="763">
        <v>0.10012185184905362</v>
      </c>
      <c r="X18" s="763">
        <v>0.085377169364121014</v>
      </c>
      <c r="Y18" s="763">
        <v>0.076461687149872448</v>
      </c>
      <c r="Z18" s="763">
        <v>0.051877118406765066</v>
      </c>
      <c r="AA18" s="763">
        <v>0.002630383971238829</v>
      </c>
      <c r="AB18" s="763">
        <v>0.10858315679449732</v>
      </c>
      <c r="AC18" s="763">
        <v>0.20767442757399696</v>
      </c>
      <c r="AD18" s="763">
        <v>0.30118453169314213</v>
      </c>
      <c r="AE18" s="763">
        <v>0.019383862584190652</v>
      </c>
      <c r="AF18" s="763">
        <v>0.039516903348691561</v>
      </c>
      <c r="AG18" s="763">
        <v>0.060088546006280927</v>
      </c>
      <c r="AH18" s="763">
        <v>0.001488273399051665</v>
      </c>
      <c r="AI18" s="763">
        <v>0.31042039132793009</v>
      </c>
      <c r="AJ18" s="763">
        <v>0.26882300210992854</v>
      </c>
      <c r="AK18" s="763">
        <v>0.314313330799123</v>
      </c>
      <c r="AL18" s="763">
        <v>0.39367397148610211</v>
      </c>
      <c r="AM18" s="763">
        <v>0.15236725549630889</v>
      </c>
      <c r="AN18" s="763">
        <v>0.080027951550645529</v>
      </c>
      <c r="AO18" s="764">
        <v>0.059018148202208943</v>
      </c>
      <c r="AP18" s="394"/>
      <c r="AQ18" s="397"/>
      <c r="AR18" s="398"/>
      <c r="AS18" s="398"/>
    </row>
    <row r="19" spans="1:45">
      <c r="A19" s="396">
        <v>303</v>
      </c>
      <c r="B19" s="761" t="s">
        <v>181</v>
      </c>
      <c r="C19" s="762">
        <v>22457</v>
      </c>
      <c r="D19" s="762">
        <v>19394</v>
      </c>
      <c r="E19" s="762">
        <v>16180</v>
      </c>
      <c r="F19" s="762">
        <v>3398</v>
      </c>
      <c r="G19" s="762">
        <v>3222</v>
      </c>
      <c r="H19" s="762">
        <v>3281</v>
      </c>
      <c r="I19" s="762">
        <v>6279</v>
      </c>
      <c r="J19" s="763">
        <v>0.12419290199047067</v>
      </c>
      <c r="K19" s="763">
        <v>0.20055653198171927</v>
      </c>
      <c r="L19" s="763">
        <v>0.12064276885043257</v>
      </c>
      <c r="M19" s="763">
        <v>0.24338793875641554</v>
      </c>
      <c r="N19" s="763">
        <v>0.54380549376126175</v>
      </c>
      <c r="O19" s="763">
        <v>0.10640173038428435</v>
      </c>
      <c r="P19" s="763">
        <v>0.13164235848217753</v>
      </c>
      <c r="Q19" s="763">
        <v>0.11405209681736778</v>
      </c>
      <c r="R19" s="763">
        <v>0.082731100472584584</v>
      </c>
      <c r="S19" s="763">
        <v>0.02132269053697064</v>
      </c>
      <c r="T19" s="763">
        <v>4.4529545353342068E-05</v>
      </c>
      <c r="U19" s="763">
        <v>0.50580608753232659</v>
      </c>
      <c r="V19" s="763">
        <v>0.11705829225107406</v>
      </c>
      <c r="W19" s="763">
        <v>0.14965721770938153</v>
      </c>
      <c r="X19" s="763">
        <v>0.10938624492628095</v>
      </c>
      <c r="Y19" s="763">
        <v>0.08270756861886279</v>
      </c>
      <c r="Z19" s="763">
        <v>0.0350755010963962</v>
      </c>
      <c r="AA19" s="763">
        <v>0.00030908786567779143</v>
      </c>
      <c r="AB19" s="763">
        <v>0.041665553025920191</v>
      </c>
      <c r="AC19" s="763">
        <v>0.078969403782102487</v>
      </c>
      <c r="AD19" s="763">
        <v>0.11509736081440215</v>
      </c>
      <c r="AE19" s="763">
        <v>0.0050809540447197092</v>
      </c>
      <c r="AF19" s="763">
        <v>0.010074390693798136</v>
      </c>
      <c r="AG19" s="763">
        <v>0.01717429123413337</v>
      </c>
      <c r="AH19" s="763">
        <v>0.003211494173494154</v>
      </c>
      <c r="AI19" s="763">
        <v>0.24907518108621846</v>
      </c>
      <c r="AJ19" s="763">
        <v>0.28359183710015695</v>
      </c>
      <c r="AK19" s="763">
        <v>0.30728509180371039</v>
      </c>
      <c r="AL19" s="763">
        <v>0.35533696571764462</v>
      </c>
      <c r="AM19" s="763">
        <v>0.14279189645426441</v>
      </c>
      <c r="AN19" s="763">
        <v>0.0918644520639444</v>
      </c>
      <c r="AO19" s="764">
        <v>0.047404202719406693</v>
      </c>
      <c r="AP19" s="394"/>
      <c r="AQ19" s="397"/>
      <c r="AR19" s="398"/>
      <c r="AS19" s="398"/>
    </row>
    <row r="20" spans="1:45">
      <c r="A20" s="396">
        <v>304</v>
      </c>
      <c r="B20" s="761" t="s">
        <v>191</v>
      </c>
      <c r="C20" s="762">
        <v>26249</v>
      </c>
      <c r="D20" s="762">
        <v>22591</v>
      </c>
      <c r="E20" s="762">
        <v>15590</v>
      </c>
      <c r="F20" s="762">
        <v>3179</v>
      </c>
      <c r="G20" s="762">
        <v>3160</v>
      </c>
      <c r="H20" s="762">
        <v>3139</v>
      </c>
      <c r="I20" s="762">
        <v>6112</v>
      </c>
      <c r="J20" s="763">
        <v>0.11253762048078027</v>
      </c>
      <c r="K20" s="763">
        <v>0.2049681655489981</v>
      </c>
      <c r="L20" s="763">
        <v>0.12636305323925609</v>
      </c>
      <c r="M20" s="763">
        <v>0.31579779156325632</v>
      </c>
      <c r="N20" s="763">
        <v>0.36054408671007232</v>
      </c>
      <c r="O20" s="763">
        <v>0.15566212368331095</v>
      </c>
      <c r="P20" s="763">
        <v>0.092764057078994377</v>
      </c>
      <c r="Q20" s="763">
        <v>0.0970539153541452</v>
      </c>
      <c r="R20" s="763">
        <v>0.15989395912982743</v>
      </c>
      <c r="S20" s="763">
        <v>0.1173405753089765</v>
      </c>
      <c r="T20" s="763">
        <v>0.016741282734673207</v>
      </c>
      <c r="U20" s="763">
        <v>0.43109861286310214</v>
      </c>
      <c r="V20" s="763">
        <v>0.14227214401657096</v>
      </c>
      <c r="W20" s="763">
        <v>0.08521782651513074</v>
      </c>
      <c r="X20" s="763">
        <v>0.085273518553525648</v>
      </c>
      <c r="Y20" s="763">
        <v>0.1348310338190816</v>
      </c>
      <c r="Z20" s="763">
        <v>0.10576183042076391</v>
      </c>
      <c r="AA20" s="763">
        <v>0.01554503381182498</v>
      </c>
      <c r="AB20" s="763">
        <v>0.15080614305903456</v>
      </c>
      <c r="AC20" s="763">
        <v>0.28693326567757571</v>
      </c>
      <c r="AD20" s="763">
        <v>0.4118434888129735</v>
      </c>
      <c r="AE20" s="763">
        <v>0.029577994288850853</v>
      </c>
      <c r="AF20" s="763">
        <v>0.057486624045942882</v>
      </c>
      <c r="AG20" s="763">
        <v>0.093737466724998234</v>
      </c>
      <c r="AH20" s="763">
        <v>0.0023855513353623352</v>
      </c>
      <c r="AI20" s="763">
        <v>0.34981849625699407</v>
      </c>
      <c r="AJ20" s="763">
        <v>0.39324146990161124</v>
      </c>
      <c r="AK20" s="763">
        <v>0.41910144401648364</v>
      </c>
      <c r="AL20" s="763">
        <v>0.49471137701358403</v>
      </c>
      <c r="AM20" s="763">
        <v>0.2045661999835095</v>
      </c>
      <c r="AN20" s="763">
        <v>0.126519105489733</v>
      </c>
      <c r="AO20" s="764">
        <v>0.069595894804361749</v>
      </c>
      <c r="AP20" s="394"/>
      <c r="AQ20" s="397"/>
      <c r="AR20" s="398"/>
      <c r="AS20" s="398"/>
    </row>
    <row r="21" spans="1:45">
      <c r="A21" s="396">
        <v>305</v>
      </c>
      <c r="B21" s="761" t="s">
        <v>194</v>
      </c>
      <c r="C21" s="762">
        <v>27250</v>
      </c>
      <c r="D21" s="762">
        <v>23398</v>
      </c>
      <c r="E21" s="762">
        <v>17477</v>
      </c>
      <c r="F21" s="762">
        <v>3868</v>
      </c>
      <c r="G21" s="762">
        <v>3640</v>
      </c>
      <c r="H21" s="762">
        <v>3380</v>
      </c>
      <c r="I21" s="762">
        <v>6589</v>
      </c>
      <c r="J21" s="763">
        <v>0.10271559633027522</v>
      </c>
      <c r="K21" s="763">
        <v>0.16407567110610904</v>
      </c>
      <c r="L21" s="763">
        <v>0.095325284659838638</v>
      </c>
      <c r="M21" s="763">
        <v>0.21728875430874994</v>
      </c>
      <c r="N21" s="763">
        <v>0.69096151625797064</v>
      </c>
      <c r="O21" s="763">
        <v>0.035458963654572212</v>
      </c>
      <c r="P21" s="763">
        <v>0.068480914155189213</v>
      </c>
      <c r="Q21" s="763">
        <v>0.047224950844798219</v>
      </c>
      <c r="R21" s="763">
        <v>0.052396584665232109</v>
      </c>
      <c r="S21" s="763">
        <v>0.094318901142214417</v>
      </c>
      <c r="T21" s="763">
        <v>0.011158169280022905</v>
      </c>
      <c r="U21" s="763">
        <v>0.66318382275929177</v>
      </c>
      <c r="V21" s="763">
        <v>0.035081292067921044</v>
      </c>
      <c r="W21" s="763">
        <v>0.069707733335900871</v>
      </c>
      <c r="X21" s="763">
        <v>0.058895667400527311</v>
      </c>
      <c r="Y21" s="763">
        <v>0.064960162095658816</v>
      </c>
      <c r="Z21" s="763">
        <v>0.099242361419751818</v>
      </c>
      <c r="AA21" s="763">
        <v>0.008928960920948267</v>
      </c>
      <c r="AB21" s="763">
        <v>0.03289230007108572</v>
      </c>
      <c r="AC21" s="763">
        <v>0.065850641576089372</v>
      </c>
      <c r="AD21" s="763">
        <v>0.094848045711537127</v>
      </c>
      <c r="AE21" s="763">
        <v>0.0036045412995293776</v>
      </c>
      <c r="AF21" s="763">
        <v>0.0083916522962165178</v>
      </c>
      <c r="AG21" s="763">
        <v>0.014650871010593848</v>
      </c>
      <c r="AH21" s="763">
        <v>0.003572288754773474</v>
      </c>
      <c r="AI21" s="763">
        <v>0.26960733334249232</v>
      </c>
      <c r="AJ21" s="763">
        <v>0.23801153528972863</v>
      </c>
      <c r="AK21" s="763">
        <v>0.24942345550733655</v>
      </c>
      <c r="AL21" s="763">
        <v>0.32861138142187912</v>
      </c>
      <c r="AM21" s="763">
        <v>0.12627909708897619</v>
      </c>
      <c r="AN21" s="763">
        <v>0.084477064220183487</v>
      </c>
      <c r="AO21" s="764">
        <v>0.028265720661440757</v>
      </c>
      <c r="AP21" s="394"/>
      <c r="AQ21" s="397"/>
      <c r="AR21" s="398"/>
      <c r="AS21" s="398"/>
    </row>
    <row r="22" spans="1:45">
      <c r="A22" s="396">
        <v>306</v>
      </c>
      <c r="B22" s="761" t="s">
        <v>206</v>
      </c>
      <c r="C22" s="762">
        <v>32776</v>
      </c>
      <c r="D22" s="762">
        <v>28176</v>
      </c>
      <c r="E22" s="762">
        <v>18278</v>
      </c>
      <c r="F22" s="762">
        <v>3822</v>
      </c>
      <c r="G22" s="762">
        <v>3539</v>
      </c>
      <c r="H22" s="762">
        <v>3607</v>
      </c>
      <c r="I22" s="762">
        <v>7310</v>
      </c>
      <c r="J22" s="763">
        <v>0.22543934586282643</v>
      </c>
      <c r="K22" s="763">
        <v>0.30203118904889903</v>
      </c>
      <c r="L22" s="763">
        <v>0.2073531020899442</v>
      </c>
      <c r="M22" s="763">
        <v>0.36953516603005171</v>
      </c>
      <c r="N22" s="763">
        <v>0.36795217178067458</v>
      </c>
      <c r="O22" s="763">
        <v>0.14594008635836034</v>
      </c>
      <c r="P22" s="763">
        <v>0.19951577511466465</v>
      </c>
      <c r="Q22" s="763">
        <v>0.11583020746536067</v>
      </c>
      <c r="R22" s="763">
        <v>0.11966766770364978</v>
      </c>
      <c r="S22" s="763">
        <v>0.044225459422154619</v>
      </c>
      <c r="T22" s="763">
        <v>0.0068686321551354552</v>
      </c>
      <c r="U22" s="763">
        <v>0.34152493837869163</v>
      </c>
      <c r="V22" s="763">
        <v>0.13290278263109875</v>
      </c>
      <c r="W22" s="763">
        <v>0.19183111486693527</v>
      </c>
      <c r="X22" s="763">
        <v>0.12008291261724804</v>
      </c>
      <c r="Y22" s="763">
        <v>0.13599289196020989</v>
      </c>
      <c r="Z22" s="763">
        <v>0.069940034330367135</v>
      </c>
      <c r="AA22" s="763">
        <v>0.0077253252154493319</v>
      </c>
      <c r="AB22" s="763">
        <v>0.082035233662118318</v>
      </c>
      <c r="AC22" s="763">
        <v>0.15767558214168237</v>
      </c>
      <c r="AD22" s="763">
        <v>0.21844365239308067</v>
      </c>
      <c r="AE22" s="763">
        <v>0.015307077165376002</v>
      </c>
      <c r="AF22" s="763">
        <v>0.028850319192706964</v>
      </c>
      <c r="AG22" s="763">
        <v>0.044750248154639238</v>
      </c>
      <c r="AH22" s="763">
        <v>0.0059547513336335837</v>
      </c>
      <c r="AI22" s="763">
        <v>0.35155269578589537</v>
      </c>
      <c r="AJ22" s="763">
        <v>0.35767969243810577</v>
      </c>
      <c r="AK22" s="763">
        <v>0.39781349369404978</v>
      </c>
      <c r="AL22" s="763">
        <v>0.48363566165564326</v>
      </c>
      <c r="AM22" s="763">
        <v>0.22138282403319062</v>
      </c>
      <c r="AN22" s="763">
        <v>0.1034293385403954</v>
      </c>
      <c r="AO22" s="764">
        <v>0.080479264689790983</v>
      </c>
      <c r="AP22" s="394"/>
      <c r="AQ22" s="397"/>
      <c r="AR22" s="398"/>
      <c r="AS22" s="398"/>
    </row>
    <row r="23" spans="1:45">
      <c r="A23" s="396">
        <v>307</v>
      </c>
      <c r="B23" s="761" t="s">
        <v>218</v>
      </c>
      <c r="C23" s="762">
        <v>30566</v>
      </c>
      <c r="D23" s="762">
        <v>26306</v>
      </c>
      <c r="E23" s="762">
        <v>15671</v>
      </c>
      <c r="F23" s="762">
        <v>3270</v>
      </c>
      <c r="G23" s="762">
        <v>3216</v>
      </c>
      <c r="H23" s="762">
        <v>3208</v>
      </c>
      <c r="I23" s="762">
        <v>5977</v>
      </c>
      <c r="J23" s="763">
        <v>0.1480075901328273</v>
      </c>
      <c r="K23" s="763">
        <v>0.2336495021838137</v>
      </c>
      <c r="L23" s="763">
        <v>0.15104332844106944</v>
      </c>
      <c r="M23" s="763">
        <v>0.33290750459300322</v>
      </c>
      <c r="N23" s="763">
        <v>0.40806190839884438</v>
      </c>
      <c r="O23" s="763">
        <v>0.18091039342988272</v>
      </c>
      <c r="P23" s="763">
        <v>0.14332165327192173</v>
      </c>
      <c r="Q23" s="763">
        <v>0.10937913500351049</v>
      </c>
      <c r="R23" s="763">
        <v>0.08272954839954616</v>
      </c>
      <c r="S23" s="763">
        <v>0.0648420374670689</v>
      </c>
      <c r="T23" s="763">
        <v>0.010755324029225735</v>
      </c>
      <c r="U23" s="763">
        <v>0.38352504113939107</v>
      </c>
      <c r="V23" s="763">
        <v>0.19499108652844077</v>
      </c>
      <c r="W23" s="763">
        <v>0.13632213660048678</v>
      </c>
      <c r="X23" s="763">
        <v>0.10938697128572898</v>
      </c>
      <c r="Y23" s="763">
        <v>0.089803980215568319</v>
      </c>
      <c r="Z23" s="763">
        <v>0.06924697028726895</v>
      </c>
      <c r="AA23" s="763">
        <v>0.016723813943115153</v>
      </c>
      <c r="AB23" s="763">
        <v>0.12386886255730373</v>
      </c>
      <c r="AC23" s="763">
        <v>0.24500972044095284</v>
      </c>
      <c r="AD23" s="763">
        <v>0.35824570579721515</v>
      </c>
      <c r="AE23" s="763">
        <v>0.022918640346505665</v>
      </c>
      <c r="AF23" s="763">
        <v>0.052409501486297187</v>
      </c>
      <c r="AG23" s="763">
        <v>0.084272584182026045</v>
      </c>
      <c r="AH23" s="763">
        <v>0.0026603690883136885</v>
      </c>
      <c r="AI23" s="763">
        <v>0.32366672559172033</v>
      </c>
      <c r="AJ23" s="763">
        <v>0.34489899233832794</v>
      </c>
      <c r="AK23" s="763">
        <v>0.384870975600878</v>
      </c>
      <c r="AL23" s="763">
        <v>0.47458613861534926</v>
      </c>
      <c r="AM23" s="763">
        <v>0.20506152909136424</v>
      </c>
      <c r="AN23" s="763">
        <v>0.11159458221553359</v>
      </c>
      <c r="AO23" s="764">
        <v>0.072043902750303077</v>
      </c>
      <c r="AP23" s="394"/>
      <c r="AQ23" s="397"/>
      <c r="AR23" s="398"/>
      <c r="AS23" s="398"/>
    </row>
    <row r="24" spans="1:45">
      <c r="A24" s="396">
        <v>308</v>
      </c>
      <c r="B24" s="761" t="s">
        <v>221</v>
      </c>
      <c r="C24" s="762">
        <v>31933</v>
      </c>
      <c r="D24" s="762">
        <v>27660</v>
      </c>
      <c r="E24" s="762">
        <v>18946</v>
      </c>
      <c r="F24" s="762">
        <v>3935</v>
      </c>
      <c r="G24" s="762">
        <v>3887</v>
      </c>
      <c r="H24" s="762">
        <v>3753</v>
      </c>
      <c r="I24" s="762">
        <v>7371</v>
      </c>
      <c r="J24" s="763">
        <v>0.16271568596749447</v>
      </c>
      <c r="K24" s="763">
        <v>0.29477886996222658</v>
      </c>
      <c r="L24" s="763">
        <v>0.16309511242478625</v>
      </c>
      <c r="M24" s="763">
        <v>0.39878873810018012</v>
      </c>
      <c r="N24" s="763">
        <v>0.24216591366369605</v>
      </c>
      <c r="O24" s="763">
        <v>0.086365940120094881</v>
      </c>
      <c r="P24" s="763">
        <v>0.0903933942556262</v>
      </c>
      <c r="Q24" s="763">
        <v>0.097046738207438</v>
      </c>
      <c r="R24" s="763">
        <v>0.18915954438683538</v>
      </c>
      <c r="S24" s="763">
        <v>0.28029519036821754</v>
      </c>
      <c r="T24" s="763">
        <v>0.014573278998092009</v>
      </c>
      <c r="U24" s="763">
        <v>0.21845494767822424</v>
      </c>
      <c r="V24" s="763">
        <v>0.077483464737728269</v>
      </c>
      <c r="W24" s="763">
        <v>0.089433315853284165</v>
      </c>
      <c r="X24" s="763">
        <v>0.11101070204730144</v>
      </c>
      <c r="Y24" s="763">
        <v>0.194388266800346</v>
      </c>
      <c r="Z24" s="763">
        <v>0.29135728387025012</v>
      </c>
      <c r="AA24" s="763">
        <v>0.017872019012866</v>
      </c>
      <c r="AB24" s="763">
        <v>0.097481239313525286</v>
      </c>
      <c r="AC24" s="763">
        <v>0.19345182878510192</v>
      </c>
      <c r="AD24" s="763">
        <v>0.28047245552888744</v>
      </c>
      <c r="AE24" s="763">
        <v>0.022765726720542091</v>
      </c>
      <c r="AF24" s="763">
        <v>0.042961302897132111</v>
      </c>
      <c r="AG24" s="763">
        <v>0.064110382436888116</v>
      </c>
      <c r="AH24" s="763">
        <v>0.0033268566835605706</v>
      </c>
      <c r="AI24" s="763">
        <v>0.37373429270092656</v>
      </c>
      <c r="AJ24" s="763">
        <v>0.37368375329307851</v>
      </c>
      <c r="AK24" s="763">
        <v>0.41104347891932569</v>
      </c>
      <c r="AL24" s="763">
        <v>0.49259722838466852</v>
      </c>
      <c r="AM24" s="763">
        <v>0.20192409151700358</v>
      </c>
      <c r="AN24" s="763">
        <v>0.10108665017380132</v>
      </c>
      <c r="AO24" s="764">
        <v>0.06745487174073686</v>
      </c>
      <c r="AP24" s="394"/>
      <c r="AQ24" s="397"/>
      <c r="AR24" s="398"/>
      <c r="AS24" s="398"/>
    </row>
    <row r="25" spans="1:45">
      <c r="A25" s="396">
        <v>309</v>
      </c>
      <c r="B25" s="761" t="s">
        <v>230</v>
      </c>
      <c r="C25" s="762">
        <v>21376</v>
      </c>
      <c r="D25" s="762">
        <v>18395</v>
      </c>
      <c r="E25" s="762">
        <v>12520</v>
      </c>
      <c r="F25" s="762">
        <v>2729</v>
      </c>
      <c r="G25" s="762">
        <v>2495</v>
      </c>
      <c r="H25" s="762">
        <v>2468</v>
      </c>
      <c r="I25" s="762">
        <v>4828</v>
      </c>
      <c r="J25" s="763">
        <v>0.16373502994011979</v>
      </c>
      <c r="K25" s="763">
        <v>0.28443363229601432</v>
      </c>
      <c r="L25" s="763">
        <v>0.20790734824281143</v>
      </c>
      <c r="M25" s="763">
        <v>0.44585606281789791</v>
      </c>
      <c r="N25" s="763">
        <v>0.27396544658271549</v>
      </c>
      <c r="O25" s="763">
        <v>0.071120906207168086</v>
      </c>
      <c r="P25" s="763">
        <v>0.091609760209081223</v>
      </c>
      <c r="Q25" s="763">
        <v>0.13969314047036402</v>
      </c>
      <c r="R25" s="763">
        <v>0.20368694899546455</v>
      </c>
      <c r="S25" s="763">
        <v>0.18649003572535408</v>
      </c>
      <c r="T25" s="763">
        <v>0.033433761809852622</v>
      </c>
      <c r="U25" s="763">
        <v>0.24108629150410066</v>
      </c>
      <c r="V25" s="763">
        <v>0.073547046501412028</v>
      </c>
      <c r="W25" s="763">
        <v>0.092523080266889574</v>
      </c>
      <c r="X25" s="763">
        <v>0.13161068354450922</v>
      </c>
      <c r="Y25" s="763">
        <v>0.21458960063737678</v>
      </c>
      <c r="Z25" s="763">
        <v>0.2078762063775958</v>
      </c>
      <c r="AA25" s="763">
        <v>0.038767091168115837</v>
      </c>
      <c r="AB25" s="763">
        <v>0.10704249993620522</v>
      </c>
      <c r="AC25" s="763">
        <v>0.20951999078107378</v>
      </c>
      <c r="AD25" s="763">
        <v>0.30428643667480959</v>
      </c>
      <c r="AE25" s="763">
        <v>0.027228425924628607</v>
      </c>
      <c r="AF25" s="763">
        <v>0.051128544150471952</v>
      </c>
      <c r="AG25" s="763">
        <v>0.079409910768057174</v>
      </c>
      <c r="AH25" s="763">
        <v>0.003068900888263212</v>
      </c>
      <c r="AI25" s="763">
        <v>0.32275508057865726</v>
      </c>
      <c r="AJ25" s="763">
        <v>0.33463976981371146</v>
      </c>
      <c r="AK25" s="763">
        <v>0.36796749527579681</v>
      </c>
      <c r="AL25" s="763">
        <v>0.46601374420456521</v>
      </c>
      <c r="AM25" s="763">
        <v>0.19671263199523473</v>
      </c>
      <c r="AN25" s="763">
        <v>0.089025074850299382</v>
      </c>
      <c r="AO25" s="764">
        <v>0.0663738019169329</v>
      </c>
      <c r="AP25" s="394"/>
      <c r="AQ25" s="397"/>
      <c r="AR25" s="398"/>
      <c r="AS25" s="398"/>
    </row>
    <row r="26" spans="1:45">
      <c r="A26" s="396">
        <v>310</v>
      </c>
      <c r="B26" s="761" t="s">
        <v>231</v>
      </c>
      <c r="C26" s="762">
        <v>21574</v>
      </c>
      <c r="D26" s="762">
        <v>18557</v>
      </c>
      <c r="E26" s="762">
        <v>11864</v>
      </c>
      <c r="F26" s="762">
        <v>2512</v>
      </c>
      <c r="G26" s="762">
        <v>2395</v>
      </c>
      <c r="H26" s="762">
        <v>2436</v>
      </c>
      <c r="I26" s="762">
        <v>4521</v>
      </c>
      <c r="J26" s="763">
        <v>0.082784833595995186</v>
      </c>
      <c r="K26" s="763">
        <v>0.14039628429241491</v>
      </c>
      <c r="L26" s="763">
        <v>0.11547538772757919</v>
      </c>
      <c r="M26" s="763">
        <v>0.28827264634052424</v>
      </c>
      <c r="N26" s="763">
        <v>0.683162907253452</v>
      </c>
      <c r="O26" s="763">
        <v>0.11083455995087106</v>
      </c>
      <c r="P26" s="763">
        <v>0.13290402768205564</v>
      </c>
      <c r="Q26" s="763">
        <v>0.021507684589335167</v>
      </c>
      <c r="R26" s="763">
        <v>0.027069620839899874</v>
      </c>
      <c r="S26" s="763">
        <v>0.024428495503427756</v>
      </c>
      <c r="T26" s="763">
        <v>9.27041809585612E-05</v>
      </c>
      <c r="U26" s="763">
        <v>0.6206799249720788</v>
      </c>
      <c r="V26" s="763">
        <v>0.11727529843120207</v>
      </c>
      <c r="W26" s="763">
        <v>0.14602663578047953</v>
      </c>
      <c r="X26" s="763">
        <v>0.041990231721617477</v>
      </c>
      <c r="Y26" s="763">
        <v>0.040889429169707531</v>
      </c>
      <c r="Z26" s="763">
        <v>0.031957754888888593</v>
      </c>
      <c r="AA26" s="763">
        <v>0.0011807250360258909</v>
      </c>
      <c r="AB26" s="763">
        <v>0.13077617946482264</v>
      </c>
      <c r="AC26" s="763">
        <v>0.25080090317577175</v>
      </c>
      <c r="AD26" s="763">
        <v>0.36585712778498791</v>
      </c>
      <c r="AE26" s="763">
        <v>0.029484793054830229</v>
      </c>
      <c r="AF26" s="763">
        <v>0.05474058493911086</v>
      </c>
      <c r="AG26" s="763">
        <v>0.086841656263209277</v>
      </c>
      <c r="AH26" s="763">
        <v>0.0018418479609432065</v>
      </c>
      <c r="AI26" s="763">
        <v>0.324960491569759</v>
      </c>
      <c r="AJ26" s="763">
        <v>0.31455542642039547</v>
      </c>
      <c r="AK26" s="763">
        <v>0.36544685656449416</v>
      </c>
      <c r="AL26" s="763">
        <v>0.44671122947121156</v>
      </c>
      <c r="AM26" s="763">
        <v>0.18583490002294778</v>
      </c>
      <c r="AN26" s="763">
        <v>0.10012051543524607</v>
      </c>
      <c r="AO26" s="764">
        <v>0.077629804450438308</v>
      </c>
      <c r="AP26" s="394"/>
      <c r="AQ26" s="397"/>
      <c r="AR26" s="398"/>
      <c r="AS26" s="398"/>
    </row>
    <row r="27" spans="1:45">
      <c r="A27" s="396">
        <v>311</v>
      </c>
      <c r="B27" s="761" t="s">
        <v>233</v>
      </c>
      <c r="C27" s="762">
        <v>22118</v>
      </c>
      <c r="D27" s="762">
        <v>18931</v>
      </c>
      <c r="E27" s="762">
        <v>14447</v>
      </c>
      <c r="F27" s="762">
        <v>2924</v>
      </c>
      <c r="G27" s="762">
        <v>2838</v>
      </c>
      <c r="H27" s="762">
        <v>2906</v>
      </c>
      <c r="I27" s="762">
        <v>5779</v>
      </c>
      <c r="J27" s="763">
        <v>0.1270458450131115</v>
      </c>
      <c r="K27" s="763">
        <v>0.21134693143115077</v>
      </c>
      <c r="L27" s="763">
        <v>0.11199557001453596</v>
      </c>
      <c r="M27" s="763">
        <v>0.2525283472155801</v>
      </c>
      <c r="N27" s="763">
        <v>0.48667271918982358</v>
      </c>
      <c r="O27" s="763">
        <v>0.14809493315687983</v>
      </c>
      <c r="P27" s="763">
        <v>0.12200295599766968</v>
      </c>
      <c r="Q27" s="763">
        <v>0.0924113617224987</v>
      </c>
      <c r="R27" s="763">
        <v>0.082933075387903912</v>
      </c>
      <c r="S27" s="763">
        <v>0.067613682278292342</v>
      </c>
      <c r="T27" s="763">
        <v>0.00027127226693191041</v>
      </c>
      <c r="U27" s="763">
        <v>0.503020552255772</v>
      </c>
      <c r="V27" s="763">
        <v>0.14657361427606527</v>
      </c>
      <c r="W27" s="763">
        <v>0.12116629143090314</v>
      </c>
      <c r="X27" s="763">
        <v>0.091170112267340592</v>
      </c>
      <c r="Y27" s="763">
        <v>0.076068686362559618</v>
      </c>
      <c r="Z27" s="763">
        <v>0.061169889244989631</v>
      </c>
      <c r="AA27" s="763">
        <v>0.00083085416236949471</v>
      </c>
      <c r="AB27" s="763">
        <v>0.050746182063048741</v>
      </c>
      <c r="AC27" s="763">
        <v>0.097243812963518556</v>
      </c>
      <c r="AD27" s="763">
        <v>0.1346911780747122</v>
      </c>
      <c r="AE27" s="763">
        <v>0.0053454010752291411</v>
      </c>
      <c r="AF27" s="763">
        <v>0.01006720491668079</v>
      </c>
      <c r="AG27" s="763">
        <v>0.016727756437594762</v>
      </c>
      <c r="AH27" s="763">
        <v>0.0042787172868884822</v>
      </c>
      <c r="AI27" s="763">
        <v>0.31740795234868985</v>
      </c>
      <c r="AJ27" s="763">
        <v>0.27671863005990693</v>
      </c>
      <c r="AK27" s="763">
        <v>0.28234731503843419</v>
      </c>
      <c r="AL27" s="763">
        <v>0.37610897213857558</v>
      </c>
      <c r="AM27" s="763">
        <v>0.1464607884434132</v>
      </c>
      <c r="AN27" s="763">
        <v>0.091780450311963108</v>
      </c>
      <c r="AO27" s="764">
        <v>0.13539143074686791</v>
      </c>
      <c r="AP27" s="394"/>
      <c r="AQ27" s="397"/>
      <c r="AR27" s="398"/>
      <c r="AS27" s="398"/>
    </row>
    <row r="28" spans="1:45">
      <c r="A28" s="396">
        <v>312</v>
      </c>
      <c r="B28" s="761" t="s">
        <v>236</v>
      </c>
      <c r="C28" s="762">
        <v>27932</v>
      </c>
      <c r="D28" s="762">
        <v>23946</v>
      </c>
      <c r="E28" s="762">
        <v>16426</v>
      </c>
      <c r="F28" s="762">
        <v>3426</v>
      </c>
      <c r="G28" s="762">
        <v>3368</v>
      </c>
      <c r="H28" s="762">
        <v>3239</v>
      </c>
      <c r="I28" s="762">
        <v>6393</v>
      </c>
      <c r="J28" s="763">
        <v>0.12977946441357577</v>
      </c>
      <c r="K28" s="763">
        <v>0.20931539249377251</v>
      </c>
      <c r="L28" s="763">
        <v>0.14215268476805071</v>
      </c>
      <c r="M28" s="763">
        <v>0.30565735301482422</v>
      </c>
      <c r="N28" s="763">
        <v>0.400719964494209</v>
      </c>
      <c r="O28" s="763">
        <v>0.19332345379134905</v>
      </c>
      <c r="P28" s="763">
        <v>0.19405118210587782</v>
      </c>
      <c r="Q28" s="763">
        <v>0.13282185723702394</v>
      </c>
      <c r="R28" s="763">
        <v>0.065351645995293486</v>
      </c>
      <c r="S28" s="763">
        <v>0.01369609514468436</v>
      </c>
      <c r="T28" s="763">
        <v>3.5801231562365716E-05</v>
      </c>
      <c r="U28" s="763">
        <v>0.40964486205761458</v>
      </c>
      <c r="V28" s="763">
        <v>0.20043184918271834</v>
      </c>
      <c r="W28" s="763">
        <v>0.17808210814491379</v>
      </c>
      <c r="X28" s="763">
        <v>0.12937909804339126</v>
      </c>
      <c r="Y28" s="763">
        <v>0.06114919536728218</v>
      </c>
      <c r="Z28" s="763">
        <v>0.020643159951576191</v>
      </c>
      <c r="AA28" s="763">
        <v>0.00066972725250359557</v>
      </c>
      <c r="AB28" s="763">
        <v>0.10201123790555429</v>
      </c>
      <c r="AC28" s="763">
        <v>0.20158064853346935</v>
      </c>
      <c r="AD28" s="763">
        <v>0.28633690206669249</v>
      </c>
      <c r="AE28" s="763">
        <v>0.014131814196088794</v>
      </c>
      <c r="AF28" s="763">
        <v>0.0292191678307578</v>
      </c>
      <c r="AG28" s="763">
        <v>0.048356667973716641</v>
      </c>
      <c r="AH28" s="763">
        <v>0.0025175665941542073</v>
      </c>
      <c r="AI28" s="763">
        <v>0.36404168653527719</v>
      </c>
      <c r="AJ28" s="763">
        <v>0.35388240276589317</v>
      </c>
      <c r="AK28" s="763">
        <v>0.3986893071746061</v>
      </c>
      <c r="AL28" s="763">
        <v>0.46023544572196828</v>
      </c>
      <c r="AM28" s="763">
        <v>0.18470544050608859</v>
      </c>
      <c r="AN28" s="763">
        <v>0.085636545897178923</v>
      </c>
      <c r="AO28" s="764">
        <v>0.0711067819310849</v>
      </c>
      <c r="AP28" s="394"/>
      <c r="AQ28" s="397"/>
      <c r="AR28" s="398"/>
      <c r="AS28" s="398"/>
    </row>
    <row r="29" spans="1:45">
      <c r="A29" s="396">
        <v>313</v>
      </c>
      <c r="B29" s="761" t="s">
        <v>237</v>
      </c>
      <c r="C29" s="762">
        <v>23593</v>
      </c>
      <c r="D29" s="762">
        <v>20300</v>
      </c>
      <c r="E29" s="762">
        <v>14177</v>
      </c>
      <c r="F29" s="762">
        <v>3012</v>
      </c>
      <c r="G29" s="762">
        <v>2902</v>
      </c>
      <c r="H29" s="762">
        <v>2814</v>
      </c>
      <c r="I29" s="762">
        <v>5449</v>
      </c>
      <c r="J29" s="763">
        <v>0.15805535540202603</v>
      </c>
      <c r="K29" s="763">
        <v>0.23389862540342987</v>
      </c>
      <c r="L29" s="763">
        <v>0.1668900331522889</v>
      </c>
      <c r="M29" s="763">
        <v>0.32237386743752122</v>
      </c>
      <c r="N29" s="763">
        <v>0.42254141239828957</v>
      </c>
      <c r="O29" s="763">
        <v>0.21469793883484609</v>
      </c>
      <c r="P29" s="763">
        <v>0.12838818556735537</v>
      </c>
      <c r="Q29" s="763">
        <v>0.13043465045721564</v>
      </c>
      <c r="R29" s="763">
        <v>0.037717692818168141</v>
      </c>
      <c r="S29" s="763">
        <v>0.065879616911207611</v>
      </c>
      <c r="T29" s="763">
        <v>0.00034050301291764815</v>
      </c>
      <c r="U29" s="763">
        <v>0.39496579985581221</v>
      </c>
      <c r="V29" s="763">
        <v>0.21392965331382638</v>
      </c>
      <c r="W29" s="763">
        <v>0.1414456917524676</v>
      </c>
      <c r="X29" s="763">
        <v>0.12619284168165051</v>
      </c>
      <c r="Y29" s="763">
        <v>0.048367541504494606</v>
      </c>
      <c r="Z29" s="763">
        <v>0.068957688338843762</v>
      </c>
      <c r="AA29" s="763">
        <v>0.0061407835529050051</v>
      </c>
      <c r="AB29" s="763">
        <v>0.14459502184087689</v>
      </c>
      <c r="AC29" s="763">
        <v>0.27427642783915612</v>
      </c>
      <c r="AD29" s="763">
        <v>0.37892791655602914</v>
      </c>
      <c r="AE29" s="763">
        <v>0.018207371235019788</v>
      </c>
      <c r="AF29" s="763">
        <v>0.03956997651569967</v>
      </c>
      <c r="AG29" s="763">
        <v>0.066982603225890308</v>
      </c>
      <c r="AH29" s="763">
        <v>0.0023317331250153868</v>
      </c>
      <c r="AI29" s="763">
        <v>0.36620337030083694</v>
      </c>
      <c r="AJ29" s="763">
        <v>0.33423942707379917</v>
      </c>
      <c r="AK29" s="763">
        <v>0.38058755246225007</v>
      </c>
      <c r="AL29" s="763">
        <v>0.44279456338745715</v>
      </c>
      <c r="AM29" s="763">
        <v>0.16805755569358671</v>
      </c>
      <c r="AN29" s="763">
        <v>0.0972322298986987</v>
      </c>
      <c r="AO29" s="764">
        <v>0.060873245397474768</v>
      </c>
      <c r="AP29" s="394"/>
      <c r="AQ29" s="397"/>
      <c r="AR29" s="398"/>
      <c r="AS29" s="398"/>
    </row>
    <row r="30" spans="1:45">
      <c r="A30" s="396">
        <v>314</v>
      </c>
      <c r="B30" s="761" t="s">
        <v>653</v>
      </c>
      <c r="C30" s="762">
        <v>13504</v>
      </c>
      <c r="D30" s="762">
        <v>11572</v>
      </c>
      <c r="E30" s="762">
        <v>8702</v>
      </c>
      <c r="F30" s="762">
        <v>1882</v>
      </c>
      <c r="G30" s="762">
        <v>1783</v>
      </c>
      <c r="H30" s="762">
        <v>1790</v>
      </c>
      <c r="I30" s="762">
        <v>3247</v>
      </c>
      <c r="J30" s="763">
        <v>0.089010663507109011</v>
      </c>
      <c r="K30" s="763">
        <v>0.14875382559833683</v>
      </c>
      <c r="L30" s="763">
        <v>0.080211445644679441</v>
      </c>
      <c r="M30" s="763">
        <v>0.17828149543957753</v>
      </c>
      <c r="N30" s="763">
        <v>0.832492373543913</v>
      </c>
      <c r="O30" s="763">
        <v>0.09216123384344857</v>
      </c>
      <c r="P30" s="763">
        <v>0.037480182834028389</v>
      </c>
      <c r="Q30" s="763">
        <v>0.019338203428520023</v>
      </c>
      <c r="R30" s="763">
        <v>0.017269120094165844</v>
      </c>
      <c r="S30" s="763">
        <v>0.0012588862559241706</v>
      </c>
      <c r="T30" s="763">
        <v>0</v>
      </c>
      <c r="U30" s="763">
        <v>0.80933394115740676</v>
      </c>
      <c r="V30" s="763">
        <v>0.09498548920120474</v>
      </c>
      <c r="W30" s="763">
        <v>0.047489221107609808</v>
      </c>
      <c r="X30" s="763">
        <v>0.02576295700507425</v>
      </c>
      <c r="Y30" s="763">
        <v>0.016100968921032265</v>
      </c>
      <c r="Z30" s="763">
        <v>0.0057519336237213279</v>
      </c>
      <c r="AA30" s="763">
        <v>0.00057548898395080633</v>
      </c>
      <c r="AB30" s="763">
        <v>0.075234627874881818</v>
      </c>
      <c r="AC30" s="763">
        <v>0.14537684689492689</v>
      </c>
      <c r="AD30" s="763">
        <v>0.20437849940396546</v>
      </c>
      <c r="AE30" s="763">
        <v>0.013260309168545734</v>
      </c>
      <c r="AF30" s="763">
        <v>0.027979957815905773</v>
      </c>
      <c r="AG30" s="763">
        <v>0.04197896505016406</v>
      </c>
      <c r="AH30" s="763">
        <v>0.0015600850137188085</v>
      </c>
      <c r="AI30" s="763">
        <v>0.29438143204228062</v>
      </c>
      <c r="AJ30" s="763">
        <v>0.2574658368030856</v>
      </c>
      <c r="AK30" s="763">
        <v>0.30677373436620475</v>
      </c>
      <c r="AL30" s="763">
        <v>0.35603538968308113</v>
      </c>
      <c r="AM30" s="763">
        <v>0.13235022176343841</v>
      </c>
      <c r="AN30" s="763">
        <v>0.059982227488151678</v>
      </c>
      <c r="AO30" s="764">
        <v>0.043323373937025962</v>
      </c>
      <c r="AP30" s="394"/>
      <c r="AQ30" s="397"/>
      <c r="AR30" s="398"/>
      <c r="AS30" s="398"/>
    </row>
    <row r="31" spans="1:45">
      <c r="A31" s="396">
        <v>315</v>
      </c>
      <c r="B31" s="761" t="s">
        <v>258</v>
      </c>
      <c r="C31" s="762">
        <v>16751</v>
      </c>
      <c r="D31" s="762">
        <v>14442</v>
      </c>
      <c r="E31" s="762">
        <v>7938</v>
      </c>
      <c r="F31" s="762">
        <v>1785</v>
      </c>
      <c r="G31" s="762">
        <v>1595</v>
      </c>
      <c r="H31" s="762">
        <v>1561</v>
      </c>
      <c r="I31" s="762">
        <v>2997</v>
      </c>
      <c r="J31" s="763">
        <v>0.14393170556981666</v>
      </c>
      <c r="K31" s="763">
        <v>0.20922132952252959</v>
      </c>
      <c r="L31" s="763">
        <v>0.17132779037540938</v>
      </c>
      <c r="M31" s="763">
        <v>0.29931520250366594</v>
      </c>
      <c r="N31" s="763">
        <v>0.56540514695410271</v>
      </c>
      <c r="O31" s="763">
        <v>0.10569842233402908</v>
      </c>
      <c r="P31" s="763">
        <v>0.14652229235082029</v>
      </c>
      <c r="Q31" s="763">
        <v>0.084897072085455424</v>
      </c>
      <c r="R31" s="763">
        <v>0.061700221819854781</v>
      </c>
      <c r="S31" s="763">
        <v>0.025013845645422163</v>
      </c>
      <c r="T31" s="763">
        <v>0.010762998810315427</v>
      </c>
      <c r="U31" s="763">
        <v>0.46573459574215426</v>
      </c>
      <c r="V31" s="763">
        <v>0.13526118628159453</v>
      </c>
      <c r="W31" s="763">
        <v>0.15673930224194779</v>
      </c>
      <c r="X31" s="763">
        <v>0.097326933305769234</v>
      </c>
      <c r="Y31" s="763">
        <v>0.080287521330605266</v>
      </c>
      <c r="Z31" s="763">
        <v>0.0482710788833238</v>
      </c>
      <c r="AA31" s="763">
        <v>0.016379382214605179</v>
      </c>
      <c r="AB31" s="763">
        <v>0.091448006489958933</v>
      </c>
      <c r="AC31" s="763">
        <v>0.17546667187126608</v>
      </c>
      <c r="AD31" s="763">
        <v>0.258064399935131</v>
      </c>
      <c r="AE31" s="763">
        <v>0.018989955228725645</v>
      </c>
      <c r="AF31" s="763">
        <v>0.03645774253442112</v>
      </c>
      <c r="AG31" s="763">
        <v>0.058463519467125018</v>
      </c>
      <c r="AH31" s="763">
        <v>0.0029295907465175415</v>
      </c>
      <c r="AI31" s="763">
        <v>0.33980685490549761</v>
      </c>
      <c r="AJ31" s="763">
        <v>0.35749843211807175</v>
      </c>
      <c r="AK31" s="763">
        <v>0.40311302256692544</v>
      </c>
      <c r="AL31" s="763">
        <v>0.49268575790143609</v>
      </c>
      <c r="AM31" s="763">
        <v>0.23046487591274811</v>
      </c>
      <c r="AN31" s="763">
        <v>0.07730881738403679</v>
      </c>
      <c r="AO31" s="764">
        <v>0.056059460821365523</v>
      </c>
      <c r="AP31" s="394"/>
      <c r="AQ31" s="397"/>
      <c r="AR31" s="398"/>
      <c r="AS31" s="398"/>
    </row>
    <row r="32" spans="1:45">
      <c r="A32" s="396">
        <v>316</v>
      </c>
      <c r="B32" s="761" t="s">
        <v>262</v>
      </c>
      <c r="C32" s="762">
        <v>34151</v>
      </c>
      <c r="D32" s="762">
        <v>29451</v>
      </c>
      <c r="E32" s="762">
        <v>21407</v>
      </c>
      <c r="F32" s="762">
        <v>4610</v>
      </c>
      <c r="G32" s="762">
        <v>4399</v>
      </c>
      <c r="H32" s="762">
        <v>4276</v>
      </c>
      <c r="I32" s="762">
        <v>8122</v>
      </c>
      <c r="J32" s="763">
        <v>0.1496588679687271</v>
      </c>
      <c r="K32" s="763">
        <v>0.30935736871965391</v>
      </c>
      <c r="L32" s="763">
        <v>0.1856869248376698</v>
      </c>
      <c r="M32" s="763">
        <v>0.53141451853498922</v>
      </c>
      <c r="N32" s="763">
        <v>0.074979379762555864</v>
      </c>
      <c r="O32" s="763">
        <v>0.27052279025271081</v>
      </c>
      <c r="P32" s="763">
        <v>0.26739973345799245</v>
      </c>
      <c r="Q32" s="763">
        <v>0.18750999988414191</v>
      </c>
      <c r="R32" s="763">
        <v>0.10958250806321077</v>
      </c>
      <c r="S32" s="763">
        <v>0.089061920560795288</v>
      </c>
      <c r="T32" s="763">
        <v>0.00094366801859291718</v>
      </c>
      <c r="U32" s="763">
        <v>0.074170883192796327</v>
      </c>
      <c r="V32" s="763">
        <v>0.25363935704305079</v>
      </c>
      <c r="W32" s="763">
        <v>0.26289343365310841</v>
      </c>
      <c r="X32" s="763">
        <v>0.1917965181532236</v>
      </c>
      <c r="Y32" s="763">
        <v>0.11943698103017908</v>
      </c>
      <c r="Z32" s="763">
        <v>0.094505328715307146</v>
      </c>
      <c r="AA32" s="763">
        <v>0.0035574982123347219</v>
      </c>
      <c r="AB32" s="763">
        <v>0.15046890368167315</v>
      </c>
      <c r="AC32" s="763">
        <v>0.291702884267629</v>
      </c>
      <c r="AD32" s="763">
        <v>0.41876347901843092</v>
      </c>
      <c r="AE32" s="763">
        <v>0.029582047176235342</v>
      </c>
      <c r="AF32" s="763">
        <v>0.053757844214847146</v>
      </c>
      <c r="AG32" s="763">
        <v>0.08504980946451364</v>
      </c>
      <c r="AH32" s="763">
        <v>0.0028033713689064607</v>
      </c>
      <c r="AI32" s="763">
        <v>0.31420387556465929</v>
      </c>
      <c r="AJ32" s="763">
        <v>0.273426162111691</v>
      </c>
      <c r="AK32" s="763">
        <v>0.33192262118688959</v>
      </c>
      <c r="AL32" s="763">
        <v>0.40668080920800387</v>
      </c>
      <c r="AM32" s="763">
        <v>0.17549616021906939</v>
      </c>
      <c r="AN32" s="763">
        <v>0.14916107873854356</v>
      </c>
      <c r="AO32" s="764">
        <v>0.094828794319615051</v>
      </c>
      <c r="AP32" s="394"/>
      <c r="AQ32" s="397"/>
      <c r="AR32" s="398"/>
      <c r="AS32" s="398"/>
    </row>
    <row r="33" spans="1:45">
      <c r="A33" s="396">
        <v>317</v>
      </c>
      <c r="B33" s="761" t="s">
        <v>279</v>
      </c>
      <c r="C33" s="762">
        <v>29499</v>
      </c>
      <c r="D33" s="762">
        <v>25330</v>
      </c>
      <c r="E33" s="762">
        <v>19086</v>
      </c>
      <c r="F33" s="762">
        <v>3932</v>
      </c>
      <c r="G33" s="762">
        <v>3830</v>
      </c>
      <c r="H33" s="762">
        <v>3828</v>
      </c>
      <c r="I33" s="762">
        <v>7496</v>
      </c>
      <c r="J33" s="763">
        <v>0.10271534628292485</v>
      </c>
      <c r="K33" s="763">
        <v>0.15962063452704195</v>
      </c>
      <c r="L33" s="763">
        <v>0.14853819553599495</v>
      </c>
      <c r="M33" s="763">
        <v>0.26554434302524516</v>
      </c>
      <c r="N33" s="763">
        <v>0.52542216782524487</v>
      </c>
      <c r="O33" s="763">
        <v>0.16312927743355746</v>
      </c>
      <c r="P33" s="763">
        <v>0.17889964548147011</v>
      </c>
      <c r="Q33" s="763">
        <v>0.0547005667056639</v>
      </c>
      <c r="R33" s="763">
        <v>0.061132611918407062</v>
      </c>
      <c r="S33" s="763">
        <v>0.016546233364562762</v>
      </c>
      <c r="T33" s="763">
        <v>0.00016949727109393537</v>
      </c>
      <c r="U33" s="763">
        <v>0.51563833383798685</v>
      </c>
      <c r="V33" s="763">
        <v>0.16397853780863872</v>
      </c>
      <c r="W33" s="763">
        <v>0.17154178603715303</v>
      </c>
      <c r="X33" s="763">
        <v>0.064149442854313551</v>
      </c>
      <c r="Y33" s="763">
        <v>0.06094544064499683</v>
      </c>
      <c r="Z33" s="763">
        <v>0.023169704176782702</v>
      </c>
      <c r="AA33" s="763">
        <v>0.00057675464012823564</v>
      </c>
      <c r="AB33" s="763">
        <v>0.14231806633211447</v>
      </c>
      <c r="AC33" s="763">
        <v>0.27526487142277051</v>
      </c>
      <c r="AD33" s="763">
        <v>0.39257889846242094</v>
      </c>
      <c r="AE33" s="763">
        <v>0.018740243334142637</v>
      </c>
      <c r="AF33" s="763">
        <v>0.043649888886064525</v>
      </c>
      <c r="AG33" s="763">
        <v>0.066885025709265</v>
      </c>
      <c r="AH33" s="763">
        <v>0.0030023538504195318</v>
      </c>
      <c r="AI33" s="763">
        <v>0.3049572228846566</v>
      </c>
      <c r="AJ33" s="763">
        <v>0.29100734721635607</v>
      </c>
      <c r="AK33" s="763">
        <v>0.33714269467082336</v>
      </c>
      <c r="AL33" s="763">
        <v>0.40789863205260646</v>
      </c>
      <c r="AM33" s="763">
        <v>0.14840864187284503</v>
      </c>
      <c r="AN33" s="763">
        <v>0.12251262754669659</v>
      </c>
      <c r="AO33" s="764">
        <v>0.063711621083516731</v>
      </c>
      <c r="AP33" s="394"/>
      <c r="AQ33" s="397"/>
      <c r="AR33" s="398"/>
      <c r="AS33" s="398"/>
    </row>
    <row r="34" spans="1:45">
      <c r="A34" s="396">
        <v>318</v>
      </c>
      <c r="B34" s="761" t="s">
        <v>281</v>
      </c>
      <c r="C34" s="762">
        <v>16829</v>
      </c>
      <c r="D34" s="762">
        <v>14500</v>
      </c>
      <c r="E34" s="762">
        <v>8589</v>
      </c>
      <c r="F34" s="762">
        <v>1866</v>
      </c>
      <c r="G34" s="762">
        <v>1765</v>
      </c>
      <c r="H34" s="762">
        <v>1716</v>
      </c>
      <c r="I34" s="762">
        <v>3242</v>
      </c>
      <c r="J34" s="763">
        <v>0.076059183552201523</v>
      </c>
      <c r="K34" s="763">
        <v>0.11402679338704334</v>
      </c>
      <c r="L34" s="763">
        <v>0.1030387705204332</v>
      </c>
      <c r="M34" s="763">
        <v>0.21058265428793452</v>
      </c>
      <c r="N34" s="763">
        <v>0.83963206418194447</v>
      </c>
      <c r="O34" s="763">
        <v>0.057370275606927805</v>
      </c>
      <c r="P34" s="763">
        <v>0.054423551965630049</v>
      </c>
      <c r="Q34" s="763">
        <v>0.024969988046847892</v>
      </c>
      <c r="R34" s="763">
        <v>0.018786483295540224</v>
      </c>
      <c r="S34" s="763">
        <v>0.0044012090498796565</v>
      </c>
      <c r="T34" s="763">
        <v>0.00041642785322989074</v>
      </c>
      <c r="U34" s="763">
        <v>0.78741425895096961</v>
      </c>
      <c r="V34" s="763">
        <v>0.065153571083607614</v>
      </c>
      <c r="W34" s="763">
        <v>0.0605124476527392</v>
      </c>
      <c r="X34" s="763">
        <v>0.037989628037586196</v>
      </c>
      <c r="Y34" s="763">
        <v>0.022604444143944788</v>
      </c>
      <c r="Z34" s="763">
        <v>0.0255106542061324</v>
      </c>
      <c r="AA34" s="763">
        <v>0.00081499592502037464</v>
      </c>
      <c r="AB34" s="763">
        <v>0.055331858156868072</v>
      </c>
      <c r="AC34" s="763">
        <v>0.10942788406882416</v>
      </c>
      <c r="AD34" s="763">
        <v>0.15674881153027029</v>
      </c>
      <c r="AE34" s="763">
        <v>0.015023300509359053</v>
      </c>
      <c r="AF34" s="763">
        <v>0.026862855574083241</v>
      </c>
      <c r="AG34" s="763">
        <v>0.039403477699347586</v>
      </c>
      <c r="AH34" s="763">
        <v>0.001279340482580052</v>
      </c>
      <c r="AI34" s="763">
        <v>0.30067929049543352</v>
      </c>
      <c r="AJ34" s="763">
        <v>0.22388069816419176</v>
      </c>
      <c r="AK34" s="763">
        <v>0.28423252906169238</v>
      </c>
      <c r="AL34" s="763">
        <v>0.37895557444236289</v>
      </c>
      <c r="AM34" s="763">
        <v>0.13138733337726335</v>
      </c>
      <c r="AN34" s="763">
        <v>0.0553211717867966</v>
      </c>
      <c r="AO34" s="764">
        <v>0.12306438467807664</v>
      </c>
      <c r="AP34" s="394"/>
      <c r="AQ34" s="397"/>
      <c r="AR34" s="398"/>
      <c r="AS34" s="398"/>
    </row>
    <row r="35" spans="1:45">
      <c r="A35" s="396">
        <v>319</v>
      </c>
      <c r="B35" s="761" t="s">
        <v>306</v>
      </c>
      <c r="C35" s="762">
        <v>17585</v>
      </c>
      <c r="D35" s="762">
        <v>15171</v>
      </c>
      <c r="E35" s="762">
        <v>15183</v>
      </c>
      <c r="F35" s="762">
        <v>3326</v>
      </c>
      <c r="G35" s="762">
        <v>3152</v>
      </c>
      <c r="H35" s="762">
        <v>3038</v>
      </c>
      <c r="I35" s="762">
        <v>5667</v>
      </c>
      <c r="J35" s="763">
        <v>0.13392095535968151</v>
      </c>
      <c r="K35" s="763">
        <v>0.17424070296648594</v>
      </c>
      <c r="L35" s="763">
        <v>0.099914377922676767</v>
      </c>
      <c r="M35" s="763">
        <v>0.18394321528668983</v>
      </c>
      <c r="N35" s="763">
        <v>0.7055008260531016</v>
      </c>
      <c r="O35" s="763">
        <v>0.063640654821306791</v>
      </c>
      <c r="P35" s="763">
        <v>0.12761228839938971</v>
      </c>
      <c r="Q35" s="763">
        <v>0.034747194299954848</v>
      </c>
      <c r="R35" s="763">
        <v>0.028668781511277615</v>
      </c>
      <c r="S35" s="763">
        <v>0.038806655256169373</v>
      </c>
      <c r="T35" s="763">
        <v>0.0010235996588001139</v>
      </c>
      <c r="U35" s="763">
        <v>0.67045058090367182</v>
      </c>
      <c r="V35" s="763">
        <v>0.079461036251785147</v>
      </c>
      <c r="W35" s="763">
        <v>0.13598085997894266</v>
      </c>
      <c r="X35" s="763">
        <v>0.0428260436594646</v>
      </c>
      <c r="Y35" s="763">
        <v>0.035708656842432622</v>
      </c>
      <c r="Z35" s="763">
        <v>0.03412350453526368</v>
      </c>
      <c r="AA35" s="763">
        <v>0.0014493178284396592</v>
      </c>
      <c r="AB35" s="763">
        <v>0.063793676893324477</v>
      </c>
      <c r="AC35" s="763">
        <v>0.12582281337923007</v>
      </c>
      <c r="AD35" s="763">
        <v>0.17809454061838276</v>
      </c>
      <c r="AE35" s="763">
        <v>0.0078997781745778622</v>
      </c>
      <c r="AF35" s="763">
        <v>0.016392484422733979</v>
      </c>
      <c r="AG35" s="763">
        <v>0.026296509271797251</v>
      </c>
      <c r="AH35" s="763">
        <v>0.0027176126795522113</v>
      </c>
      <c r="AI35" s="763">
        <v>0.35876668915655224</v>
      </c>
      <c r="AJ35" s="763">
        <v>0.19858474109793087</v>
      </c>
      <c r="AK35" s="763">
        <v>0.22013662728975891</v>
      </c>
      <c r="AL35" s="763">
        <v>0.28045758222755518</v>
      </c>
      <c r="AM35" s="763">
        <v>0.092805024674661549</v>
      </c>
      <c r="AN35" s="763">
        <v>0.065851578049473988</v>
      </c>
      <c r="AO35" s="764">
        <v>0.02489626556016597</v>
      </c>
      <c r="AP35" s="394"/>
      <c r="AQ35" s="397"/>
      <c r="AR35" s="398"/>
      <c r="AS35" s="398"/>
    </row>
    <row r="36" spans="1:45">
      <c r="A36" s="396">
        <v>320</v>
      </c>
      <c r="B36" s="761" t="s">
        <v>316</v>
      </c>
      <c r="C36" s="762">
        <v>24451</v>
      </c>
      <c r="D36" s="762">
        <v>21026</v>
      </c>
      <c r="E36" s="762">
        <v>13661</v>
      </c>
      <c r="F36" s="762">
        <v>2871</v>
      </c>
      <c r="G36" s="762">
        <v>2790</v>
      </c>
      <c r="H36" s="762">
        <v>2664</v>
      </c>
      <c r="I36" s="762">
        <v>5336</v>
      </c>
      <c r="J36" s="763">
        <v>0.15426771911169276</v>
      </c>
      <c r="K36" s="763">
        <v>0.25737723398284518</v>
      </c>
      <c r="L36" s="763">
        <v>0.17063172534953513</v>
      </c>
      <c r="M36" s="763">
        <v>0.38242929472333548</v>
      </c>
      <c r="N36" s="763">
        <v>0.22503931106779215</v>
      </c>
      <c r="O36" s="763">
        <v>0.2407922444279052</v>
      </c>
      <c r="P36" s="763">
        <v>0.17502807250364855</v>
      </c>
      <c r="Q36" s="763">
        <v>0.19081806129811785</v>
      </c>
      <c r="R36" s="763">
        <v>0.076577156039174</v>
      </c>
      <c r="S36" s="763">
        <v>0.073865779670355527</v>
      </c>
      <c r="T36" s="763">
        <v>0.017879374993006767</v>
      </c>
      <c r="U36" s="763">
        <v>0.2027278610257</v>
      </c>
      <c r="V36" s="763">
        <v>0.22296513264262882</v>
      </c>
      <c r="W36" s="763">
        <v>0.17610911992074957</v>
      </c>
      <c r="X36" s="763">
        <v>0.19499887636522578</v>
      </c>
      <c r="Y36" s="763">
        <v>0.088895707748086653</v>
      </c>
      <c r="Z36" s="763">
        <v>0.087723895110929748</v>
      </c>
      <c r="AA36" s="763">
        <v>0.026579407186679518</v>
      </c>
      <c r="AB36" s="763">
        <v>0.095543028089277518</v>
      </c>
      <c r="AC36" s="763">
        <v>0.19038498069540769</v>
      </c>
      <c r="AD36" s="763">
        <v>0.27775431799951728</v>
      </c>
      <c r="AE36" s="763">
        <v>0.016524997498633939</v>
      </c>
      <c r="AF36" s="763">
        <v>0.033627213744007178</v>
      </c>
      <c r="AG36" s="763">
        <v>0.055943176610380042</v>
      </c>
      <c r="AH36" s="763">
        <v>0.0027063096971477979</v>
      </c>
      <c r="AI36" s="763">
        <v>0.30894902116102274</v>
      </c>
      <c r="AJ36" s="763">
        <v>0.31611912600699271</v>
      </c>
      <c r="AK36" s="763">
        <v>0.34230431625700092</v>
      </c>
      <c r="AL36" s="763">
        <v>0.46578167868346371</v>
      </c>
      <c r="AM36" s="763">
        <v>0.19797602266189088</v>
      </c>
      <c r="AN36" s="763">
        <v>0.10339045437814404</v>
      </c>
      <c r="AO36" s="764">
        <v>0.066027377205182633</v>
      </c>
      <c r="AP36" s="394"/>
      <c r="AQ36" s="397"/>
      <c r="AR36" s="398"/>
      <c r="AS36" s="398"/>
    </row>
    <row r="37" spans="1:45">
      <c r="A37" s="396">
        <v>330</v>
      </c>
      <c r="B37" s="761" t="s">
        <v>182</v>
      </c>
      <c r="C37" s="762">
        <v>112453</v>
      </c>
      <c r="D37" s="762">
        <v>97055</v>
      </c>
      <c r="E37" s="762">
        <v>68362</v>
      </c>
      <c r="F37" s="762">
        <v>14168</v>
      </c>
      <c r="G37" s="762">
        <v>13973</v>
      </c>
      <c r="H37" s="762">
        <v>13581</v>
      </c>
      <c r="I37" s="762">
        <v>26640</v>
      </c>
      <c r="J37" s="763">
        <v>0.27346535886103529</v>
      </c>
      <c r="K37" s="763">
        <v>0.38783857500019014</v>
      </c>
      <c r="L37" s="763">
        <v>0.2688920745443375</v>
      </c>
      <c r="M37" s="763">
        <v>0.47243343007132343</v>
      </c>
      <c r="N37" s="763">
        <v>0.22487461622983393</v>
      </c>
      <c r="O37" s="763">
        <v>0.085173855110304592</v>
      </c>
      <c r="P37" s="763">
        <v>0.10427243841520767</v>
      </c>
      <c r="Q37" s="763">
        <v>0.1682196220187516</v>
      </c>
      <c r="R37" s="763">
        <v>0.14683679156324428</v>
      </c>
      <c r="S37" s="763">
        <v>0.211032357158026</v>
      </c>
      <c r="T37" s="763">
        <v>0.059590319504631777</v>
      </c>
      <c r="U37" s="763">
        <v>0.24209278029455603</v>
      </c>
      <c r="V37" s="763">
        <v>0.0843302472386625</v>
      </c>
      <c r="W37" s="763">
        <v>0.10871111084129741</v>
      </c>
      <c r="X37" s="763">
        <v>0.17678121587181958</v>
      </c>
      <c r="Y37" s="763">
        <v>0.1418525633511197</v>
      </c>
      <c r="Z37" s="763">
        <v>0.199468282398504</v>
      </c>
      <c r="AA37" s="763">
        <v>0.046763800004040741</v>
      </c>
      <c r="AB37" s="763">
        <v>0.0839503044797276</v>
      </c>
      <c r="AC37" s="763">
        <v>0.16725743162689094</v>
      </c>
      <c r="AD37" s="763">
        <v>0.24741228177756081</v>
      </c>
      <c r="AE37" s="763">
        <v>0.016043870034474751</v>
      </c>
      <c r="AF37" s="763">
        <v>0.032987860366299776</v>
      </c>
      <c r="AG37" s="763">
        <v>0.053183574583222926</v>
      </c>
      <c r="AH37" s="763">
        <v>0.0045165653075670987</v>
      </c>
      <c r="AI37" s="763">
        <v>0.38140498315388327</v>
      </c>
      <c r="AJ37" s="763">
        <v>0.37165126458820119</v>
      </c>
      <c r="AK37" s="763">
        <v>0.4196440203074826</v>
      </c>
      <c r="AL37" s="763">
        <v>0.5061747590354464</v>
      </c>
      <c r="AM37" s="763">
        <v>0.21568521588956741</v>
      </c>
      <c r="AN37" s="763">
        <v>0.096351364570087056</v>
      </c>
      <c r="AO37" s="764">
        <v>0.078347620022819683</v>
      </c>
      <c r="AP37" s="394"/>
      <c r="AQ37" s="397"/>
      <c r="AR37" s="398"/>
      <c r="AS37" s="398"/>
    </row>
    <row r="38" spans="1:45">
      <c r="A38" s="396">
        <v>331</v>
      </c>
      <c r="B38" s="761" t="s">
        <v>205</v>
      </c>
      <c r="C38" s="762">
        <v>31200</v>
      </c>
      <c r="D38" s="762">
        <v>26894</v>
      </c>
      <c r="E38" s="762">
        <v>18477</v>
      </c>
      <c r="F38" s="762">
        <v>3942</v>
      </c>
      <c r="G38" s="762">
        <v>3711</v>
      </c>
      <c r="H38" s="762">
        <v>3655</v>
      </c>
      <c r="I38" s="762">
        <v>7169</v>
      </c>
      <c r="J38" s="763">
        <v>0.1676923076923077</v>
      </c>
      <c r="K38" s="763">
        <v>0.27159935318461992</v>
      </c>
      <c r="L38" s="763">
        <v>0.17870866482654119</v>
      </c>
      <c r="M38" s="763">
        <v>0.32908822670313753</v>
      </c>
      <c r="N38" s="763">
        <v>0.39618314280690248</v>
      </c>
      <c r="O38" s="763">
        <v>0.11047279912925669</v>
      </c>
      <c r="P38" s="763">
        <v>0.072897713789035215</v>
      </c>
      <c r="Q38" s="763">
        <v>0.12029723004278925</v>
      </c>
      <c r="R38" s="763">
        <v>0.11847506961417276</v>
      </c>
      <c r="S38" s="763">
        <v>0.0870903128074984</v>
      </c>
      <c r="T38" s="763">
        <v>0.094583731810345253</v>
      </c>
      <c r="U38" s="763">
        <v>0.42218219253988953</v>
      </c>
      <c r="V38" s="763">
        <v>0.10963508291180485</v>
      </c>
      <c r="W38" s="763">
        <v>0.069937665292774315</v>
      </c>
      <c r="X38" s="763">
        <v>0.11745818919267735</v>
      </c>
      <c r="Y38" s="763">
        <v>0.10877027468738949</v>
      </c>
      <c r="Z38" s="763">
        <v>0.086007554769509068</v>
      </c>
      <c r="AA38" s="763">
        <v>0.086009040605955531</v>
      </c>
      <c r="AB38" s="763">
        <v>0.071420075812755654</v>
      </c>
      <c r="AC38" s="763">
        <v>0.13643345266292339</v>
      </c>
      <c r="AD38" s="763">
        <v>0.1990068640259238</v>
      </c>
      <c r="AE38" s="763">
        <v>0.015378706425424483</v>
      </c>
      <c r="AF38" s="763">
        <v>0.030579079025064241</v>
      </c>
      <c r="AG38" s="763">
        <v>0.048075079342101881</v>
      </c>
      <c r="AH38" s="763">
        <v>0.0053970546900694713</v>
      </c>
      <c r="AI38" s="763">
        <v>0.36266558496599766</v>
      </c>
      <c r="AJ38" s="763">
        <v>0.39576377226101267</v>
      </c>
      <c r="AK38" s="763">
        <v>0.43272791204550787</v>
      </c>
      <c r="AL38" s="763">
        <v>0.51392334714483623</v>
      </c>
      <c r="AM38" s="763">
        <v>0.22596667449693769</v>
      </c>
      <c r="AN38" s="763">
        <v>0.1098717948717949</v>
      </c>
      <c r="AO38" s="764">
        <v>0.10207284732369969</v>
      </c>
      <c r="AP38" s="394"/>
      <c r="AQ38" s="397"/>
      <c r="AR38" s="398"/>
      <c r="AS38" s="398"/>
    </row>
    <row r="39" spans="1:45">
      <c r="A39" s="396">
        <v>332</v>
      </c>
      <c r="B39" s="761" t="s">
        <v>216</v>
      </c>
      <c r="C39" s="762">
        <v>27114</v>
      </c>
      <c r="D39" s="762">
        <v>23297</v>
      </c>
      <c r="E39" s="762">
        <v>16965</v>
      </c>
      <c r="F39" s="762">
        <v>3419</v>
      </c>
      <c r="G39" s="762">
        <v>3451</v>
      </c>
      <c r="H39" s="762">
        <v>3495</v>
      </c>
      <c r="I39" s="762">
        <v>6600</v>
      </c>
      <c r="J39" s="763">
        <v>0.16751493693294978</v>
      </c>
      <c r="K39" s="763">
        <v>0.24383686638364113</v>
      </c>
      <c r="L39" s="763">
        <v>0.16091954022988511</v>
      </c>
      <c r="M39" s="763">
        <v>0.29580751156172519</v>
      </c>
      <c r="N39" s="763">
        <v>0.39724091626922386</v>
      </c>
      <c r="O39" s="763">
        <v>0.11613119328552751</v>
      </c>
      <c r="P39" s="763">
        <v>0.18165810104978342</v>
      </c>
      <c r="Q39" s="763">
        <v>0.088452221034640677</v>
      </c>
      <c r="R39" s="763">
        <v>0.097632056461826433</v>
      </c>
      <c r="S39" s="763">
        <v>0.093358417429616564</v>
      </c>
      <c r="T39" s="763">
        <v>0.025527094469381482</v>
      </c>
      <c r="U39" s="763">
        <v>0.42253364023035889</v>
      </c>
      <c r="V39" s="763">
        <v>0.1159194804684764</v>
      </c>
      <c r="W39" s="763">
        <v>0.17254143386788756</v>
      </c>
      <c r="X39" s="763">
        <v>0.091439969015957329</v>
      </c>
      <c r="Y39" s="763">
        <v>0.094145893358239391</v>
      </c>
      <c r="Z39" s="763">
        <v>0.081720880139055777</v>
      </c>
      <c r="AA39" s="763">
        <v>0.021698702920024709</v>
      </c>
      <c r="AB39" s="763">
        <v>0.02431870034916352</v>
      </c>
      <c r="AC39" s="763">
        <v>0.047346107678643487</v>
      </c>
      <c r="AD39" s="763">
        <v>0.069868345063729811</v>
      </c>
      <c r="AE39" s="763">
        <v>0.0052571398340034055</v>
      </c>
      <c r="AF39" s="763">
        <v>0.0089744637905649436</v>
      </c>
      <c r="AG39" s="763">
        <v>0.012873188099773109</v>
      </c>
      <c r="AH39" s="763">
        <v>0.0072642328695469247</v>
      </c>
      <c r="AI39" s="763">
        <v>0.37961516088050173</v>
      </c>
      <c r="AJ39" s="763">
        <v>0.4216621765389732</v>
      </c>
      <c r="AK39" s="763">
        <v>0.43214451405258042</v>
      </c>
      <c r="AL39" s="763">
        <v>0.5102370756301472</v>
      </c>
      <c r="AM39" s="763">
        <v>0.18721805470625844</v>
      </c>
      <c r="AN39" s="763">
        <v>0.10533303828280594</v>
      </c>
      <c r="AO39" s="764">
        <v>0.0413203654582965</v>
      </c>
      <c r="AP39" s="394"/>
      <c r="AQ39" s="397"/>
      <c r="AR39" s="398"/>
      <c r="AS39" s="398"/>
    </row>
    <row r="40" spans="1:45">
      <c r="A40" s="396">
        <v>333</v>
      </c>
      <c r="B40" s="761" t="s">
        <v>286</v>
      </c>
      <c r="C40" s="762">
        <v>33680</v>
      </c>
      <c r="D40" s="762">
        <v>29054</v>
      </c>
      <c r="E40" s="762">
        <v>19921</v>
      </c>
      <c r="F40" s="762">
        <v>4247</v>
      </c>
      <c r="G40" s="762">
        <v>4164</v>
      </c>
      <c r="H40" s="762">
        <v>4029</v>
      </c>
      <c r="I40" s="762">
        <v>7481</v>
      </c>
      <c r="J40" s="763">
        <v>0.21083729216152017</v>
      </c>
      <c r="K40" s="763">
        <v>0.33330682382782739</v>
      </c>
      <c r="L40" s="763">
        <v>0.21449726419356463</v>
      </c>
      <c r="M40" s="763">
        <v>0.40587721436730639</v>
      </c>
      <c r="N40" s="763">
        <v>0.18836230419623545</v>
      </c>
      <c r="O40" s="763">
        <v>0.1160524851596904</v>
      </c>
      <c r="P40" s="763">
        <v>0.16404976607167221</v>
      </c>
      <c r="Q40" s="763">
        <v>0.17656303082022484</v>
      </c>
      <c r="R40" s="763">
        <v>0.13643520300518247</v>
      </c>
      <c r="S40" s="763">
        <v>0.187158511385398</v>
      </c>
      <c r="T40" s="763">
        <v>0.031378699361596589</v>
      </c>
      <c r="U40" s="763">
        <v>0.18322895990215513</v>
      </c>
      <c r="V40" s="763">
        <v>0.11650404969597324</v>
      </c>
      <c r="W40" s="763">
        <v>0.16267943872475563</v>
      </c>
      <c r="X40" s="763">
        <v>0.17838553723922165</v>
      </c>
      <c r="Y40" s="763">
        <v>0.13675856121390381</v>
      </c>
      <c r="Z40" s="763">
        <v>0.18895682245495937</v>
      </c>
      <c r="AA40" s="763">
        <v>0.033486630769031141</v>
      </c>
      <c r="AB40" s="763">
        <v>0.061875372132467521</v>
      </c>
      <c r="AC40" s="763">
        <v>0.12674431888034005</v>
      </c>
      <c r="AD40" s="763">
        <v>0.18476623079385748</v>
      </c>
      <c r="AE40" s="763">
        <v>0.010765472991833964</v>
      </c>
      <c r="AF40" s="763">
        <v>0.023535621626939021</v>
      </c>
      <c r="AG40" s="763">
        <v>0.039045825871405475</v>
      </c>
      <c r="AH40" s="763">
        <v>0.0071410561692371709</v>
      </c>
      <c r="AI40" s="763">
        <v>0.41264037753464833</v>
      </c>
      <c r="AJ40" s="763">
        <v>0.41993404298181408</v>
      </c>
      <c r="AK40" s="763">
        <v>0.45027328915743586</v>
      </c>
      <c r="AL40" s="763">
        <v>0.52672419016569094</v>
      </c>
      <c r="AM40" s="763">
        <v>0.22357493052018546</v>
      </c>
      <c r="AN40" s="763">
        <v>0.0823040380047506</v>
      </c>
      <c r="AO40" s="764">
        <v>0.052507404246774761</v>
      </c>
      <c r="AP40" s="394"/>
      <c r="AQ40" s="397"/>
      <c r="AR40" s="398"/>
      <c r="AS40" s="398"/>
    </row>
    <row r="41" spans="1:45">
      <c r="A41" s="396">
        <v>334</v>
      </c>
      <c r="B41" s="761" t="s">
        <v>291</v>
      </c>
      <c r="C41" s="762">
        <v>18946</v>
      </c>
      <c r="D41" s="762">
        <v>16217</v>
      </c>
      <c r="E41" s="762">
        <v>15809</v>
      </c>
      <c r="F41" s="762">
        <v>3363</v>
      </c>
      <c r="G41" s="762">
        <v>3254</v>
      </c>
      <c r="H41" s="762">
        <v>3197</v>
      </c>
      <c r="I41" s="762">
        <v>5995</v>
      </c>
      <c r="J41" s="763">
        <v>0.15137759949329677</v>
      </c>
      <c r="K41" s="763">
        <v>0.2128972125738415</v>
      </c>
      <c r="L41" s="763">
        <v>0.15048390157505226</v>
      </c>
      <c r="M41" s="763">
        <v>0.2736725072684093</v>
      </c>
      <c r="N41" s="763">
        <v>0.67925462360875555</v>
      </c>
      <c r="O41" s="763">
        <v>0.050525855812724868</v>
      </c>
      <c r="P41" s="763">
        <v>0.041237999939650695</v>
      </c>
      <c r="Q41" s="763">
        <v>0.027117879841615455</v>
      </c>
      <c r="R41" s="763">
        <v>0.052121435330153711</v>
      </c>
      <c r="S41" s="763">
        <v>0.11812954282973888</v>
      </c>
      <c r="T41" s="763">
        <v>0.03161266263736083</v>
      </c>
      <c r="U41" s="763">
        <v>0.59513303474882184</v>
      </c>
      <c r="V41" s="763">
        <v>0.059388302361726604</v>
      </c>
      <c r="W41" s="763">
        <v>0.042104023320623761</v>
      </c>
      <c r="X41" s="763">
        <v>0.033047454950821495</v>
      </c>
      <c r="Y41" s="763">
        <v>0.085512818029511037</v>
      </c>
      <c r="Z41" s="763">
        <v>0.14361273734744737</v>
      </c>
      <c r="AA41" s="763">
        <v>0.041201629241048025</v>
      </c>
      <c r="AB41" s="763">
        <v>0.026698636706071605</v>
      </c>
      <c r="AC41" s="763">
        <v>0.051099488963689141</v>
      </c>
      <c r="AD41" s="763">
        <v>0.068423291616288087</v>
      </c>
      <c r="AE41" s="763">
        <v>0.0021611160138455868</v>
      </c>
      <c r="AF41" s="763">
        <v>0.0050232250350363064</v>
      </c>
      <c r="AG41" s="763">
        <v>0.0096028766874893031</v>
      </c>
      <c r="AH41" s="763">
        <v>0.0064606866605678619</v>
      </c>
      <c r="AI41" s="763">
        <v>0.31755554926624285</v>
      </c>
      <c r="AJ41" s="763">
        <v>0.35025214873673388</v>
      </c>
      <c r="AK41" s="763">
        <v>0.37236029754976147</v>
      </c>
      <c r="AL41" s="763">
        <v>0.45861635905133069</v>
      </c>
      <c r="AM41" s="763">
        <v>0.16796903443103536</v>
      </c>
      <c r="AN41" s="763">
        <v>0.053309405679299052</v>
      </c>
      <c r="AO41" s="764">
        <v>0.063634638497058638</v>
      </c>
      <c r="AP41" s="394"/>
      <c r="AQ41" s="397"/>
      <c r="AR41" s="398"/>
      <c r="AS41" s="398"/>
    </row>
    <row r="42" spans="1:45">
      <c r="A42" s="396">
        <v>335</v>
      </c>
      <c r="B42" s="761" t="s">
        <v>315</v>
      </c>
      <c r="C42" s="762">
        <v>26465</v>
      </c>
      <c r="D42" s="762">
        <v>22690</v>
      </c>
      <c r="E42" s="762">
        <v>17366</v>
      </c>
      <c r="F42" s="762">
        <v>3595</v>
      </c>
      <c r="G42" s="762">
        <v>3653</v>
      </c>
      <c r="H42" s="762">
        <v>3440</v>
      </c>
      <c r="I42" s="762">
        <v>6678</v>
      </c>
      <c r="J42" s="763">
        <v>0.24995276780653694</v>
      </c>
      <c r="K42" s="763">
        <v>0.352502926227558</v>
      </c>
      <c r="L42" s="763">
        <v>0.20753195900034549</v>
      </c>
      <c r="M42" s="763">
        <v>0.40461669672198675</v>
      </c>
      <c r="N42" s="763">
        <v>0.28521111843400976</v>
      </c>
      <c r="O42" s="763">
        <v>0.084406480829779751</v>
      </c>
      <c r="P42" s="763">
        <v>0.084678657378287822</v>
      </c>
      <c r="Q42" s="763">
        <v>0.14004581917757181</v>
      </c>
      <c r="R42" s="763">
        <v>0.13424216467209085</v>
      </c>
      <c r="S42" s="763">
        <v>0.196163278861228</v>
      </c>
      <c r="T42" s="763">
        <v>0.075252480647032008</v>
      </c>
      <c r="U42" s="763">
        <v>0.34322815235982751</v>
      </c>
      <c r="V42" s="763">
        <v>0.087605414556729849</v>
      </c>
      <c r="W42" s="763">
        <v>0.079886561490705166</v>
      </c>
      <c r="X42" s="763">
        <v>0.12869819883121164</v>
      </c>
      <c r="Y42" s="763">
        <v>0.11708628184090267</v>
      </c>
      <c r="Z42" s="763">
        <v>0.17513157134456406</v>
      </c>
      <c r="AA42" s="763">
        <v>0.0683638195760592</v>
      </c>
      <c r="AB42" s="763">
        <v>0.050889193642838448</v>
      </c>
      <c r="AC42" s="763">
        <v>0.10317870440431681</v>
      </c>
      <c r="AD42" s="763">
        <v>0.14446687425418162</v>
      </c>
      <c r="AE42" s="763">
        <v>0.0057679958414691814</v>
      </c>
      <c r="AF42" s="763">
        <v>0.01459088623929115</v>
      </c>
      <c r="AG42" s="763">
        <v>0.025317000254029134</v>
      </c>
      <c r="AH42" s="763">
        <v>0.007817941451934679</v>
      </c>
      <c r="AI42" s="763">
        <v>0.39260189020077663</v>
      </c>
      <c r="AJ42" s="763">
        <v>0.35984389532355815</v>
      </c>
      <c r="AK42" s="763">
        <v>0.45016337757179314</v>
      </c>
      <c r="AL42" s="763">
        <v>0.48294281454728422</v>
      </c>
      <c r="AM42" s="763">
        <v>0.23270608907692311</v>
      </c>
      <c r="AN42" s="763">
        <v>0.092801813716228962</v>
      </c>
      <c r="AO42" s="764">
        <v>0.04618219509386156</v>
      </c>
      <c r="AP42" s="394"/>
      <c r="AQ42" s="397"/>
      <c r="AR42" s="398"/>
      <c r="AS42" s="398"/>
    </row>
    <row r="43" spans="1:45">
      <c r="A43" s="396">
        <v>336</v>
      </c>
      <c r="B43" s="761" t="s">
        <v>328</v>
      </c>
      <c r="C43" s="762">
        <v>24066</v>
      </c>
      <c r="D43" s="762">
        <v>20670</v>
      </c>
      <c r="E43" s="762">
        <v>15168</v>
      </c>
      <c r="F43" s="762">
        <v>3290</v>
      </c>
      <c r="G43" s="762">
        <v>3127</v>
      </c>
      <c r="H43" s="762">
        <v>3027</v>
      </c>
      <c r="I43" s="762">
        <v>5724</v>
      </c>
      <c r="J43" s="763">
        <v>0.25679381700324111</v>
      </c>
      <c r="K43" s="763">
        <v>0.3527607186106364</v>
      </c>
      <c r="L43" s="763">
        <v>0.22501318565400835</v>
      </c>
      <c r="M43" s="763">
        <v>0.41412751783386559</v>
      </c>
      <c r="N43" s="763">
        <v>0.19858482581684567</v>
      </c>
      <c r="O43" s="763">
        <v>0.092881629255285925</v>
      </c>
      <c r="P43" s="763">
        <v>0.056114463595863411</v>
      </c>
      <c r="Q43" s="763">
        <v>0.15388886319583484</v>
      </c>
      <c r="R43" s="763">
        <v>0.17594714538087367</v>
      </c>
      <c r="S43" s="763">
        <v>0.23498989223017877</v>
      </c>
      <c r="T43" s="763">
        <v>0.087593180525117692</v>
      </c>
      <c r="U43" s="763">
        <v>0.25192308670804608</v>
      </c>
      <c r="V43" s="763">
        <v>0.105891118818622</v>
      </c>
      <c r="W43" s="763">
        <v>0.058029886124434896</v>
      </c>
      <c r="X43" s="763">
        <v>0.14073435741899715</v>
      </c>
      <c r="Y43" s="763">
        <v>0.16417294244096098</v>
      </c>
      <c r="Z43" s="763">
        <v>0.20721225061705822</v>
      </c>
      <c r="AA43" s="763">
        <v>0.072036357871880757</v>
      </c>
      <c r="AB43" s="763">
        <v>0.063540332971462957</v>
      </c>
      <c r="AC43" s="763">
        <v>0.12385053197840179</v>
      </c>
      <c r="AD43" s="763">
        <v>0.18372799429938447</v>
      </c>
      <c r="AE43" s="763">
        <v>0.018039853427719205</v>
      </c>
      <c r="AF43" s="763">
        <v>0.034765401867276981</v>
      </c>
      <c r="AG43" s="763">
        <v>0.057903237503471809</v>
      </c>
      <c r="AH43" s="763">
        <v>0.0071936088432446492</v>
      </c>
      <c r="AI43" s="763">
        <v>0.38823117046806949</v>
      </c>
      <c r="AJ43" s="763">
        <v>0.3435310522622842</v>
      </c>
      <c r="AK43" s="763">
        <v>0.40119308586666014</v>
      </c>
      <c r="AL43" s="763">
        <v>0.46536672805873774</v>
      </c>
      <c r="AM43" s="763">
        <v>0.1947267958983194</v>
      </c>
      <c r="AN43" s="763">
        <v>0.14077952297847587</v>
      </c>
      <c r="AO43" s="764">
        <v>0.16917194092827</v>
      </c>
      <c r="AP43" s="394"/>
      <c r="AQ43" s="397"/>
      <c r="AR43" s="398"/>
      <c r="AS43" s="398"/>
    </row>
    <row r="44" spans="1:45">
      <c r="A44" s="396">
        <v>340</v>
      </c>
      <c r="B44" s="761" t="s">
        <v>246</v>
      </c>
      <c r="C44" s="762">
        <v>12791</v>
      </c>
      <c r="D44" s="762">
        <v>11003</v>
      </c>
      <c r="E44" s="762">
        <v>5364</v>
      </c>
      <c r="F44" s="762">
        <v>1089</v>
      </c>
      <c r="G44" s="762">
        <v>1178</v>
      </c>
      <c r="H44" s="762">
        <v>1103</v>
      </c>
      <c r="I44" s="762">
        <v>1994</v>
      </c>
      <c r="J44" s="763">
        <v>0.31225080134469552</v>
      </c>
      <c r="K44" s="763">
        <v>0.39983371761457409</v>
      </c>
      <c r="L44" s="763">
        <v>0.35961968680089496</v>
      </c>
      <c r="M44" s="763">
        <v>0.55091093560080517</v>
      </c>
      <c r="N44" s="763">
        <v>0.25271498455732921</v>
      </c>
      <c r="O44" s="763">
        <v>0.057161029131465216</v>
      </c>
      <c r="P44" s="763">
        <v>0.09682663381912035</v>
      </c>
      <c r="Q44" s="763">
        <v>0.033102944364507024</v>
      </c>
      <c r="R44" s="763">
        <v>0.0868983129734368</v>
      </c>
      <c r="S44" s="763">
        <v>0.22151489673556118</v>
      </c>
      <c r="T44" s="763">
        <v>0.25178119841858021</v>
      </c>
      <c r="U44" s="763">
        <v>0.17170939821385575</v>
      </c>
      <c r="V44" s="763">
        <v>0.047889763644900288</v>
      </c>
      <c r="W44" s="763">
        <v>0.087239270515210757</v>
      </c>
      <c r="X44" s="763">
        <v>0.038122088062936946</v>
      </c>
      <c r="Y44" s="763">
        <v>0.10740688260731221</v>
      </c>
      <c r="Z44" s="763">
        <v>0.262210833352998</v>
      </c>
      <c r="AA44" s="763">
        <v>0.2854217636027862</v>
      </c>
      <c r="AB44" s="763">
        <v>0.0083036104249818131</v>
      </c>
      <c r="AC44" s="763">
        <v>0.017051035146727445</v>
      </c>
      <c r="AD44" s="763">
        <v>0.024167719310227511</v>
      </c>
      <c r="AE44" s="763">
        <v>0.0020623341816946835</v>
      </c>
      <c r="AF44" s="763">
        <v>0.00431100677481886</v>
      </c>
      <c r="AG44" s="763">
        <v>0.0073110655413540053</v>
      </c>
      <c r="AH44" s="763">
        <v>0.0076690329790222653</v>
      </c>
      <c r="AI44" s="763">
        <v>0.366332120020605</v>
      </c>
      <c r="AJ44" s="763">
        <v>0.44533886601659428</v>
      </c>
      <c r="AK44" s="763">
        <v>0.46924031505962316</v>
      </c>
      <c r="AL44" s="763">
        <v>0.56798506568466389</v>
      </c>
      <c r="AM44" s="763">
        <v>0.22733189021396774</v>
      </c>
      <c r="AN44" s="763">
        <v>0.053553279649753718</v>
      </c>
      <c r="AO44" s="764">
        <v>0.056487695749440715</v>
      </c>
      <c r="AP44" s="394"/>
      <c r="AQ44" s="397"/>
      <c r="AR44" s="398"/>
      <c r="AS44" s="398"/>
    </row>
    <row r="45" spans="1:45">
      <c r="A45" s="396">
        <v>341</v>
      </c>
      <c r="B45" s="761" t="s">
        <v>254</v>
      </c>
      <c r="C45" s="762">
        <v>37231</v>
      </c>
      <c r="D45" s="762">
        <v>31876</v>
      </c>
      <c r="E45" s="762">
        <v>24384</v>
      </c>
      <c r="F45" s="762">
        <v>5049</v>
      </c>
      <c r="G45" s="762">
        <v>5031</v>
      </c>
      <c r="H45" s="762">
        <v>4828</v>
      </c>
      <c r="I45" s="762">
        <v>9476</v>
      </c>
      <c r="J45" s="763">
        <v>0.26649834815073459</v>
      </c>
      <c r="K45" s="763">
        <v>0.36464603602796991</v>
      </c>
      <c r="L45" s="763">
        <v>0.26135990813648297</v>
      </c>
      <c r="M45" s="763">
        <v>0.44091448801022104</v>
      </c>
      <c r="N45" s="763">
        <v>0.25592204457904305</v>
      </c>
      <c r="O45" s="763">
        <v>0.046618324111004743</v>
      </c>
      <c r="P45" s="763">
        <v>0.079180032125682073</v>
      </c>
      <c r="Q45" s="763">
        <v>0.0838659754061955</v>
      </c>
      <c r="R45" s="763">
        <v>0.07756685196833854</v>
      </c>
      <c r="S45" s="763">
        <v>0.28119084792691684</v>
      </c>
      <c r="T45" s="763">
        <v>0.17565592388281939</v>
      </c>
      <c r="U45" s="763">
        <v>0.30453986972959429</v>
      </c>
      <c r="V45" s="763">
        <v>0.050932936204884052</v>
      </c>
      <c r="W45" s="763">
        <v>0.082974121951180688</v>
      </c>
      <c r="X45" s="763">
        <v>0.080298513538641814</v>
      </c>
      <c r="Y45" s="763">
        <v>0.073048795935261673</v>
      </c>
      <c r="Z45" s="763">
        <v>0.25312439496040118</v>
      </c>
      <c r="AA45" s="763">
        <v>0.15508136768003639</v>
      </c>
      <c r="AB45" s="763">
        <v>0.0443212204472509</v>
      </c>
      <c r="AC45" s="763">
        <v>0.083176180845824968</v>
      </c>
      <c r="AD45" s="763">
        <v>0.11624277689283921</v>
      </c>
      <c r="AE45" s="763">
        <v>0.0099588883317699786</v>
      </c>
      <c r="AF45" s="763">
        <v>0.018719902591819649</v>
      </c>
      <c r="AG45" s="763">
        <v>0.02942458031862474</v>
      </c>
      <c r="AH45" s="763">
        <v>0.0086375278054614535</v>
      </c>
      <c r="AI45" s="763">
        <v>0.41025484139891749</v>
      </c>
      <c r="AJ45" s="763">
        <v>0.35742615615375911</v>
      </c>
      <c r="AK45" s="763">
        <v>0.39879005777246862</v>
      </c>
      <c r="AL45" s="763">
        <v>0.50915140363292144</v>
      </c>
      <c r="AM45" s="763">
        <v>0.18652328668431631</v>
      </c>
      <c r="AN45" s="763">
        <v>0.088179205500792363</v>
      </c>
      <c r="AO45" s="764">
        <v>0.061023622047244076</v>
      </c>
      <c r="AP45" s="394"/>
      <c r="AQ45" s="397"/>
      <c r="AR45" s="398"/>
      <c r="AS45" s="398"/>
    </row>
    <row r="46" spans="1:45">
      <c r="A46" s="396">
        <v>342</v>
      </c>
      <c r="B46" s="761" t="s">
        <v>298</v>
      </c>
      <c r="C46" s="762">
        <v>14791</v>
      </c>
      <c r="D46" s="762">
        <v>12743</v>
      </c>
      <c r="E46" s="762">
        <v>9386</v>
      </c>
      <c r="F46" s="762">
        <v>1985</v>
      </c>
      <c r="G46" s="762">
        <v>1979</v>
      </c>
      <c r="H46" s="762">
        <v>1863</v>
      </c>
      <c r="I46" s="762">
        <v>3559</v>
      </c>
      <c r="J46" s="763">
        <v>0.17118518017713477</v>
      </c>
      <c r="K46" s="763">
        <v>0.28961725519793219</v>
      </c>
      <c r="L46" s="763">
        <v>0.16780311101640741</v>
      </c>
      <c r="M46" s="763">
        <v>0.32218393049757915</v>
      </c>
      <c r="N46" s="763">
        <v>0.39745265032948363</v>
      </c>
      <c r="O46" s="763">
        <v>0.09658043037772765</v>
      </c>
      <c r="P46" s="763">
        <v>0.079200370765605627</v>
      </c>
      <c r="Q46" s="763">
        <v>0.097330610566236764</v>
      </c>
      <c r="R46" s="763">
        <v>0.062710049550416549</v>
      </c>
      <c r="S46" s="763">
        <v>0.17441394063398982</v>
      </c>
      <c r="T46" s="763">
        <v>0.092311947776539824</v>
      </c>
      <c r="U46" s="763">
        <v>0.42289965897299858</v>
      </c>
      <c r="V46" s="763">
        <v>0.10338994619667584</v>
      </c>
      <c r="W46" s="763">
        <v>0.074189054247234681</v>
      </c>
      <c r="X46" s="763">
        <v>0.091129627762314147</v>
      </c>
      <c r="Y46" s="763">
        <v>0.052746565817391108</v>
      </c>
      <c r="Z46" s="763">
        <v>0.16816069158572391</v>
      </c>
      <c r="AA46" s="763">
        <v>0.087484455417661519</v>
      </c>
      <c r="AB46" s="763">
        <v>0.0077142705849918055</v>
      </c>
      <c r="AC46" s="763">
        <v>0.015758250428419662</v>
      </c>
      <c r="AD46" s="763">
        <v>0.022037038691147707</v>
      </c>
      <c r="AE46" s="763">
        <v>0.0020248176296191064</v>
      </c>
      <c r="AF46" s="763">
        <v>0.0050082471135102754</v>
      </c>
      <c r="AG46" s="763">
        <v>0.00714039559838267</v>
      </c>
      <c r="AH46" s="763">
        <v>0.0088857759014746331</v>
      </c>
      <c r="AI46" s="763">
        <v>0.35004696026537968</v>
      </c>
      <c r="AJ46" s="763">
        <v>0.36281898178907712</v>
      </c>
      <c r="AK46" s="763">
        <v>0.413904618656398</v>
      </c>
      <c r="AL46" s="763">
        <v>0.46831584883377575</v>
      </c>
      <c r="AM46" s="763">
        <v>0.15102533825306583</v>
      </c>
      <c r="AN46" s="763">
        <v>0.05205868433506864</v>
      </c>
      <c r="AO46" s="764">
        <v>0.0441082463243128</v>
      </c>
      <c r="AP46" s="394"/>
      <c r="AQ46" s="397"/>
      <c r="AR46" s="398"/>
      <c r="AS46" s="398"/>
    </row>
    <row r="47" spans="1:45">
      <c r="A47" s="396">
        <v>343</v>
      </c>
      <c r="B47" s="761" t="s">
        <v>287</v>
      </c>
      <c r="C47" s="762">
        <v>21020</v>
      </c>
      <c r="D47" s="762">
        <v>18026</v>
      </c>
      <c r="E47" s="762">
        <v>14272</v>
      </c>
      <c r="F47" s="762">
        <v>2951</v>
      </c>
      <c r="G47" s="762">
        <v>2913</v>
      </c>
      <c r="H47" s="762">
        <v>2810</v>
      </c>
      <c r="I47" s="762">
        <v>5598</v>
      </c>
      <c r="J47" s="763">
        <v>0.17483349191246431</v>
      </c>
      <c r="K47" s="763">
        <v>0.2462452340575092</v>
      </c>
      <c r="L47" s="763">
        <v>0.15716087443946186</v>
      </c>
      <c r="M47" s="763">
        <v>0.27232012515927834</v>
      </c>
      <c r="N47" s="763">
        <v>0.58008229585969384</v>
      </c>
      <c r="O47" s="763">
        <v>0.10676132864755475</v>
      </c>
      <c r="P47" s="763">
        <v>0.04367398684049438</v>
      </c>
      <c r="Q47" s="763">
        <v>0.068895657123807935</v>
      </c>
      <c r="R47" s="763">
        <v>0.037536876423890836</v>
      </c>
      <c r="S47" s="763">
        <v>0.11119122652626748</v>
      </c>
      <c r="T47" s="763">
        <v>0.051858628578290607</v>
      </c>
      <c r="U47" s="763">
        <v>0.60282178451450852</v>
      </c>
      <c r="V47" s="763">
        <v>0.10524524505724808</v>
      </c>
      <c r="W47" s="763">
        <v>0.045124763071517728</v>
      </c>
      <c r="X47" s="763">
        <v>0.059915938544989486</v>
      </c>
      <c r="Y47" s="763">
        <v>0.035807381959533383</v>
      </c>
      <c r="Z47" s="763">
        <v>0.096148298930547216</v>
      </c>
      <c r="AA47" s="763">
        <v>0.054936587921655629</v>
      </c>
      <c r="AB47" s="763">
        <v>0.013733844090885952</v>
      </c>
      <c r="AC47" s="763">
        <v>0.023882237028712974</v>
      </c>
      <c r="AD47" s="763">
        <v>0.033742919341618952</v>
      </c>
      <c r="AE47" s="763">
        <v>0.004836257231195162</v>
      </c>
      <c r="AF47" s="763">
        <v>0.0086208684776919852</v>
      </c>
      <c r="AG47" s="763">
        <v>0.011705210262946414</v>
      </c>
      <c r="AH47" s="763">
        <v>0.00781996643633239</v>
      </c>
      <c r="AI47" s="763">
        <v>0.35082631458565522</v>
      </c>
      <c r="AJ47" s="763">
        <v>0.31635108662758954</v>
      </c>
      <c r="AK47" s="763">
        <v>0.34754433898933357</v>
      </c>
      <c r="AL47" s="763">
        <v>0.44369543697426761</v>
      </c>
      <c r="AM47" s="763">
        <v>0.16094852192446724</v>
      </c>
      <c r="AN47" s="763">
        <v>0.059562321598477651</v>
      </c>
      <c r="AO47" s="764">
        <v>0.04862668161434977</v>
      </c>
      <c r="AP47" s="394"/>
      <c r="AQ47" s="397"/>
      <c r="AR47" s="398"/>
      <c r="AS47" s="398"/>
    </row>
    <row r="48" spans="1:45">
      <c r="A48" s="396">
        <v>344</v>
      </c>
      <c r="B48" s="761" t="s">
        <v>326</v>
      </c>
      <c r="C48" s="762">
        <v>25888</v>
      </c>
      <c r="D48" s="762">
        <v>22259</v>
      </c>
      <c r="E48" s="762">
        <v>17908</v>
      </c>
      <c r="F48" s="762">
        <v>3793</v>
      </c>
      <c r="G48" s="762">
        <v>3654</v>
      </c>
      <c r="H48" s="762">
        <v>3564</v>
      </c>
      <c r="I48" s="762">
        <v>6897</v>
      </c>
      <c r="J48" s="763">
        <v>0.20067212608158225</v>
      </c>
      <c r="K48" s="763">
        <v>0.28951698735236236</v>
      </c>
      <c r="L48" s="763">
        <v>0.18142729506365871</v>
      </c>
      <c r="M48" s="763">
        <v>0.30656045415172739</v>
      </c>
      <c r="N48" s="763">
        <v>0.50355034687394684</v>
      </c>
      <c r="O48" s="763">
        <v>0.070598777386874673</v>
      </c>
      <c r="P48" s="763">
        <v>0.053714517829026795</v>
      </c>
      <c r="Q48" s="763">
        <v>0.0702947404545721</v>
      </c>
      <c r="R48" s="763">
        <v>0.065015719017059548</v>
      </c>
      <c r="S48" s="763">
        <v>0.10584697489271067</v>
      </c>
      <c r="T48" s="763">
        <v>0.13097892354580939</v>
      </c>
      <c r="U48" s="763">
        <v>0.54877250561326585</v>
      </c>
      <c r="V48" s="763">
        <v>0.0711458863416309</v>
      </c>
      <c r="W48" s="763">
        <v>0.0518627390511024</v>
      </c>
      <c r="X48" s="763">
        <v>0.064172275269856111</v>
      </c>
      <c r="Y48" s="763">
        <v>0.059623705379264223</v>
      </c>
      <c r="Z48" s="763">
        <v>0.091151474452817446</v>
      </c>
      <c r="AA48" s="763">
        <v>0.11327141389206302</v>
      </c>
      <c r="AB48" s="763">
        <v>0.008355747547104846</v>
      </c>
      <c r="AC48" s="763">
        <v>0.015904962974604687</v>
      </c>
      <c r="AD48" s="763">
        <v>0.022680830188942749</v>
      </c>
      <c r="AE48" s="763">
        <v>0.0025697002664607171</v>
      </c>
      <c r="AF48" s="763">
        <v>0.0043016516725762318</v>
      </c>
      <c r="AG48" s="763">
        <v>0.0062567148846280549</v>
      </c>
      <c r="AH48" s="763">
        <v>0.011399210476164129</v>
      </c>
      <c r="AI48" s="763">
        <v>0.33602888969565292</v>
      </c>
      <c r="AJ48" s="763">
        <v>0.35987291930772147</v>
      </c>
      <c r="AK48" s="763">
        <v>0.39156963079245055</v>
      </c>
      <c r="AL48" s="763">
        <v>0.46162490214410051</v>
      </c>
      <c r="AM48" s="763">
        <v>0.17881913094313498</v>
      </c>
      <c r="AN48" s="763">
        <v>0.066864956736711986</v>
      </c>
      <c r="AO48" s="764">
        <v>0.074547688184051872</v>
      </c>
      <c r="AP48" s="394"/>
      <c r="AQ48" s="397"/>
      <c r="AR48" s="398"/>
      <c r="AS48" s="398"/>
    </row>
    <row r="49" spans="1:45">
      <c r="A49" s="396">
        <v>350</v>
      </c>
      <c r="B49" s="761" t="s">
        <v>187</v>
      </c>
      <c r="C49" s="762">
        <v>27982</v>
      </c>
      <c r="D49" s="762">
        <v>24074</v>
      </c>
      <c r="E49" s="762">
        <v>17851</v>
      </c>
      <c r="F49" s="762">
        <v>3816</v>
      </c>
      <c r="G49" s="762">
        <v>3690</v>
      </c>
      <c r="H49" s="762">
        <v>3542</v>
      </c>
      <c r="I49" s="762">
        <v>6803</v>
      </c>
      <c r="J49" s="763">
        <v>0.18390393824601531</v>
      </c>
      <c r="K49" s="763">
        <v>0.28980422960895674</v>
      </c>
      <c r="L49" s="763">
        <v>0.17965380090751229</v>
      </c>
      <c r="M49" s="763">
        <v>0.33740318805535796</v>
      </c>
      <c r="N49" s="763">
        <v>0.37073716149081204</v>
      </c>
      <c r="O49" s="763">
        <v>0.13820338492190287</v>
      </c>
      <c r="P49" s="763">
        <v>0.18826441083349826</v>
      </c>
      <c r="Q49" s="763">
        <v>0.0906786710700521</v>
      </c>
      <c r="R49" s="763">
        <v>0.073131422157320269</v>
      </c>
      <c r="S49" s="763">
        <v>0.084359945104909545</v>
      </c>
      <c r="T49" s="763">
        <v>0.054625004421504704</v>
      </c>
      <c r="U49" s="763">
        <v>0.39140808970820751</v>
      </c>
      <c r="V49" s="763">
        <v>0.13286054043934287</v>
      </c>
      <c r="W49" s="763">
        <v>0.18257140906860403</v>
      </c>
      <c r="X49" s="763">
        <v>0.083721342433339521</v>
      </c>
      <c r="Y49" s="763">
        <v>0.073380418536717812</v>
      </c>
      <c r="Z49" s="763">
        <v>0.0836055572049656</v>
      </c>
      <c r="AA49" s="763">
        <v>0.052452642608822528</v>
      </c>
      <c r="AB49" s="763">
        <v>0.057695050975685426</v>
      </c>
      <c r="AC49" s="763">
        <v>0.11554887277031024</v>
      </c>
      <c r="AD49" s="763">
        <v>0.16822011640525336</v>
      </c>
      <c r="AE49" s="763">
        <v>0.013174101647821417</v>
      </c>
      <c r="AF49" s="763">
        <v>0.026631002084156155</v>
      </c>
      <c r="AG49" s="763">
        <v>0.041323530540305117</v>
      </c>
      <c r="AH49" s="763">
        <v>0.0080155971744848911</v>
      </c>
      <c r="AI49" s="763">
        <v>0.39157451910999042</v>
      </c>
      <c r="AJ49" s="763">
        <v>0.34628678349283271</v>
      </c>
      <c r="AK49" s="763">
        <v>0.39862357510067437</v>
      </c>
      <c r="AL49" s="763">
        <v>0.44216151481382637</v>
      </c>
      <c r="AM49" s="763">
        <v>0.1746110423686206</v>
      </c>
      <c r="AN49" s="763">
        <v>0.08945036094632261</v>
      </c>
      <c r="AO49" s="764">
        <v>0.0813960002240771</v>
      </c>
      <c r="AP49" s="394"/>
      <c r="AQ49" s="397"/>
      <c r="AR49" s="398"/>
      <c r="AS49" s="398"/>
    </row>
    <row r="50" spans="1:45">
      <c r="A50" s="396">
        <v>351</v>
      </c>
      <c r="B50" s="761" t="s">
        <v>196</v>
      </c>
      <c r="C50" s="762">
        <v>16734</v>
      </c>
      <c r="D50" s="762">
        <v>14420</v>
      </c>
      <c r="E50" s="762">
        <v>11171</v>
      </c>
      <c r="F50" s="762">
        <v>2307</v>
      </c>
      <c r="G50" s="762">
        <v>2264</v>
      </c>
      <c r="H50" s="762">
        <v>2272</v>
      </c>
      <c r="I50" s="762">
        <v>4328</v>
      </c>
      <c r="J50" s="763">
        <v>0.15202581570455362</v>
      </c>
      <c r="K50" s="763">
        <v>0.22993611868634123</v>
      </c>
      <c r="L50" s="763">
        <v>0.15370154865276153</v>
      </c>
      <c r="M50" s="763">
        <v>0.26918356270107041</v>
      </c>
      <c r="N50" s="763">
        <v>0.52518067918452227</v>
      </c>
      <c r="O50" s="763">
        <v>0.12131956576347326</v>
      </c>
      <c r="P50" s="763">
        <v>0.098518923629090316</v>
      </c>
      <c r="Q50" s="763">
        <v>0.12941299034151019</v>
      </c>
      <c r="R50" s="763">
        <v>0.045568771090842043</v>
      </c>
      <c r="S50" s="763">
        <v>0.051707452446478036</v>
      </c>
      <c r="T50" s="763">
        <v>0.028291617544084043</v>
      </c>
      <c r="U50" s="763">
        <v>0.53133084850101986</v>
      </c>
      <c r="V50" s="763">
        <v>0.11953945875704777</v>
      </c>
      <c r="W50" s="763">
        <v>0.10023439730987124</v>
      </c>
      <c r="X50" s="763">
        <v>0.12347309793435356</v>
      </c>
      <c r="Y50" s="763">
        <v>0.046007319703910775</v>
      </c>
      <c r="Z50" s="763">
        <v>0.049968711885431866</v>
      </c>
      <c r="AA50" s="763">
        <v>0.029446165908364637</v>
      </c>
      <c r="AB50" s="763">
        <v>0.036215525127881232</v>
      </c>
      <c r="AC50" s="763">
        <v>0.072308230458968129</v>
      </c>
      <c r="AD50" s="763">
        <v>0.10673628620343439</v>
      </c>
      <c r="AE50" s="763">
        <v>0.0076173191934562319</v>
      </c>
      <c r="AF50" s="763">
        <v>0.01460633219437559</v>
      </c>
      <c r="AG50" s="763">
        <v>0.021953036216207603</v>
      </c>
      <c r="AH50" s="763">
        <v>0.00661484951551481</v>
      </c>
      <c r="AI50" s="763">
        <v>0.35770030545439518</v>
      </c>
      <c r="AJ50" s="763">
        <v>0.35944340011071069</v>
      </c>
      <c r="AK50" s="763">
        <v>0.35950420950293788</v>
      </c>
      <c r="AL50" s="763">
        <v>0.43657853896197379</v>
      </c>
      <c r="AM50" s="763">
        <v>0.18516739293361711</v>
      </c>
      <c r="AN50" s="763">
        <v>0.070813911796342749</v>
      </c>
      <c r="AO50" s="764">
        <v>0.080834303106257277</v>
      </c>
      <c r="AP50" s="394"/>
      <c r="AQ50" s="397"/>
      <c r="AR50" s="398"/>
      <c r="AS50" s="398"/>
    </row>
    <row r="51" spans="1:45">
      <c r="A51" s="396">
        <v>352</v>
      </c>
      <c r="B51" s="761" t="s">
        <v>256</v>
      </c>
      <c r="C51" s="762">
        <v>49335</v>
      </c>
      <c r="D51" s="762">
        <v>42429</v>
      </c>
      <c r="E51" s="762">
        <v>28036</v>
      </c>
      <c r="F51" s="762">
        <v>6132</v>
      </c>
      <c r="G51" s="762">
        <v>6099</v>
      </c>
      <c r="H51" s="762">
        <v>5538</v>
      </c>
      <c r="I51" s="762">
        <v>10267</v>
      </c>
      <c r="J51" s="763">
        <v>0.26291679335157592</v>
      </c>
      <c r="K51" s="763">
        <v>0.408642799718083</v>
      </c>
      <c r="L51" s="763">
        <v>0.27111570837494658</v>
      </c>
      <c r="M51" s="763">
        <v>0.50861135490098242</v>
      </c>
      <c r="N51" s="763">
        <v>0.15516225873072656</v>
      </c>
      <c r="O51" s="763">
        <v>0.069970690257266363</v>
      </c>
      <c r="P51" s="763">
        <v>0.10760299954254283</v>
      </c>
      <c r="Q51" s="763">
        <v>0.11094900462307629</v>
      </c>
      <c r="R51" s="763">
        <v>0.14454791368495659</v>
      </c>
      <c r="S51" s="763">
        <v>0.25966078511763691</v>
      </c>
      <c r="T51" s="763">
        <v>0.15210634804379439</v>
      </c>
      <c r="U51" s="763">
        <v>0.15345174112599852</v>
      </c>
      <c r="V51" s="763">
        <v>0.072780957417436662</v>
      </c>
      <c r="W51" s="763">
        <v>0.10936054413451381</v>
      </c>
      <c r="X51" s="763">
        <v>0.10938370481853928</v>
      </c>
      <c r="Y51" s="763">
        <v>0.14631431060549691</v>
      </c>
      <c r="Z51" s="763">
        <v>0.26024873522019371</v>
      </c>
      <c r="AA51" s="763">
        <v>0.14846000667782114</v>
      </c>
      <c r="AB51" s="763">
        <v>0.092832319461126328</v>
      </c>
      <c r="AC51" s="763">
        <v>0.17546964188323594</v>
      </c>
      <c r="AD51" s="763">
        <v>0.25731667137973452</v>
      </c>
      <c r="AE51" s="763">
        <v>0.0236676844328729</v>
      </c>
      <c r="AF51" s="763">
        <v>0.0466710001120366</v>
      </c>
      <c r="AG51" s="763">
        <v>0.086363027344413049</v>
      </c>
      <c r="AH51" s="763">
        <v>0.006237539204746268</v>
      </c>
      <c r="AI51" s="763">
        <v>0.39222960638200172</v>
      </c>
      <c r="AJ51" s="763">
        <v>0.40001213823822246</v>
      </c>
      <c r="AK51" s="763">
        <v>0.44112611481096664</v>
      </c>
      <c r="AL51" s="763">
        <v>0.510008205527184</v>
      </c>
      <c r="AM51" s="763">
        <v>0.22161454696679986</v>
      </c>
      <c r="AN51" s="763">
        <v>0.10838147359886492</v>
      </c>
      <c r="AO51" s="764">
        <v>0.080182622342702209</v>
      </c>
      <c r="AP51" s="394"/>
      <c r="AQ51" s="397"/>
      <c r="AR51" s="398"/>
      <c r="AS51" s="398"/>
    </row>
    <row r="52" spans="1:45">
      <c r="A52" s="396">
        <v>353</v>
      </c>
      <c r="B52" s="761" t="s">
        <v>273</v>
      </c>
      <c r="C52" s="762">
        <v>24231</v>
      </c>
      <c r="D52" s="762">
        <v>20893</v>
      </c>
      <c r="E52" s="762">
        <v>15694</v>
      </c>
      <c r="F52" s="762">
        <v>3312</v>
      </c>
      <c r="G52" s="762">
        <v>3226</v>
      </c>
      <c r="H52" s="762">
        <v>3148</v>
      </c>
      <c r="I52" s="762">
        <v>6008</v>
      </c>
      <c r="J52" s="763">
        <v>0.20061078783376665</v>
      </c>
      <c r="K52" s="763">
        <v>0.30249209099595126</v>
      </c>
      <c r="L52" s="763">
        <v>0.19701796865043966</v>
      </c>
      <c r="M52" s="763">
        <v>0.36028778729184252</v>
      </c>
      <c r="N52" s="763">
        <v>0.32972014603234456</v>
      </c>
      <c r="O52" s="763">
        <v>0.10285794774713879</v>
      </c>
      <c r="P52" s="763">
        <v>0.13246549073830757</v>
      </c>
      <c r="Q52" s="763">
        <v>0.14407812408527079</v>
      </c>
      <c r="R52" s="763">
        <v>0.10215022239720598</v>
      </c>
      <c r="S52" s="763">
        <v>0.1382473083278932</v>
      </c>
      <c r="T52" s="763">
        <v>0.050480760671839014</v>
      </c>
      <c r="U52" s="763">
        <v>0.36368417024555932</v>
      </c>
      <c r="V52" s="763">
        <v>0.10175341321541624</v>
      </c>
      <c r="W52" s="763">
        <v>0.12462527846691604</v>
      </c>
      <c r="X52" s="763">
        <v>0.137352134656911</v>
      </c>
      <c r="Y52" s="763">
        <v>0.0874096478839044</v>
      </c>
      <c r="Z52" s="763">
        <v>0.13758102285068155</v>
      </c>
      <c r="AA52" s="763">
        <v>0.047594332680611653</v>
      </c>
      <c r="AB52" s="763">
        <v>0.070665632049036434</v>
      </c>
      <c r="AC52" s="763">
        <v>0.134408753915384</v>
      </c>
      <c r="AD52" s="763">
        <v>0.19890969297918437</v>
      </c>
      <c r="AE52" s="763">
        <v>0.011439387674441139</v>
      </c>
      <c r="AF52" s="763">
        <v>0.022230751864733719</v>
      </c>
      <c r="AG52" s="763">
        <v>0.036933374233022058</v>
      </c>
      <c r="AH52" s="763">
        <v>0.0078059708169840505</v>
      </c>
      <c r="AI52" s="763">
        <v>0.43149762133261876</v>
      </c>
      <c r="AJ52" s="763">
        <v>0.37120726983282332</v>
      </c>
      <c r="AK52" s="763">
        <v>0.41667595897894194</v>
      </c>
      <c r="AL52" s="763">
        <v>0.51833261215244864</v>
      </c>
      <c r="AM52" s="763">
        <v>0.17929699427810197</v>
      </c>
      <c r="AN52" s="763">
        <v>0.092195947340184062</v>
      </c>
      <c r="AO52" s="764">
        <v>0.044348158531923025</v>
      </c>
      <c r="AP52" s="394"/>
      <c r="AQ52" s="397"/>
      <c r="AR52" s="398"/>
      <c r="AS52" s="398"/>
    </row>
    <row r="53" spans="1:45">
      <c r="A53" s="396">
        <v>354</v>
      </c>
      <c r="B53" s="761" t="s">
        <v>282</v>
      </c>
      <c r="C53" s="762">
        <v>21143</v>
      </c>
      <c r="D53" s="762">
        <v>18201</v>
      </c>
      <c r="E53" s="762">
        <v>12661</v>
      </c>
      <c r="F53" s="762">
        <v>2743</v>
      </c>
      <c r="G53" s="762">
        <v>2561</v>
      </c>
      <c r="H53" s="762">
        <v>2574</v>
      </c>
      <c r="I53" s="762">
        <v>4783</v>
      </c>
      <c r="J53" s="763">
        <v>0.20205268883318356</v>
      </c>
      <c r="K53" s="763">
        <v>0.29580021077348029</v>
      </c>
      <c r="L53" s="763">
        <v>0.20859331806334419</v>
      </c>
      <c r="M53" s="763">
        <v>0.3887875077661106</v>
      </c>
      <c r="N53" s="763">
        <v>0.31073819887507126</v>
      </c>
      <c r="O53" s="763">
        <v>0.10241323657913967</v>
      </c>
      <c r="P53" s="763">
        <v>0.1686591883019759</v>
      </c>
      <c r="Q53" s="763">
        <v>0.11624855188500621</v>
      </c>
      <c r="R53" s="763">
        <v>0.083729782571919584</v>
      </c>
      <c r="S53" s="763">
        <v>0.18323358222616443</v>
      </c>
      <c r="T53" s="763">
        <v>0.034977459560722853</v>
      </c>
      <c r="U53" s="763">
        <v>0.30593258139564766</v>
      </c>
      <c r="V53" s="763">
        <v>0.089544423018166064</v>
      </c>
      <c r="W53" s="763">
        <v>0.17652292456072122</v>
      </c>
      <c r="X53" s="763">
        <v>0.11851027829318349</v>
      </c>
      <c r="Y53" s="763">
        <v>0.091819065051259474</v>
      </c>
      <c r="Z53" s="763">
        <v>0.18376684587849068</v>
      </c>
      <c r="AA53" s="763">
        <v>0.033903881802531496</v>
      </c>
      <c r="AB53" s="763">
        <v>0.052248274678295369</v>
      </c>
      <c r="AC53" s="763">
        <v>0.10348912575157072</v>
      </c>
      <c r="AD53" s="763">
        <v>0.15153255442183375</v>
      </c>
      <c r="AE53" s="763">
        <v>0.0095067736945350124</v>
      </c>
      <c r="AF53" s="763">
        <v>0.018469720863562845</v>
      </c>
      <c r="AG53" s="763">
        <v>0.030356346212625659</v>
      </c>
      <c r="AH53" s="763">
        <v>0.0091898534183780679</v>
      </c>
      <c r="AI53" s="763">
        <v>0.42268199317915134</v>
      </c>
      <c r="AJ53" s="763">
        <v>0.40756087856947326</v>
      </c>
      <c r="AK53" s="763">
        <v>0.44856848583643155</v>
      </c>
      <c r="AL53" s="763">
        <v>0.48037824791263045</v>
      </c>
      <c r="AM53" s="763">
        <v>0.20464596155325127</v>
      </c>
      <c r="AN53" s="763">
        <v>0.083053492881804872</v>
      </c>
      <c r="AO53" s="764">
        <v>0.053076376273596071</v>
      </c>
      <c r="AP53" s="394"/>
      <c r="AQ53" s="397"/>
      <c r="AR53" s="398"/>
      <c r="AS53" s="398"/>
    </row>
    <row r="54" spans="1:45">
      <c r="A54" s="396">
        <v>355</v>
      </c>
      <c r="B54" s="761" t="s">
        <v>285</v>
      </c>
      <c r="C54" s="762">
        <v>21615</v>
      </c>
      <c r="D54" s="762">
        <v>18609</v>
      </c>
      <c r="E54" s="762">
        <v>11274</v>
      </c>
      <c r="F54" s="762">
        <v>2440</v>
      </c>
      <c r="G54" s="762">
        <v>2275</v>
      </c>
      <c r="H54" s="762">
        <v>2235</v>
      </c>
      <c r="I54" s="762">
        <v>4324</v>
      </c>
      <c r="J54" s="763">
        <v>0.22674068933610922</v>
      </c>
      <c r="K54" s="763">
        <v>0.34466847808733653</v>
      </c>
      <c r="L54" s="763">
        <v>0.24454497072911122</v>
      </c>
      <c r="M54" s="763">
        <v>0.41120250655303514</v>
      </c>
      <c r="N54" s="763">
        <v>0.31317591224680413</v>
      </c>
      <c r="O54" s="763">
        <v>0.090027375521176123</v>
      </c>
      <c r="P54" s="763">
        <v>0.0972309987374837</v>
      </c>
      <c r="Q54" s="763">
        <v>0.09670202921996994</v>
      </c>
      <c r="R54" s="763">
        <v>0.095696722815015664</v>
      </c>
      <c r="S54" s="763">
        <v>0.1745887627403587</v>
      </c>
      <c r="T54" s="763">
        <v>0.13257819871919158</v>
      </c>
      <c r="U54" s="763">
        <v>0.32319694049265857</v>
      </c>
      <c r="V54" s="763">
        <v>0.093833419033616916</v>
      </c>
      <c r="W54" s="763">
        <v>0.099007678421268785</v>
      </c>
      <c r="X54" s="763">
        <v>0.090948963354130649</v>
      </c>
      <c r="Y54" s="763">
        <v>0.095359424457182124</v>
      </c>
      <c r="Z54" s="763">
        <v>0.16624756883675051</v>
      </c>
      <c r="AA54" s="763">
        <v>0.13140600540439248</v>
      </c>
      <c r="AB54" s="763">
        <v>0.042234027992838943</v>
      </c>
      <c r="AC54" s="763">
        <v>0.080883887261557721</v>
      </c>
      <c r="AD54" s="763">
        <v>0.11824833261303405</v>
      </c>
      <c r="AE54" s="763">
        <v>0.012152265249136734</v>
      </c>
      <c r="AF54" s="763">
        <v>0.022388941045750513</v>
      </c>
      <c r="AG54" s="763">
        <v>0.034997719512765826</v>
      </c>
      <c r="AH54" s="763">
        <v>0.00786353738107149</v>
      </c>
      <c r="AI54" s="763">
        <v>0.35684284021935048</v>
      </c>
      <c r="AJ54" s="763">
        <v>0.35480297640338743</v>
      </c>
      <c r="AK54" s="763">
        <v>0.39656691963779023</v>
      </c>
      <c r="AL54" s="763">
        <v>0.44430205091114705</v>
      </c>
      <c r="AM54" s="763">
        <v>0.19629926820151636</v>
      </c>
      <c r="AN54" s="763">
        <v>0.075873236178579676</v>
      </c>
      <c r="AO54" s="764">
        <v>0.053574596416533657</v>
      </c>
      <c r="AP54" s="394"/>
      <c r="AQ54" s="397"/>
      <c r="AR54" s="398"/>
      <c r="AS54" s="398"/>
    </row>
    <row r="55" spans="1:45">
      <c r="A55" s="396">
        <v>356</v>
      </c>
      <c r="B55" s="761" t="s">
        <v>300</v>
      </c>
      <c r="C55" s="762">
        <v>24414</v>
      </c>
      <c r="D55" s="762">
        <v>20920</v>
      </c>
      <c r="E55" s="762">
        <v>14374</v>
      </c>
      <c r="F55" s="762">
        <v>3134</v>
      </c>
      <c r="G55" s="762">
        <v>2976</v>
      </c>
      <c r="H55" s="762">
        <v>2874</v>
      </c>
      <c r="I55" s="762">
        <v>5390</v>
      </c>
      <c r="J55" s="763">
        <v>0.1214876710084378</v>
      </c>
      <c r="K55" s="763">
        <v>0.19816938208144247</v>
      </c>
      <c r="L55" s="763">
        <v>0.12418255182969255</v>
      </c>
      <c r="M55" s="763">
        <v>0.24419547166726865</v>
      </c>
      <c r="N55" s="763">
        <v>0.65835176538051943</v>
      </c>
      <c r="O55" s="763">
        <v>0.082616531498320669</v>
      </c>
      <c r="P55" s="763">
        <v>0.10817563692963056</v>
      </c>
      <c r="Q55" s="763">
        <v>0.042475628737609551</v>
      </c>
      <c r="R55" s="763">
        <v>0.011714589989350363</v>
      </c>
      <c r="S55" s="763">
        <v>0.051527811911198471</v>
      </c>
      <c r="T55" s="763">
        <v>0.045138035553371023</v>
      </c>
      <c r="U55" s="763">
        <v>0.64971476276610529</v>
      </c>
      <c r="V55" s="763">
        <v>0.07986642549046892</v>
      </c>
      <c r="W55" s="763">
        <v>0.10672046751078337</v>
      </c>
      <c r="X55" s="763">
        <v>0.042716015027132272</v>
      </c>
      <c r="Y55" s="763">
        <v>0.018992625573952978</v>
      </c>
      <c r="Z55" s="763">
        <v>0.058160567691665513</v>
      </c>
      <c r="AA55" s="763">
        <v>0.0438291359398915</v>
      </c>
      <c r="AB55" s="763">
        <v>0.022057499045332902</v>
      </c>
      <c r="AC55" s="763">
        <v>0.042052255423280227</v>
      </c>
      <c r="AD55" s="763">
        <v>0.058001694101128619</v>
      </c>
      <c r="AE55" s="763">
        <v>0.0032317496974595362</v>
      </c>
      <c r="AF55" s="763">
        <v>0.00694170336685255</v>
      </c>
      <c r="AG55" s="763">
        <v>0.0097448005214345514</v>
      </c>
      <c r="AH55" s="763">
        <v>0.0070043906931234849</v>
      </c>
      <c r="AI55" s="763">
        <v>0.33544941982690135</v>
      </c>
      <c r="AJ55" s="763">
        <v>0.32653352062259078</v>
      </c>
      <c r="AK55" s="763">
        <v>0.3597550280075178</v>
      </c>
      <c r="AL55" s="763">
        <v>0.43775561169808175</v>
      </c>
      <c r="AM55" s="763">
        <v>0.17135071030041754</v>
      </c>
      <c r="AN55" s="763">
        <v>0.05701646596215288</v>
      </c>
      <c r="AO55" s="764">
        <v>0.033115347154584668</v>
      </c>
      <c r="AP55" s="394"/>
      <c r="AQ55" s="397"/>
      <c r="AR55" s="398"/>
      <c r="AS55" s="398"/>
    </row>
    <row r="56" spans="1:45">
      <c r="A56" s="396">
        <v>357</v>
      </c>
      <c r="B56" s="761" t="s">
        <v>308</v>
      </c>
      <c r="C56" s="762">
        <v>20909</v>
      </c>
      <c r="D56" s="762">
        <v>18047</v>
      </c>
      <c r="E56" s="762">
        <v>13382</v>
      </c>
      <c r="F56" s="762">
        <v>2868</v>
      </c>
      <c r="G56" s="762">
        <v>2759</v>
      </c>
      <c r="H56" s="762">
        <v>2644</v>
      </c>
      <c r="I56" s="762">
        <v>5111</v>
      </c>
      <c r="J56" s="763">
        <v>0.19847912382227745</v>
      </c>
      <c r="K56" s="763">
        <v>0.28215275888983316</v>
      </c>
      <c r="L56" s="763">
        <v>0.17956957106561036</v>
      </c>
      <c r="M56" s="763">
        <v>0.34272388429319911</v>
      </c>
      <c r="N56" s="763">
        <v>0.32636628269555568</v>
      </c>
      <c r="O56" s="763">
        <v>0.13334295910655847</v>
      </c>
      <c r="P56" s="763">
        <v>0.14104223213452338</v>
      </c>
      <c r="Q56" s="763">
        <v>0.19216058010592327</v>
      </c>
      <c r="R56" s="763">
        <v>0.069037696329135</v>
      </c>
      <c r="S56" s="763">
        <v>0.090239361565651044</v>
      </c>
      <c r="T56" s="763">
        <v>0.047810888062653191</v>
      </c>
      <c r="U56" s="763">
        <v>0.34651169017273165</v>
      </c>
      <c r="V56" s="763">
        <v>0.12897143916657466</v>
      </c>
      <c r="W56" s="763">
        <v>0.12033687294877941</v>
      </c>
      <c r="X56" s="763">
        <v>0.1936908263283989</v>
      </c>
      <c r="Y56" s="763">
        <v>0.068218819773412334</v>
      </c>
      <c r="Z56" s="763">
        <v>0.091343436646293019</v>
      </c>
      <c r="AA56" s="763">
        <v>0.050926914963810035</v>
      </c>
      <c r="AB56" s="763">
        <v>0.028148874028214178</v>
      </c>
      <c r="AC56" s="763">
        <v>0.053140176740558848</v>
      </c>
      <c r="AD56" s="763">
        <v>0.078937419649014628</v>
      </c>
      <c r="AE56" s="763">
        <v>0.0050848841596048567</v>
      </c>
      <c r="AF56" s="763">
        <v>0.011293870142040453</v>
      </c>
      <c r="AG56" s="763">
        <v>0.01960119277997897</v>
      </c>
      <c r="AH56" s="763">
        <v>0.010215967148686712</v>
      </c>
      <c r="AI56" s="763">
        <v>0.41050309374170252</v>
      </c>
      <c r="AJ56" s="763">
        <v>0.36172931537640979</v>
      </c>
      <c r="AK56" s="763">
        <v>0.38937997438266625</v>
      </c>
      <c r="AL56" s="763">
        <v>0.46107336969974705</v>
      </c>
      <c r="AM56" s="763">
        <v>0.18190509711154829</v>
      </c>
      <c r="AN56" s="763">
        <v>0.076282940360610257</v>
      </c>
      <c r="AO56" s="764">
        <v>0.076147063219249717</v>
      </c>
      <c r="AP56" s="394"/>
      <c r="AQ56" s="397"/>
      <c r="AR56" s="398"/>
      <c r="AS56" s="398"/>
    </row>
    <row r="57" spans="1:45">
      <c r="A57" s="396">
        <v>358</v>
      </c>
      <c r="B57" s="761" t="s">
        <v>313</v>
      </c>
      <c r="C57" s="762">
        <v>21003</v>
      </c>
      <c r="D57" s="762">
        <v>18102</v>
      </c>
      <c r="E57" s="762">
        <v>15616</v>
      </c>
      <c r="F57" s="762">
        <v>3299</v>
      </c>
      <c r="G57" s="762">
        <v>3258</v>
      </c>
      <c r="H57" s="762">
        <v>3173</v>
      </c>
      <c r="I57" s="762">
        <v>5886</v>
      </c>
      <c r="J57" s="763">
        <v>0.088415940579917168</v>
      </c>
      <c r="K57" s="763">
        <v>0.14572960212601122</v>
      </c>
      <c r="L57" s="763">
        <v>0.092085040983606592</v>
      </c>
      <c r="M57" s="763">
        <v>0.18469096409906535</v>
      </c>
      <c r="N57" s="763">
        <v>0.72559418980974244</v>
      </c>
      <c r="O57" s="763">
        <v>0.053355426809825635</v>
      </c>
      <c r="P57" s="763">
        <v>0.069943438009973241</v>
      </c>
      <c r="Q57" s="763">
        <v>0.042604899582552716</v>
      </c>
      <c r="R57" s="763">
        <v>0.036191153134821206</v>
      </c>
      <c r="S57" s="763">
        <v>0.056787607355663433</v>
      </c>
      <c r="T57" s="763">
        <v>0.01552328529742132</v>
      </c>
      <c r="U57" s="763">
        <v>0.72129174068171</v>
      </c>
      <c r="V57" s="763">
        <v>0.0534649847684288</v>
      </c>
      <c r="W57" s="763">
        <v>0.07071873080132586</v>
      </c>
      <c r="X57" s="763">
        <v>0.039137373069149078</v>
      </c>
      <c r="Y57" s="763">
        <v>0.036942566868914097</v>
      </c>
      <c r="Z57" s="763">
        <v>0.06037420410374171</v>
      </c>
      <c r="AA57" s="763">
        <v>0.01807039970673047</v>
      </c>
      <c r="AB57" s="763">
        <v>0.038219166698893949</v>
      </c>
      <c r="AC57" s="763">
        <v>0.077655877872812626</v>
      </c>
      <c r="AD57" s="763">
        <v>0.11700532569085077</v>
      </c>
      <c r="AE57" s="763">
        <v>0.0044319867647801678</v>
      </c>
      <c r="AF57" s="763">
        <v>0.0088625219116707267</v>
      </c>
      <c r="AG57" s="763">
        <v>0.0152891267890752</v>
      </c>
      <c r="AH57" s="763">
        <v>0.0055036662369071666</v>
      </c>
      <c r="AI57" s="763">
        <v>0.27450227036377073</v>
      </c>
      <c r="AJ57" s="763">
        <v>0.19763116639622058</v>
      </c>
      <c r="AK57" s="763">
        <v>0.23307724207113023</v>
      </c>
      <c r="AL57" s="763">
        <v>0.271460069576655</v>
      </c>
      <c r="AM57" s="763">
        <v>0.094506579269356822</v>
      </c>
      <c r="AN57" s="763">
        <v>0.087368471170785153</v>
      </c>
      <c r="AO57" s="764">
        <v>0.033299180327868855</v>
      </c>
      <c r="AP57" s="394"/>
      <c r="AQ57" s="397"/>
      <c r="AR57" s="398"/>
      <c r="AS57" s="398"/>
    </row>
    <row r="58" spans="1:45">
      <c r="A58" s="396">
        <v>359</v>
      </c>
      <c r="B58" s="761" t="s">
        <v>323</v>
      </c>
      <c r="C58" s="762">
        <v>26467</v>
      </c>
      <c r="D58" s="762">
        <v>22853</v>
      </c>
      <c r="E58" s="762">
        <v>17834</v>
      </c>
      <c r="F58" s="762">
        <v>3637</v>
      </c>
      <c r="G58" s="762">
        <v>3717</v>
      </c>
      <c r="H58" s="762">
        <v>3633</v>
      </c>
      <c r="I58" s="762">
        <v>6847</v>
      </c>
      <c r="J58" s="763">
        <v>0.16650923791891789</v>
      </c>
      <c r="K58" s="763">
        <v>0.24474838769201157</v>
      </c>
      <c r="L58" s="763">
        <v>0.14556465178871819</v>
      </c>
      <c r="M58" s="763">
        <v>0.27065566657207424</v>
      </c>
      <c r="N58" s="763">
        <v>0.503440507575831</v>
      </c>
      <c r="O58" s="763">
        <v>0.11977143626667128</v>
      </c>
      <c r="P58" s="763">
        <v>0.09800833629713393</v>
      </c>
      <c r="Q58" s="763">
        <v>0.093550963773629855</v>
      </c>
      <c r="R58" s="763">
        <v>0.055655619918248717</v>
      </c>
      <c r="S58" s="763">
        <v>0.091922823335552822</v>
      </c>
      <c r="T58" s="763">
        <v>0.037650312832932353</v>
      </c>
      <c r="U58" s="763">
        <v>0.532267567883762</v>
      </c>
      <c r="V58" s="763">
        <v>0.12090942978219005</v>
      </c>
      <c r="W58" s="763">
        <v>0.0935926446888417</v>
      </c>
      <c r="X58" s="763">
        <v>0.086002654737273268</v>
      </c>
      <c r="Y58" s="763">
        <v>0.054598788971544063</v>
      </c>
      <c r="Z58" s="763">
        <v>0.082513374639622564</v>
      </c>
      <c r="AA58" s="763">
        <v>0.030115539296766389</v>
      </c>
      <c r="AB58" s="763">
        <v>0.014395789610303262</v>
      </c>
      <c r="AC58" s="763">
        <v>0.025927078663558763</v>
      </c>
      <c r="AD58" s="763">
        <v>0.036903139400798368</v>
      </c>
      <c r="AE58" s="763">
        <v>0.0032556734969480146</v>
      </c>
      <c r="AF58" s="763">
        <v>0.00617744158380304</v>
      </c>
      <c r="AG58" s="763">
        <v>0.0092085479450416587</v>
      </c>
      <c r="AH58" s="763">
        <v>0.007676228838846031</v>
      </c>
      <c r="AI58" s="763">
        <v>0.38969405736115542</v>
      </c>
      <c r="AJ58" s="763">
        <v>0.30220085487398562</v>
      </c>
      <c r="AK58" s="763">
        <v>0.329956178431427</v>
      </c>
      <c r="AL58" s="763">
        <v>0.42238315458860687</v>
      </c>
      <c r="AM58" s="763">
        <v>0.14597242563066393</v>
      </c>
      <c r="AN58" s="763">
        <v>0.067291343937733769</v>
      </c>
      <c r="AO58" s="764">
        <v>0.059324885051026129</v>
      </c>
      <c r="AP58" s="394"/>
      <c r="AQ58" s="397"/>
      <c r="AR58" s="398"/>
      <c r="AS58" s="398"/>
    </row>
    <row r="59" spans="1:45">
      <c r="A59" s="396">
        <v>370</v>
      </c>
      <c r="B59" s="761" t="s">
        <v>175</v>
      </c>
      <c r="C59" s="762">
        <v>20015</v>
      </c>
      <c r="D59" s="762">
        <v>17269</v>
      </c>
      <c r="E59" s="762">
        <v>11579</v>
      </c>
      <c r="F59" s="762">
        <v>2533</v>
      </c>
      <c r="G59" s="762">
        <v>2437</v>
      </c>
      <c r="H59" s="762">
        <v>2316</v>
      </c>
      <c r="I59" s="762">
        <v>4293</v>
      </c>
      <c r="J59" s="763">
        <v>0.20369722707969021</v>
      </c>
      <c r="K59" s="763">
        <v>0.30911617891421334</v>
      </c>
      <c r="L59" s="763">
        <v>0.19284912341307531</v>
      </c>
      <c r="M59" s="763">
        <v>0.34893658674153061</v>
      </c>
      <c r="N59" s="763">
        <v>0.39291289345538416</v>
      </c>
      <c r="O59" s="763">
        <v>0.11235164665124958</v>
      </c>
      <c r="P59" s="763">
        <v>0.11969976136169194</v>
      </c>
      <c r="Q59" s="763">
        <v>0.10793844878459949</v>
      </c>
      <c r="R59" s="763">
        <v>0.060851616351297343</v>
      </c>
      <c r="S59" s="763">
        <v>0.17831561608058127</v>
      </c>
      <c r="T59" s="763">
        <v>0.027930017315196159</v>
      </c>
      <c r="U59" s="763">
        <v>0.40863725742762352</v>
      </c>
      <c r="V59" s="763">
        <v>0.11596107759823643</v>
      </c>
      <c r="W59" s="763">
        <v>0.11844859357191924</v>
      </c>
      <c r="X59" s="763">
        <v>0.10747125487153585</v>
      </c>
      <c r="Y59" s="763">
        <v>0.0581386258364034</v>
      </c>
      <c r="Z59" s="763">
        <v>0.16594436446105088</v>
      </c>
      <c r="AA59" s="763">
        <v>0.02539882623323083</v>
      </c>
      <c r="AB59" s="763">
        <v>0.014225996692473148</v>
      </c>
      <c r="AC59" s="763">
        <v>0.025953255937190847</v>
      </c>
      <c r="AD59" s="763">
        <v>0.038484696545997892</v>
      </c>
      <c r="AE59" s="763">
        <v>0.0042324462631633548</v>
      </c>
      <c r="AF59" s="763">
        <v>0.0071695415121371953</v>
      </c>
      <c r="AG59" s="763">
        <v>0.011401848070726374</v>
      </c>
      <c r="AH59" s="763">
        <v>0.00568563263966581</v>
      </c>
      <c r="AI59" s="763">
        <v>0.36951299080776168</v>
      </c>
      <c r="AJ59" s="763">
        <v>0.35071767170275941</v>
      </c>
      <c r="AK59" s="763">
        <v>0.40365910161349533</v>
      </c>
      <c r="AL59" s="763">
        <v>0.46988740318840988</v>
      </c>
      <c r="AM59" s="763">
        <v>0.20776246097568624</v>
      </c>
      <c r="AN59" s="763">
        <v>0.10262303272545593</v>
      </c>
      <c r="AO59" s="764">
        <v>0.16538561188358228</v>
      </c>
      <c r="AP59" s="394"/>
      <c r="AQ59" s="397"/>
      <c r="AR59" s="398"/>
      <c r="AS59" s="398"/>
    </row>
    <row r="60" spans="1:45">
      <c r="A60" s="396">
        <v>371</v>
      </c>
      <c r="B60" s="761" t="s">
        <v>214</v>
      </c>
      <c r="C60" s="762">
        <v>25998</v>
      </c>
      <c r="D60" s="762">
        <v>22487</v>
      </c>
      <c r="E60" s="762">
        <v>15862</v>
      </c>
      <c r="F60" s="762">
        <v>3307</v>
      </c>
      <c r="G60" s="762">
        <v>3312</v>
      </c>
      <c r="H60" s="762">
        <v>3189</v>
      </c>
      <c r="I60" s="762">
        <v>6054</v>
      </c>
      <c r="J60" s="763">
        <v>0.18409108392953305</v>
      </c>
      <c r="K60" s="763">
        <v>0.28848453493920512</v>
      </c>
      <c r="L60" s="763">
        <v>0.17028117513554419</v>
      </c>
      <c r="M60" s="763">
        <v>0.33606408315680814</v>
      </c>
      <c r="N60" s="763">
        <v>0.38074258212740114</v>
      </c>
      <c r="O60" s="763">
        <v>0.14639289350993645</v>
      </c>
      <c r="P60" s="763">
        <v>0.043032834858401078</v>
      </c>
      <c r="Q60" s="763">
        <v>0.17364290889988415</v>
      </c>
      <c r="R60" s="763">
        <v>0.079256622320955775</v>
      </c>
      <c r="S60" s="763">
        <v>0.14632478334384616</v>
      </c>
      <c r="T60" s="763">
        <v>0.030607374939575441</v>
      </c>
      <c r="U60" s="763">
        <v>0.42175198373269612</v>
      </c>
      <c r="V60" s="763">
        <v>0.13838698925465145</v>
      </c>
      <c r="W60" s="763">
        <v>0.044150040613883959</v>
      </c>
      <c r="X60" s="763">
        <v>0.16165988158829966</v>
      </c>
      <c r="Y60" s="763">
        <v>0.072939988952413728</v>
      </c>
      <c r="Z60" s="763">
        <v>0.1340145426928542</v>
      </c>
      <c r="AA60" s="763">
        <v>0.02709657316520072</v>
      </c>
      <c r="AB60" s="763">
        <v>0.025465466758014765</v>
      </c>
      <c r="AC60" s="763">
        <v>0.047203374535309886</v>
      </c>
      <c r="AD60" s="763">
        <v>0.066888228435432615</v>
      </c>
      <c r="AE60" s="763">
        <v>0.0046693983283985331</v>
      </c>
      <c r="AF60" s="763">
        <v>0.010663351107533827</v>
      </c>
      <c r="AG60" s="763">
        <v>0.015205761462829849</v>
      </c>
      <c r="AH60" s="763">
        <v>0.0065920765554484707</v>
      </c>
      <c r="AI60" s="763">
        <v>0.37382475867250109</v>
      </c>
      <c r="AJ60" s="763">
        <v>0.39808925205328149</v>
      </c>
      <c r="AK60" s="763">
        <v>0.45895585525045485</v>
      </c>
      <c r="AL60" s="763">
        <v>0.526855479899781</v>
      </c>
      <c r="AM60" s="763">
        <v>0.23159029696977942</v>
      </c>
      <c r="AN60" s="763">
        <v>0.14266482037079775</v>
      </c>
      <c r="AO60" s="764">
        <v>0.10748959778085988</v>
      </c>
      <c r="AP60" s="394"/>
      <c r="AQ60" s="397"/>
      <c r="AR60" s="398"/>
      <c r="AS60" s="398"/>
    </row>
    <row r="61" spans="1:45">
      <c r="A61" s="396">
        <v>372</v>
      </c>
      <c r="B61" s="761" t="s">
        <v>283</v>
      </c>
      <c r="C61" s="762">
        <v>23253</v>
      </c>
      <c r="D61" s="762">
        <v>20080</v>
      </c>
      <c r="E61" s="762">
        <v>16409</v>
      </c>
      <c r="F61" s="762">
        <v>3461</v>
      </c>
      <c r="G61" s="762">
        <v>3412</v>
      </c>
      <c r="H61" s="762">
        <v>3270</v>
      </c>
      <c r="I61" s="762">
        <v>6266</v>
      </c>
      <c r="J61" s="763">
        <v>0.1670322108975186</v>
      </c>
      <c r="K61" s="763">
        <v>0.27984027918751353</v>
      </c>
      <c r="L61" s="763">
        <v>0.16387348406362354</v>
      </c>
      <c r="M61" s="763">
        <v>0.32678852524802876</v>
      </c>
      <c r="N61" s="763">
        <v>0.418416006103901</v>
      </c>
      <c r="O61" s="763">
        <v>0.1318192700938936</v>
      </c>
      <c r="P61" s="763">
        <v>0.11979901293050182</v>
      </c>
      <c r="Q61" s="763">
        <v>0.082130095168268413</v>
      </c>
      <c r="R61" s="763">
        <v>0.094441818302880842</v>
      </c>
      <c r="S61" s="763">
        <v>0.0690678939459544</v>
      </c>
      <c r="T61" s="763">
        <v>0.084325903454599949</v>
      </c>
      <c r="U61" s="763">
        <v>0.44009632819832195</v>
      </c>
      <c r="V61" s="763">
        <v>0.13071770008896727</v>
      </c>
      <c r="W61" s="763">
        <v>0.12314611913064427</v>
      </c>
      <c r="X61" s="763">
        <v>0.0792342106762742</v>
      </c>
      <c r="Y61" s="763">
        <v>0.0937941125853011</v>
      </c>
      <c r="Z61" s="763">
        <v>0.05962057196395653</v>
      </c>
      <c r="AA61" s="763">
        <v>0.073390957356534739</v>
      </c>
      <c r="AB61" s="763">
        <v>0.026094116794020045</v>
      </c>
      <c r="AC61" s="763">
        <v>0.0482431893542654</v>
      </c>
      <c r="AD61" s="763">
        <v>0.068745918738569792</v>
      </c>
      <c r="AE61" s="763">
        <v>0.003234224963796582</v>
      </c>
      <c r="AF61" s="763">
        <v>0.0058578519343101361</v>
      </c>
      <c r="AG61" s="763">
        <v>0.010743830266161354</v>
      </c>
      <c r="AH61" s="763">
        <v>0.0071072284752413247</v>
      </c>
      <c r="AI61" s="763">
        <v>0.32561627793645315</v>
      </c>
      <c r="AJ61" s="763">
        <v>0.36522604270972026</v>
      </c>
      <c r="AK61" s="763">
        <v>0.38404458024525406</v>
      </c>
      <c r="AL61" s="763">
        <v>0.44996232898249067</v>
      </c>
      <c r="AM61" s="763">
        <v>0.20224400773075579</v>
      </c>
      <c r="AN61" s="763">
        <v>0.088977766309723483</v>
      </c>
      <c r="AO61" s="764">
        <v>0.1659455177036992</v>
      </c>
      <c r="AP61" s="394"/>
      <c r="AQ61" s="397"/>
      <c r="AR61" s="398"/>
      <c r="AS61" s="398"/>
    </row>
    <row r="62" spans="1:45">
      <c r="A62" s="396">
        <v>373</v>
      </c>
      <c r="B62" s="761" t="s">
        <v>288</v>
      </c>
      <c r="C62" s="762">
        <v>44468</v>
      </c>
      <c r="D62" s="762">
        <v>38329</v>
      </c>
      <c r="E62" s="762">
        <v>27546</v>
      </c>
      <c r="F62" s="762">
        <v>5804</v>
      </c>
      <c r="G62" s="762">
        <v>5509</v>
      </c>
      <c r="H62" s="762">
        <v>5569</v>
      </c>
      <c r="I62" s="762">
        <v>10664</v>
      </c>
      <c r="J62" s="763">
        <v>0.22247458846811191</v>
      </c>
      <c r="K62" s="763">
        <v>0.30871326943402838</v>
      </c>
      <c r="L62" s="763">
        <v>0.20678138386698613</v>
      </c>
      <c r="M62" s="763">
        <v>0.33401373122588757</v>
      </c>
      <c r="N62" s="763">
        <v>0.44278047584828417</v>
      </c>
      <c r="O62" s="763">
        <v>0.064664943393517679</v>
      </c>
      <c r="P62" s="763">
        <v>0.0749599801224578</v>
      </c>
      <c r="Q62" s="763">
        <v>0.064219297058041844</v>
      </c>
      <c r="R62" s="763">
        <v>0.12104102101079282</v>
      </c>
      <c r="S62" s="763">
        <v>0.17968364579630069</v>
      </c>
      <c r="T62" s="763">
        <v>0.052650636770605004</v>
      </c>
      <c r="U62" s="763">
        <v>0.46556609314580855</v>
      </c>
      <c r="V62" s="763">
        <v>0.06877847803376283</v>
      </c>
      <c r="W62" s="763">
        <v>0.072843627679277614</v>
      </c>
      <c r="X62" s="763">
        <v>0.066316983147937714</v>
      </c>
      <c r="Y62" s="763">
        <v>0.11108966867466913</v>
      </c>
      <c r="Z62" s="763">
        <v>0.17164324156468552</v>
      </c>
      <c r="AA62" s="763">
        <v>0.043761907753858673</v>
      </c>
      <c r="AB62" s="763">
        <v>0.048377420950233216</v>
      </c>
      <c r="AC62" s="763">
        <v>0.094491682590057274</v>
      </c>
      <c r="AD62" s="763">
        <v>0.13552178782141272</v>
      </c>
      <c r="AE62" s="763">
        <v>0.008247534495907172</v>
      </c>
      <c r="AF62" s="763">
        <v>0.016747954557097228</v>
      </c>
      <c r="AG62" s="763">
        <v>0.027506196725385273</v>
      </c>
      <c r="AH62" s="763">
        <v>0.0041334468375682368</v>
      </c>
      <c r="AI62" s="763">
        <v>0.35369885297926079</v>
      </c>
      <c r="AJ62" s="763">
        <v>0.37940636501322694</v>
      </c>
      <c r="AK62" s="763">
        <v>0.39905760847177524</v>
      </c>
      <c r="AL62" s="763">
        <v>0.4721271915437838</v>
      </c>
      <c r="AM62" s="763">
        <v>0.21592218160910109</v>
      </c>
      <c r="AN62" s="763">
        <v>0.10187100836556626</v>
      </c>
      <c r="AO62" s="764">
        <v>0.11838379438030931</v>
      </c>
      <c r="AP62" s="394"/>
      <c r="AQ62" s="397"/>
      <c r="AR62" s="398"/>
      <c r="AS62" s="398"/>
    </row>
    <row r="63" spans="1:45">
      <c r="A63" s="396">
        <v>380</v>
      </c>
      <c r="B63" s="761" t="s">
        <v>190</v>
      </c>
      <c r="C63" s="762">
        <v>55029</v>
      </c>
      <c r="D63" s="762">
        <v>47466</v>
      </c>
      <c r="E63" s="762">
        <v>32483</v>
      </c>
      <c r="F63" s="762">
        <v>6778</v>
      </c>
      <c r="G63" s="762">
        <v>6795</v>
      </c>
      <c r="H63" s="762">
        <v>6542</v>
      </c>
      <c r="I63" s="762">
        <v>12368</v>
      </c>
      <c r="J63" s="763">
        <v>0.18065020262043646</v>
      </c>
      <c r="K63" s="763">
        <v>0.28455320600648526</v>
      </c>
      <c r="L63" s="763">
        <v>0.19348582335375419</v>
      </c>
      <c r="M63" s="763">
        <v>0.3669432887299125</v>
      </c>
      <c r="N63" s="763">
        <v>0.33016423996720429</v>
      </c>
      <c r="O63" s="763">
        <v>0.12911780669765105</v>
      </c>
      <c r="P63" s="763">
        <v>0.16806283139508549</v>
      </c>
      <c r="Q63" s="763">
        <v>0.1386234983904916</v>
      </c>
      <c r="R63" s="763">
        <v>0.065978817215839661</v>
      </c>
      <c r="S63" s="763">
        <v>0.13486989309759354</v>
      </c>
      <c r="T63" s="763">
        <v>0.033182913236134384</v>
      </c>
      <c r="U63" s="763">
        <v>0.31560053429032631</v>
      </c>
      <c r="V63" s="763">
        <v>0.13849555216085072</v>
      </c>
      <c r="W63" s="763">
        <v>0.17581559353633683</v>
      </c>
      <c r="X63" s="763">
        <v>0.14305263312660618</v>
      </c>
      <c r="Y63" s="763">
        <v>0.066196896983697476</v>
      </c>
      <c r="Z63" s="763">
        <v>0.12765009419469076</v>
      </c>
      <c r="AA63" s="763">
        <v>0.03318869570749166</v>
      </c>
      <c r="AB63" s="763">
        <v>0.0686433326427623</v>
      </c>
      <c r="AC63" s="763">
        <v>0.1373148326342285</v>
      </c>
      <c r="AD63" s="763">
        <v>0.20661152370689809</v>
      </c>
      <c r="AE63" s="763">
        <v>0.00914544801177042</v>
      </c>
      <c r="AF63" s="763">
        <v>0.0186235280215334</v>
      </c>
      <c r="AG63" s="763">
        <v>0.028609615938492167</v>
      </c>
      <c r="AH63" s="763">
        <v>0.0058233189810952546</v>
      </c>
      <c r="AI63" s="763">
        <v>0.3820396807066565</v>
      </c>
      <c r="AJ63" s="763">
        <v>0.41450632755999228</v>
      </c>
      <c r="AK63" s="763">
        <v>0.44930818568542508</v>
      </c>
      <c r="AL63" s="763">
        <v>0.54926603617215886</v>
      </c>
      <c r="AM63" s="763">
        <v>0.2541235229115818</v>
      </c>
      <c r="AN63" s="763">
        <v>0.12311690199712878</v>
      </c>
      <c r="AO63" s="764">
        <v>0.0931872056152449</v>
      </c>
      <c r="AP63" s="394"/>
      <c r="AQ63" s="397"/>
      <c r="AR63" s="398"/>
      <c r="AS63" s="398"/>
    </row>
    <row r="64" spans="1:45">
      <c r="A64" s="396">
        <v>381</v>
      </c>
      <c r="B64" s="761" t="s">
        <v>197</v>
      </c>
      <c r="C64" s="762">
        <v>19152</v>
      </c>
      <c r="D64" s="762">
        <v>16533</v>
      </c>
      <c r="E64" s="762">
        <v>13731</v>
      </c>
      <c r="F64" s="762">
        <v>2903</v>
      </c>
      <c r="G64" s="762">
        <v>2844</v>
      </c>
      <c r="H64" s="762">
        <v>2792</v>
      </c>
      <c r="I64" s="762">
        <v>5192</v>
      </c>
      <c r="J64" s="763">
        <v>0.17340225563909772</v>
      </c>
      <c r="K64" s="763">
        <v>0.25995025750568768</v>
      </c>
      <c r="L64" s="763">
        <v>0.15322991770446434</v>
      </c>
      <c r="M64" s="763">
        <v>0.27632896811462326</v>
      </c>
      <c r="N64" s="763">
        <v>0.47852804413773387</v>
      </c>
      <c r="O64" s="763">
        <v>0.12440009494544231</v>
      </c>
      <c r="P64" s="763">
        <v>0.08172997254574535</v>
      </c>
      <c r="Q64" s="763">
        <v>0.12760072437734535</v>
      </c>
      <c r="R64" s="763">
        <v>0.055051434236123027</v>
      </c>
      <c r="S64" s="763">
        <v>0.084434129914629216</v>
      </c>
      <c r="T64" s="763">
        <v>0.048255599842980959</v>
      </c>
      <c r="U64" s="763">
        <v>0.50551890039144631</v>
      </c>
      <c r="V64" s="763">
        <v>0.12746542972668531</v>
      </c>
      <c r="W64" s="763">
        <v>0.076332505985456572</v>
      </c>
      <c r="X64" s="763">
        <v>0.1200543051602691</v>
      </c>
      <c r="Y64" s="763">
        <v>0.051500412097287104</v>
      </c>
      <c r="Z64" s="763">
        <v>0.076563840272258488</v>
      </c>
      <c r="AA64" s="763">
        <v>0.042564606366597028</v>
      </c>
      <c r="AB64" s="763">
        <v>0.028349755821425487</v>
      </c>
      <c r="AC64" s="763">
        <v>0.056774527480784875</v>
      </c>
      <c r="AD64" s="763">
        <v>0.083291047627662429</v>
      </c>
      <c r="AE64" s="763">
        <v>0.003060536393101066</v>
      </c>
      <c r="AF64" s="763">
        <v>0.0055381236730326173</v>
      </c>
      <c r="AG64" s="763">
        <v>0.0084533470266456127</v>
      </c>
      <c r="AH64" s="763">
        <v>0.0054859770452226264</v>
      </c>
      <c r="AI64" s="763">
        <v>0.37445312495662292</v>
      </c>
      <c r="AJ64" s="763">
        <v>0.35915097665207879</v>
      </c>
      <c r="AK64" s="763">
        <v>0.39632370929757221</v>
      </c>
      <c r="AL64" s="763">
        <v>0.49671001907772666</v>
      </c>
      <c r="AM64" s="763">
        <v>0.17052637600077808</v>
      </c>
      <c r="AN64" s="763">
        <v>0.086257309941520449</v>
      </c>
      <c r="AO64" s="764">
        <v>0.099337266040346692</v>
      </c>
      <c r="AP64" s="394"/>
      <c r="AQ64" s="397"/>
      <c r="AR64" s="398"/>
      <c r="AS64" s="398"/>
    </row>
    <row r="65" spans="1:45">
      <c r="A65" s="396">
        <v>382</v>
      </c>
      <c r="B65" s="761" t="s">
        <v>245</v>
      </c>
      <c r="C65" s="762">
        <v>38191</v>
      </c>
      <c r="D65" s="762">
        <v>33007</v>
      </c>
      <c r="E65" s="762">
        <v>24512</v>
      </c>
      <c r="F65" s="762">
        <v>5050</v>
      </c>
      <c r="G65" s="762">
        <v>5031</v>
      </c>
      <c r="H65" s="762">
        <v>4852</v>
      </c>
      <c r="I65" s="762">
        <v>9579</v>
      </c>
      <c r="J65" s="763">
        <v>0.19033280092168312</v>
      </c>
      <c r="K65" s="763">
        <v>0.23318535420929229</v>
      </c>
      <c r="L65" s="763">
        <v>0.21573107049608359</v>
      </c>
      <c r="M65" s="763">
        <v>0.272960528351636</v>
      </c>
      <c r="N65" s="763">
        <v>0.55086983005544488</v>
      </c>
      <c r="O65" s="763">
        <v>0.1595415996778719</v>
      </c>
      <c r="P65" s="763">
        <v>0.0995819131487448</v>
      </c>
      <c r="Q65" s="763">
        <v>0.0623224722165363</v>
      </c>
      <c r="R65" s="763">
        <v>0.059152900205136</v>
      </c>
      <c r="S65" s="763">
        <v>0.056565114656204347</v>
      </c>
      <c r="T65" s="763">
        <v>0.011966170040061794</v>
      </c>
      <c r="U65" s="763">
        <v>0.57568248698103464</v>
      </c>
      <c r="V65" s="763">
        <v>0.15686710075172863</v>
      </c>
      <c r="W65" s="763">
        <v>0.095630106267753159</v>
      </c>
      <c r="X65" s="763">
        <v>0.058834381186698453</v>
      </c>
      <c r="Y65" s="763">
        <v>0.05051640999340086</v>
      </c>
      <c r="Z65" s="763">
        <v>0.052841577482569659</v>
      </c>
      <c r="AA65" s="763">
        <v>0.0096279373368146227</v>
      </c>
      <c r="AB65" s="763">
        <v>0.054099240816939669</v>
      </c>
      <c r="AC65" s="763">
        <v>0.10713989874840814</v>
      </c>
      <c r="AD65" s="763">
        <v>0.15258536894736194</v>
      </c>
      <c r="AE65" s="763">
        <v>0.0053246636895670071</v>
      </c>
      <c r="AF65" s="763">
        <v>0.011189552019664029</v>
      </c>
      <c r="AG65" s="763">
        <v>0.017952716452611296</v>
      </c>
      <c r="AH65" s="763">
        <v>0.0043677529318530842</v>
      </c>
      <c r="AI65" s="763">
        <v>0.35517817619626318</v>
      </c>
      <c r="AJ65" s="763">
        <v>0.37967375076434845</v>
      </c>
      <c r="AK65" s="763">
        <v>0.41409318351382024</v>
      </c>
      <c r="AL65" s="763">
        <v>0.50672435198546451</v>
      </c>
      <c r="AM65" s="763">
        <v>0.20728919368765564</v>
      </c>
      <c r="AN65" s="763">
        <v>0.087219501976905547</v>
      </c>
      <c r="AO65" s="764">
        <v>0.045691906005221952</v>
      </c>
      <c r="AP65" s="394"/>
      <c r="AQ65" s="397"/>
      <c r="AR65" s="398"/>
      <c r="AS65" s="398"/>
    </row>
    <row r="66" spans="1:45">
      <c r="A66" s="396">
        <v>383</v>
      </c>
      <c r="B66" s="761" t="s">
        <v>249</v>
      </c>
      <c r="C66" s="762">
        <v>69519</v>
      </c>
      <c r="D66" s="762">
        <v>59711</v>
      </c>
      <c r="E66" s="762">
        <v>41278</v>
      </c>
      <c r="F66" s="762">
        <v>8877</v>
      </c>
      <c r="G66" s="762">
        <v>8601</v>
      </c>
      <c r="H66" s="762">
        <v>8320</v>
      </c>
      <c r="I66" s="762">
        <v>15480</v>
      </c>
      <c r="J66" s="763">
        <v>0.18510047612882813</v>
      </c>
      <c r="K66" s="763">
        <v>0.29207076093154716</v>
      </c>
      <c r="L66" s="763">
        <v>0.17389408401569845</v>
      </c>
      <c r="M66" s="763">
        <v>0.33790589421172657</v>
      </c>
      <c r="N66" s="763">
        <v>0.47169123200484125</v>
      </c>
      <c r="O66" s="763">
        <v>0.070524557783595357</v>
      </c>
      <c r="P66" s="763">
        <v>0.10448032465750662</v>
      </c>
      <c r="Q66" s="763">
        <v>0.06237989291802698</v>
      </c>
      <c r="R66" s="763">
        <v>0.068778355758508519</v>
      </c>
      <c r="S66" s="763">
        <v>0.15818078918880163</v>
      </c>
      <c r="T66" s="763">
        <v>0.063964847688719614</v>
      </c>
      <c r="U66" s="763">
        <v>0.47331980675186819</v>
      </c>
      <c r="V66" s="763">
        <v>0.072054860866428344</v>
      </c>
      <c r="W66" s="763">
        <v>0.11105263215939937</v>
      </c>
      <c r="X66" s="763">
        <v>0.062310884951459387</v>
      </c>
      <c r="Y66" s="763">
        <v>0.070218305696760172</v>
      </c>
      <c r="Z66" s="763">
        <v>0.1498644446123395</v>
      </c>
      <c r="AA66" s="763">
        <v>0.061179064961745161</v>
      </c>
      <c r="AB66" s="763">
        <v>0.049472318767532837</v>
      </c>
      <c r="AC66" s="763">
        <v>0.095888771727051333</v>
      </c>
      <c r="AD66" s="763">
        <v>0.13610079305433476</v>
      </c>
      <c r="AE66" s="763">
        <v>0.012165937543945897</v>
      </c>
      <c r="AF66" s="763">
        <v>0.023922563095196189</v>
      </c>
      <c r="AG66" s="763">
        <v>0.037522902326006205</v>
      </c>
      <c r="AH66" s="763">
        <v>0.006098839814327058</v>
      </c>
      <c r="AI66" s="763">
        <v>0.39048257239250395</v>
      </c>
      <c r="AJ66" s="763">
        <v>0.39753533052932905</v>
      </c>
      <c r="AK66" s="763">
        <v>0.45169258119081324</v>
      </c>
      <c r="AL66" s="763">
        <v>0.53328729669805242</v>
      </c>
      <c r="AM66" s="763">
        <v>0.23243506247426929</v>
      </c>
      <c r="AN66" s="763">
        <v>0.084135272371581873</v>
      </c>
      <c r="AO66" s="764">
        <v>0.087334657686903461</v>
      </c>
      <c r="AP66" s="394"/>
      <c r="AQ66" s="397"/>
      <c r="AR66" s="398"/>
      <c r="AS66" s="398"/>
    </row>
    <row r="67" spans="1:45">
      <c r="A67" s="396">
        <v>384</v>
      </c>
      <c r="B67" s="761" t="s">
        <v>314</v>
      </c>
      <c r="C67" s="762">
        <v>28845</v>
      </c>
      <c r="D67" s="762">
        <v>24768</v>
      </c>
      <c r="E67" s="762">
        <v>18673</v>
      </c>
      <c r="F67" s="762">
        <v>3900</v>
      </c>
      <c r="G67" s="762">
        <v>3877</v>
      </c>
      <c r="H67" s="762">
        <v>3741</v>
      </c>
      <c r="I67" s="762">
        <v>7155</v>
      </c>
      <c r="J67" s="763">
        <v>0.15760097070549492</v>
      </c>
      <c r="K67" s="763">
        <v>0.24708411348025633</v>
      </c>
      <c r="L67" s="763">
        <v>0.14304075402988276</v>
      </c>
      <c r="M67" s="763">
        <v>0.28059211029571096</v>
      </c>
      <c r="N67" s="763">
        <v>0.43776030024318968</v>
      </c>
      <c r="O67" s="763">
        <v>0.12089267619769664</v>
      </c>
      <c r="P67" s="763">
        <v>0.13108355798470547</v>
      </c>
      <c r="Q67" s="763">
        <v>0.0781352602152022</v>
      </c>
      <c r="R67" s="763">
        <v>0.095283569905843427</v>
      </c>
      <c r="S67" s="763">
        <v>0.099534533376987783</v>
      </c>
      <c r="T67" s="763">
        <v>0.037310102076374863</v>
      </c>
      <c r="U67" s="763">
        <v>0.46858518686122191</v>
      </c>
      <c r="V67" s="763">
        <v>0.1189597179250886</v>
      </c>
      <c r="W67" s="763">
        <v>0.12413817908990211</v>
      </c>
      <c r="X67" s="763">
        <v>0.076147079771351045</v>
      </c>
      <c r="Y67" s="763">
        <v>0.086542007718151209</v>
      </c>
      <c r="Z67" s="763">
        <v>0.0935415930766488</v>
      </c>
      <c r="AA67" s="763">
        <v>0.032086235557636324</v>
      </c>
      <c r="AB67" s="763">
        <v>0.022432980025637896</v>
      </c>
      <c r="AC67" s="763">
        <v>0.044840188297606345</v>
      </c>
      <c r="AD67" s="763">
        <v>0.065847399527924649</v>
      </c>
      <c r="AE67" s="763">
        <v>0.0035423300391092378</v>
      </c>
      <c r="AF67" s="763">
        <v>0.0068731059166375775</v>
      </c>
      <c r="AG67" s="763">
        <v>0.012029466320755116</v>
      </c>
      <c r="AH67" s="763">
        <v>0.00598990243365317</v>
      </c>
      <c r="AI67" s="763">
        <v>0.35609854893086762</v>
      </c>
      <c r="AJ67" s="763">
        <v>0.40066587025193351</v>
      </c>
      <c r="AK67" s="763">
        <v>0.42941739127663348</v>
      </c>
      <c r="AL67" s="763">
        <v>0.48775464247937589</v>
      </c>
      <c r="AM67" s="763">
        <v>0.21420300159704436</v>
      </c>
      <c r="AN67" s="763">
        <v>0.099809325706361585</v>
      </c>
      <c r="AO67" s="764">
        <v>0.067048679912172643</v>
      </c>
      <c r="AP67" s="394"/>
      <c r="AQ67" s="397"/>
      <c r="AR67" s="398"/>
      <c r="AS67" s="398"/>
    </row>
    <row r="68" spans="1:45">
      <c r="A68" s="396">
        <v>390</v>
      </c>
      <c r="B68" s="761" t="s">
        <v>223</v>
      </c>
      <c r="C68" s="762">
        <v>14931</v>
      </c>
      <c r="D68" s="762">
        <v>12864</v>
      </c>
      <c r="E68" s="762">
        <v>8788</v>
      </c>
      <c r="F68" s="762">
        <v>1877</v>
      </c>
      <c r="G68" s="762">
        <v>1851</v>
      </c>
      <c r="H68" s="762">
        <v>1780</v>
      </c>
      <c r="I68" s="762">
        <v>3280</v>
      </c>
      <c r="J68" s="763">
        <v>0.19744156453017211</v>
      </c>
      <c r="K68" s="763">
        <v>0.28502571005652327</v>
      </c>
      <c r="L68" s="763">
        <v>0.17341829767865272</v>
      </c>
      <c r="M68" s="763">
        <v>0.32529466566764714</v>
      </c>
      <c r="N68" s="763">
        <v>0.46478487787207395</v>
      </c>
      <c r="O68" s="763">
        <v>0.11994777487547971</v>
      </c>
      <c r="P68" s="763">
        <v>0.11775044109868189</v>
      </c>
      <c r="Q68" s="763">
        <v>0.13712238076227418</v>
      </c>
      <c r="R68" s="763">
        <v>0.037862953755758141</v>
      </c>
      <c r="S68" s="763">
        <v>0.074889925932309226</v>
      </c>
      <c r="T68" s="763">
        <v>0.047641645703422823</v>
      </c>
      <c r="U68" s="763">
        <v>0.49278083840280323</v>
      </c>
      <c r="V68" s="763">
        <v>0.11837999884146679</v>
      </c>
      <c r="W68" s="763">
        <v>0.11040271875685204</v>
      </c>
      <c r="X68" s="763">
        <v>0.13519662105966518</v>
      </c>
      <c r="Y68" s="763">
        <v>0.036245085148173685</v>
      </c>
      <c r="Z68" s="763">
        <v>0.066511713624482591</v>
      </c>
      <c r="AA68" s="763">
        <v>0.040483024166556837</v>
      </c>
      <c r="AB68" s="763">
        <v>0.022438486455264341</v>
      </c>
      <c r="AC68" s="763">
        <v>0.039908846303685658</v>
      </c>
      <c r="AD68" s="763">
        <v>0.0549954360950325</v>
      </c>
      <c r="AE68" s="763">
        <v>0.0057016881683507941</v>
      </c>
      <c r="AF68" s="763">
        <v>0.0087873520936281591</v>
      </c>
      <c r="AG68" s="763">
        <v>0.013578388721866367</v>
      </c>
      <c r="AH68" s="763">
        <v>0.00802441295045548</v>
      </c>
      <c r="AI68" s="763">
        <v>0.38018716123220686</v>
      </c>
      <c r="AJ68" s="763">
        <v>0.29400085607176274</v>
      </c>
      <c r="AK68" s="763">
        <v>0.30453606579883941</v>
      </c>
      <c r="AL68" s="763">
        <v>0.38123276507913734</v>
      </c>
      <c r="AM68" s="763">
        <v>0.16202533927800419</v>
      </c>
      <c r="AN68" s="763">
        <v>0.059138704708324948</v>
      </c>
      <c r="AO68" s="764">
        <v>0.12061902594446978</v>
      </c>
      <c r="AP68" s="394"/>
      <c r="AQ68" s="397"/>
      <c r="AR68" s="398"/>
      <c r="AS68" s="398"/>
    </row>
    <row r="69" spans="1:45">
      <c r="A69" s="396">
        <v>391</v>
      </c>
      <c r="B69" s="761" t="s">
        <v>261</v>
      </c>
      <c r="C69" s="762">
        <v>21734</v>
      </c>
      <c r="D69" s="762">
        <v>18618</v>
      </c>
      <c r="E69" s="762">
        <v>12891</v>
      </c>
      <c r="F69" s="762">
        <v>2723</v>
      </c>
      <c r="G69" s="762">
        <v>2661</v>
      </c>
      <c r="H69" s="762">
        <v>2546</v>
      </c>
      <c r="I69" s="762">
        <v>4961</v>
      </c>
      <c r="J69" s="763">
        <v>0.29925462409128556</v>
      </c>
      <c r="K69" s="763">
        <v>0.35792807529767157</v>
      </c>
      <c r="L69" s="763">
        <v>0.28516018927934206</v>
      </c>
      <c r="M69" s="763">
        <v>0.40038930947424839</v>
      </c>
      <c r="N69" s="763">
        <v>0.35072827531443163</v>
      </c>
      <c r="O69" s="763">
        <v>0.08536659506252646</v>
      </c>
      <c r="P69" s="763">
        <v>0.056474713791442366</v>
      </c>
      <c r="Q69" s="763">
        <v>0.098379941774545926</v>
      </c>
      <c r="R69" s="763">
        <v>0.0697462877550259</v>
      </c>
      <c r="S69" s="763">
        <v>0.23113524024341722</v>
      </c>
      <c r="T69" s="763">
        <v>0.10816894605861055</v>
      </c>
      <c r="U69" s="763">
        <v>0.35047172396622017</v>
      </c>
      <c r="V69" s="763">
        <v>0.083203507030927965</v>
      </c>
      <c r="W69" s="763">
        <v>0.05793251135439477</v>
      </c>
      <c r="X69" s="763">
        <v>0.099178089254071122</v>
      </c>
      <c r="Y69" s="763">
        <v>0.07210660940518146</v>
      </c>
      <c r="Z69" s="763">
        <v>0.23183042866903744</v>
      </c>
      <c r="AA69" s="763">
        <v>0.10527713032016714</v>
      </c>
      <c r="AB69" s="763">
        <v>0.05923572958343435</v>
      </c>
      <c r="AC69" s="763">
        <v>0.1100832564163023</v>
      </c>
      <c r="AD69" s="763">
        <v>0.15955178572354087</v>
      </c>
      <c r="AE69" s="763">
        <v>0.015409815332091667</v>
      </c>
      <c r="AF69" s="763">
        <v>0.027035920813775153</v>
      </c>
      <c r="AG69" s="763">
        <v>0.04453696453944659</v>
      </c>
      <c r="AH69" s="763">
        <v>0.0058670278875737275</v>
      </c>
      <c r="AI69" s="763">
        <v>0.374028407038669</v>
      </c>
      <c r="AJ69" s="763">
        <v>0.312986868660409</v>
      </c>
      <c r="AK69" s="763">
        <v>0.37185627665057619</v>
      </c>
      <c r="AL69" s="763">
        <v>0.44067817425633932</v>
      </c>
      <c r="AM69" s="763">
        <v>0.1973204117877615</v>
      </c>
      <c r="AN69" s="763">
        <v>0.084291892886721231</v>
      </c>
      <c r="AO69" s="764">
        <v>0.0655496082538205</v>
      </c>
      <c r="AP69" s="394"/>
      <c r="AQ69" s="397"/>
      <c r="AR69" s="398"/>
      <c r="AS69" s="398"/>
    </row>
    <row r="70" spans="1:45">
      <c r="A70" s="396">
        <v>392</v>
      </c>
      <c r="B70" s="761" t="s">
        <v>267</v>
      </c>
      <c r="C70" s="762">
        <v>16421</v>
      </c>
      <c r="D70" s="762">
        <v>14074</v>
      </c>
      <c r="E70" s="762">
        <v>10365</v>
      </c>
      <c r="F70" s="762">
        <v>2077</v>
      </c>
      <c r="G70" s="762">
        <v>2203</v>
      </c>
      <c r="H70" s="762">
        <v>2136</v>
      </c>
      <c r="I70" s="762">
        <v>3949</v>
      </c>
      <c r="J70" s="763">
        <v>0.15151330613239145</v>
      </c>
      <c r="K70" s="763">
        <v>0.25075640076703848</v>
      </c>
      <c r="L70" s="763">
        <v>0.13989387361312111</v>
      </c>
      <c r="M70" s="763">
        <v>0.26769233671110221</v>
      </c>
      <c r="N70" s="763">
        <v>0.51507302023233292</v>
      </c>
      <c r="O70" s="763">
        <v>0.098369982422928465</v>
      </c>
      <c r="P70" s="763">
        <v>0.081661194166732967</v>
      </c>
      <c r="Q70" s="763">
        <v>0.092754597293143143</v>
      </c>
      <c r="R70" s="763">
        <v>0.11910784615146462</v>
      </c>
      <c r="S70" s="763">
        <v>0.0557335408536905</v>
      </c>
      <c r="T70" s="763">
        <v>0.037299818879707326</v>
      </c>
      <c r="U70" s="763">
        <v>0.5337127624590069</v>
      </c>
      <c r="V70" s="763">
        <v>0.088784591617867115</v>
      </c>
      <c r="W70" s="763">
        <v>0.08214160976195764</v>
      </c>
      <c r="X70" s="763">
        <v>0.089315876985717454</v>
      </c>
      <c r="Y70" s="763">
        <v>0.12415910584493345</v>
      </c>
      <c r="Z70" s="763">
        <v>0.04815023196122737</v>
      </c>
      <c r="AA70" s="763">
        <v>0.033735821369290084</v>
      </c>
      <c r="AB70" s="763">
        <v>0.0097091322934633947</v>
      </c>
      <c r="AC70" s="763">
        <v>0.020324560374021357</v>
      </c>
      <c r="AD70" s="763">
        <v>0.028038943644035152</v>
      </c>
      <c r="AE70" s="763">
        <v>0.0022196136910429352</v>
      </c>
      <c r="AF70" s="763">
        <v>0.0041507693811165943</v>
      </c>
      <c r="AG70" s="763">
        <v>0.0056948308641627428</v>
      </c>
      <c r="AH70" s="763">
        <v>0.0055650427755995916</v>
      </c>
      <c r="AI70" s="763">
        <v>0.34641973971572437</v>
      </c>
      <c r="AJ70" s="763">
        <v>0.3069885696219169</v>
      </c>
      <c r="AK70" s="763">
        <v>0.33451995283673064</v>
      </c>
      <c r="AL70" s="763">
        <v>0.42813334271591735</v>
      </c>
      <c r="AM70" s="763">
        <v>0.16305208472526933</v>
      </c>
      <c r="AN70" s="763">
        <v>0.048535411972474254</v>
      </c>
      <c r="AO70" s="764">
        <v>0.079884225759768446</v>
      </c>
      <c r="AP70" s="394"/>
      <c r="AQ70" s="397"/>
      <c r="AR70" s="398"/>
      <c r="AS70" s="398"/>
    </row>
    <row r="71" spans="1:45">
      <c r="A71" s="396">
        <v>393</v>
      </c>
      <c r="B71" s="761" t="s">
        <v>294</v>
      </c>
      <c r="C71" s="762">
        <v>11652</v>
      </c>
      <c r="D71" s="762">
        <v>10016</v>
      </c>
      <c r="E71" s="762">
        <v>7744</v>
      </c>
      <c r="F71" s="762">
        <v>1604</v>
      </c>
      <c r="G71" s="762">
        <v>1580</v>
      </c>
      <c r="H71" s="762">
        <v>1557</v>
      </c>
      <c r="I71" s="762">
        <v>3003</v>
      </c>
      <c r="J71" s="763">
        <v>0.2420185375901133</v>
      </c>
      <c r="K71" s="763">
        <v>0.34750833142363069</v>
      </c>
      <c r="L71" s="763">
        <v>0.21371384297520674</v>
      </c>
      <c r="M71" s="763">
        <v>0.39018983065462431</v>
      </c>
      <c r="N71" s="763">
        <v>0.29356146078247053</v>
      </c>
      <c r="O71" s="763">
        <v>0.096995276575804534</v>
      </c>
      <c r="P71" s="763">
        <v>0.075269883738883256</v>
      </c>
      <c r="Q71" s="763">
        <v>0.14154503181167891</v>
      </c>
      <c r="R71" s="763">
        <v>0.16771763526749073</v>
      </c>
      <c r="S71" s="763">
        <v>0.16103592751787485</v>
      </c>
      <c r="T71" s="763">
        <v>0.063874784305797169</v>
      </c>
      <c r="U71" s="763">
        <v>0.34554828133487514</v>
      </c>
      <c r="V71" s="763">
        <v>0.10585417837766099</v>
      </c>
      <c r="W71" s="763">
        <v>0.07651261336684613</v>
      </c>
      <c r="X71" s="763">
        <v>0.13182419025881578</v>
      </c>
      <c r="Y71" s="763">
        <v>0.15237018016581896</v>
      </c>
      <c r="Z71" s="763">
        <v>0.13762749486316478</v>
      </c>
      <c r="AA71" s="763">
        <v>0.0502630616328186</v>
      </c>
      <c r="AB71" s="763">
        <v>0.010368099761591648</v>
      </c>
      <c r="AC71" s="763">
        <v>0.021099063093237936</v>
      </c>
      <c r="AD71" s="763">
        <v>0.030542363825989863</v>
      </c>
      <c r="AE71" s="763">
        <v>0.0019370791954860984</v>
      </c>
      <c r="AF71" s="763">
        <v>0.0045204611204626736</v>
      </c>
      <c r="AG71" s="763">
        <v>0.00594203523359081</v>
      </c>
      <c r="AH71" s="763">
        <v>0.0079694174058088565</v>
      </c>
      <c r="AI71" s="763">
        <v>0.35770504826184968</v>
      </c>
      <c r="AJ71" s="763">
        <v>0.31474157014595627</v>
      </c>
      <c r="AK71" s="763">
        <v>0.33183325100477978</v>
      </c>
      <c r="AL71" s="763">
        <v>0.40695064081877813</v>
      </c>
      <c r="AM71" s="763">
        <v>0.16816409367104823</v>
      </c>
      <c r="AN71" s="763">
        <v>0.055698592516306225</v>
      </c>
      <c r="AO71" s="764">
        <v>0.047520661157024795</v>
      </c>
      <c r="AP71" s="394"/>
      <c r="AQ71" s="397"/>
      <c r="AR71" s="398"/>
      <c r="AS71" s="398"/>
    </row>
    <row r="72" spans="1:45">
      <c r="A72" s="396">
        <v>394</v>
      </c>
      <c r="B72" s="761" t="s">
        <v>304</v>
      </c>
      <c r="C72" s="762">
        <v>21658</v>
      </c>
      <c r="D72" s="762">
        <v>18774</v>
      </c>
      <c r="E72" s="762">
        <v>14325</v>
      </c>
      <c r="F72" s="762">
        <v>3059</v>
      </c>
      <c r="G72" s="762">
        <v>2913</v>
      </c>
      <c r="H72" s="762">
        <v>2829</v>
      </c>
      <c r="I72" s="762">
        <v>5524</v>
      </c>
      <c r="J72" s="763">
        <v>0.23630990857881615</v>
      </c>
      <c r="K72" s="763">
        <v>0.30067255195681991</v>
      </c>
      <c r="L72" s="763">
        <v>0.23092495636998245</v>
      </c>
      <c r="M72" s="763">
        <v>0.36274565784628271</v>
      </c>
      <c r="N72" s="763">
        <v>0.34553214846875213</v>
      </c>
      <c r="O72" s="763">
        <v>0.11768153594387827</v>
      </c>
      <c r="P72" s="763">
        <v>0.078351823379751759</v>
      </c>
      <c r="Q72" s="763">
        <v>0.12802304032645859</v>
      </c>
      <c r="R72" s="763">
        <v>0.12995277902843591</v>
      </c>
      <c r="S72" s="763">
        <v>0.14244493124380808</v>
      </c>
      <c r="T72" s="763">
        <v>0.058013741608915287</v>
      </c>
      <c r="U72" s="763">
        <v>0.37017723847761175</v>
      </c>
      <c r="V72" s="763">
        <v>0.11787041153352576</v>
      </c>
      <c r="W72" s="763">
        <v>0.078387378323279716</v>
      </c>
      <c r="X72" s="763">
        <v>0.13049322584259632</v>
      </c>
      <c r="Y72" s="763">
        <v>0.12283558019321326</v>
      </c>
      <c r="Z72" s="763">
        <v>0.12790491669660534</v>
      </c>
      <c r="AA72" s="763">
        <v>0.052331248933168054</v>
      </c>
      <c r="AB72" s="763">
        <v>0.012191425182345391</v>
      </c>
      <c r="AC72" s="763">
        <v>0.02371762664478581</v>
      </c>
      <c r="AD72" s="763">
        <v>0.0331828227446873</v>
      </c>
      <c r="AE72" s="763">
        <v>0.0016056809291689253</v>
      </c>
      <c r="AF72" s="763">
        <v>0.0032851088169350163</v>
      </c>
      <c r="AG72" s="763">
        <v>0.005101783571925071</v>
      </c>
      <c r="AH72" s="763">
        <v>0.0085530980049030522</v>
      </c>
      <c r="AI72" s="763">
        <v>0.34532915869852954</v>
      </c>
      <c r="AJ72" s="763">
        <v>0.30904999920594106</v>
      </c>
      <c r="AK72" s="763">
        <v>0.3063380286150254</v>
      </c>
      <c r="AL72" s="763">
        <v>0.38620626693670568</v>
      </c>
      <c r="AM72" s="763">
        <v>0.17167489954208981</v>
      </c>
      <c r="AN72" s="763">
        <v>0.0796472435127897</v>
      </c>
      <c r="AO72" s="764">
        <v>0.05842931937172776</v>
      </c>
      <c r="AP72" s="394"/>
      <c r="AQ72" s="397"/>
      <c r="AR72" s="398"/>
      <c r="AS72" s="398"/>
    </row>
    <row r="73" spans="1:45">
      <c r="A73" s="396">
        <v>420</v>
      </c>
      <c r="B73" s="761" t="s">
        <v>239</v>
      </c>
      <c r="C73" s="762">
        <v>147</v>
      </c>
      <c r="D73" s="762">
        <v>118</v>
      </c>
      <c r="E73" s="762">
        <v>95</v>
      </c>
      <c r="F73" s="762">
        <v>31</v>
      </c>
      <c r="G73" s="762">
        <v>17</v>
      </c>
      <c r="H73" s="762">
        <v>14</v>
      </c>
      <c r="I73" s="762">
        <v>33</v>
      </c>
      <c r="J73" s="763">
        <v>0.0136054421768707</v>
      </c>
      <c r="K73" s="763">
        <v>0.0136054421768707</v>
      </c>
      <c r="L73" s="763">
        <v>0.010526315789473701</v>
      </c>
      <c r="M73" s="763">
        <v>0.13095238095238096</v>
      </c>
      <c r="N73" s="763">
        <v>1</v>
      </c>
      <c r="O73" s="763">
        <v>0</v>
      </c>
      <c r="P73" s="763">
        <v>0</v>
      </c>
      <c r="Q73" s="763">
        <v>0</v>
      </c>
      <c r="R73" s="763">
        <v>0</v>
      </c>
      <c r="S73" s="763">
        <v>0</v>
      </c>
      <c r="T73" s="763">
        <v>0</v>
      </c>
      <c r="U73" s="763">
        <v>1</v>
      </c>
      <c r="V73" s="763">
        <v>0</v>
      </c>
      <c r="W73" s="763">
        <v>0</v>
      </c>
      <c r="X73" s="763">
        <v>0</v>
      </c>
      <c r="Y73" s="763">
        <v>0</v>
      </c>
      <c r="Z73" s="763">
        <v>0</v>
      </c>
      <c r="AA73" s="763">
        <v>0</v>
      </c>
      <c r="AB73" s="763">
        <v>0</v>
      </c>
      <c r="AC73" s="763">
        <v>0.00847457627118644</v>
      </c>
      <c r="AD73" s="763">
        <v>0.00847457627118644</v>
      </c>
      <c r="AE73" s="763">
        <v>0</v>
      </c>
      <c r="AF73" s="763">
        <v>0</v>
      </c>
      <c r="AG73" s="763">
        <v>0</v>
      </c>
      <c r="AH73" s="763">
        <v>0.00423728813559322</v>
      </c>
      <c r="AI73" s="763">
        <v>0.19642857142857098</v>
      </c>
      <c r="AJ73" s="763">
        <v>0.419354838709677</v>
      </c>
      <c r="AK73" s="763">
        <v>0.6875</v>
      </c>
      <c r="AL73" s="763">
        <v>0.5</v>
      </c>
      <c r="AM73" s="763">
        <v>0.258064516129032</v>
      </c>
      <c r="AN73" s="763">
        <v>0.0612244897959184</v>
      </c>
      <c r="AO73" s="764">
        <v>0.0421052631578947</v>
      </c>
      <c r="AP73" s="394"/>
      <c r="AQ73" s="397"/>
      <c r="AR73" s="398"/>
      <c r="AS73" s="398"/>
    </row>
    <row r="74" spans="1:45">
      <c r="A74" s="396">
        <v>800</v>
      </c>
      <c r="B74" s="761" t="s">
        <v>654</v>
      </c>
      <c r="C74" s="762">
        <v>12930</v>
      </c>
      <c r="D74" s="762">
        <v>11148</v>
      </c>
      <c r="E74" s="762">
        <v>10999</v>
      </c>
      <c r="F74" s="762">
        <v>2324</v>
      </c>
      <c r="G74" s="762">
        <v>2217</v>
      </c>
      <c r="H74" s="762">
        <v>2188</v>
      </c>
      <c r="I74" s="762">
        <v>4270</v>
      </c>
      <c r="J74" s="763">
        <v>0.12861562258313991</v>
      </c>
      <c r="K74" s="763">
        <v>0.16811133668713213</v>
      </c>
      <c r="L74" s="763">
        <v>0.10519138103463957</v>
      </c>
      <c r="M74" s="763">
        <v>0.18136169009605188</v>
      </c>
      <c r="N74" s="763">
        <v>0.80145984788965385</v>
      </c>
      <c r="O74" s="763">
        <v>0.050452005587295963</v>
      </c>
      <c r="P74" s="763">
        <v>0.083573700961926053</v>
      </c>
      <c r="Q74" s="763">
        <v>0.01500617610817161</v>
      </c>
      <c r="R74" s="763">
        <v>0.030555151404666941</v>
      </c>
      <c r="S74" s="763">
        <v>0.018256412451893814</v>
      </c>
      <c r="T74" s="763">
        <v>0.00069670559639168879</v>
      </c>
      <c r="U74" s="763">
        <v>0.80846823290816872</v>
      </c>
      <c r="V74" s="763">
        <v>0.054861194843850006</v>
      </c>
      <c r="W74" s="763">
        <v>0.067233311352487432</v>
      </c>
      <c r="X74" s="763">
        <v>0.013922231440576633</v>
      </c>
      <c r="Y74" s="763">
        <v>0.025851994563415231</v>
      </c>
      <c r="Z74" s="763">
        <v>0.023933717483438217</v>
      </c>
      <c r="AA74" s="763">
        <v>0.0057293174080637393</v>
      </c>
      <c r="AB74" s="763">
        <v>0.01916404584764823</v>
      </c>
      <c r="AC74" s="763">
        <v>0.03254496358183049</v>
      </c>
      <c r="AD74" s="763">
        <v>0.047782197554242477</v>
      </c>
      <c r="AE74" s="763">
        <v>0.0034632766746864113</v>
      </c>
      <c r="AF74" s="763">
        <v>0.0058358388503813481</v>
      </c>
      <c r="AG74" s="763">
        <v>0.0092501694680218929</v>
      </c>
      <c r="AH74" s="763">
        <v>0.0038403626280156485</v>
      </c>
      <c r="AI74" s="763">
        <v>0.32136970058153941</v>
      </c>
      <c r="AJ74" s="763">
        <v>0.33002357222194528</v>
      </c>
      <c r="AK74" s="763">
        <v>0.34287900049362785</v>
      </c>
      <c r="AL74" s="763">
        <v>0.43424123902583728</v>
      </c>
      <c r="AM74" s="763">
        <v>0.15402437215438539</v>
      </c>
      <c r="AN74" s="763">
        <v>0.061871616395978338</v>
      </c>
      <c r="AO74" s="764">
        <v>0.039003545776888811</v>
      </c>
      <c r="AP74" s="394"/>
      <c r="AQ74" s="397"/>
      <c r="AR74" s="398"/>
      <c r="AS74" s="398"/>
    </row>
    <row r="75" spans="1:45">
      <c r="A75" s="396">
        <v>801</v>
      </c>
      <c r="B75" s="761" t="s">
        <v>655</v>
      </c>
      <c r="C75" s="762">
        <v>36225</v>
      </c>
      <c r="D75" s="762">
        <v>30963</v>
      </c>
      <c r="E75" s="762">
        <v>18397</v>
      </c>
      <c r="F75" s="762">
        <v>4122</v>
      </c>
      <c r="G75" s="762">
        <v>3772</v>
      </c>
      <c r="H75" s="762">
        <v>3685</v>
      </c>
      <c r="I75" s="762">
        <v>6818</v>
      </c>
      <c r="J75" s="763">
        <v>0.19475500345065561</v>
      </c>
      <c r="K75" s="763">
        <v>0.27300396596576493</v>
      </c>
      <c r="L75" s="763">
        <v>0.19144425721585037</v>
      </c>
      <c r="M75" s="763">
        <v>0.34564837228544587</v>
      </c>
      <c r="N75" s="763">
        <v>0.40972117335892816</v>
      </c>
      <c r="O75" s="763">
        <v>0.12311563153942696</v>
      </c>
      <c r="P75" s="763">
        <v>0.10130366524056998</v>
      </c>
      <c r="Q75" s="763">
        <v>0.054585270559558356</v>
      </c>
      <c r="R75" s="763">
        <v>0.084163518897028056</v>
      </c>
      <c r="S75" s="763">
        <v>0.16012870865809245</v>
      </c>
      <c r="T75" s="763">
        <v>0.066982031746396178</v>
      </c>
      <c r="U75" s="763">
        <v>0.39327203313411396</v>
      </c>
      <c r="V75" s="763">
        <v>0.12015305160071107</v>
      </c>
      <c r="W75" s="763">
        <v>0.10600136885954847</v>
      </c>
      <c r="X75" s="763">
        <v>0.062315418461561668</v>
      </c>
      <c r="Y75" s="763">
        <v>0.09272606048809913</v>
      </c>
      <c r="Z75" s="763">
        <v>0.15633157073510132</v>
      </c>
      <c r="AA75" s="763">
        <v>0.069200496720864257</v>
      </c>
      <c r="AB75" s="763">
        <v>0.046454191528635842</v>
      </c>
      <c r="AC75" s="763">
        <v>0.088730156693015469</v>
      </c>
      <c r="AD75" s="763">
        <v>0.12780910946127319</v>
      </c>
      <c r="AE75" s="763">
        <v>0.00947822744123596</v>
      </c>
      <c r="AF75" s="763">
        <v>0.018378427535634852</v>
      </c>
      <c r="AG75" s="763">
        <v>0.031298085381454531</v>
      </c>
      <c r="AH75" s="763">
        <v>0.0047792468466035286</v>
      </c>
      <c r="AI75" s="763">
        <v>0.36608585713899178</v>
      </c>
      <c r="AJ75" s="763">
        <v>0.37222392893450246</v>
      </c>
      <c r="AK75" s="763">
        <v>0.38710240614459546</v>
      </c>
      <c r="AL75" s="763">
        <v>0.46993692322135089</v>
      </c>
      <c r="AM75" s="763">
        <v>0.22301755915773666</v>
      </c>
      <c r="AN75" s="763">
        <v>0.087453416149068292</v>
      </c>
      <c r="AO75" s="764">
        <v>0.11681252378105124</v>
      </c>
      <c r="AP75" s="394"/>
      <c r="AQ75" s="397"/>
      <c r="AR75" s="398"/>
      <c r="AS75" s="398"/>
    </row>
    <row r="76" spans="1:45">
      <c r="A76" s="396">
        <v>802</v>
      </c>
      <c r="B76" s="761" t="s">
        <v>266</v>
      </c>
      <c r="C76" s="762">
        <v>16927</v>
      </c>
      <c r="D76" s="762">
        <v>14667</v>
      </c>
      <c r="E76" s="762">
        <v>11234</v>
      </c>
      <c r="F76" s="762">
        <v>2420</v>
      </c>
      <c r="G76" s="762">
        <v>2271</v>
      </c>
      <c r="H76" s="762">
        <v>2217</v>
      </c>
      <c r="I76" s="762">
        <v>4326</v>
      </c>
      <c r="J76" s="763">
        <v>0.095527854906362619</v>
      </c>
      <c r="K76" s="763">
        <v>0.1622604154676546</v>
      </c>
      <c r="L76" s="763">
        <v>0.09444543350542986</v>
      </c>
      <c r="M76" s="763">
        <v>0.20955400148933029</v>
      </c>
      <c r="N76" s="763">
        <v>0.76185218401197385</v>
      </c>
      <c r="O76" s="763">
        <v>0.0430102729211733</v>
      </c>
      <c r="P76" s="763">
        <v>0.048118128274814043</v>
      </c>
      <c r="Q76" s="763">
        <v>0.041735843845963565</v>
      </c>
      <c r="R76" s="763">
        <v>0.0031915805423638954</v>
      </c>
      <c r="S76" s="763">
        <v>0.070031586500684417</v>
      </c>
      <c r="T76" s="763">
        <v>0.032060403903026891</v>
      </c>
      <c r="U76" s="763">
        <v>0.7503668236289921</v>
      </c>
      <c r="V76" s="763">
        <v>0.047027375057720491</v>
      </c>
      <c r="W76" s="763">
        <v>0.052494596836313884</v>
      </c>
      <c r="X76" s="763">
        <v>0.044433367716449838</v>
      </c>
      <c r="Y76" s="763">
        <v>0.010711749745740072</v>
      </c>
      <c r="Z76" s="763">
        <v>0.06966995382169297</v>
      </c>
      <c r="AA76" s="763">
        <v>0.025296133193090681</v>
      </c>
      <c r="AB76" s="763">
        <v>0.014500948245311248</v>
      </c>
      <c r="AC76" s="763">
        <v>0.02812750883395377</v>
      </c>
      <c r="AD76" s="763">
        <v>0.040840382272331076</v>
      </c>
      <c r="AE76" s="763">
        <v>0.0030297783229807089</v>
      </c>
      <c r="AF76" s="763">
        <v>0.0065932270316894212</v>
      </c>
      <c r="AG76" s="763">
        <v>0.010423806975285428</v>
      </c>
      <c r="AH76" s="763">
        <v>0.0038276887470290641</v>
      </c>
      <c r="AI76" s="763">
        <v>0.27825902829583754</v>
      </c>
      <c r="AJ76" s="763">
        <v>0.34835157823047</v>
      </c>
      <c r="AK76" s="763">
        <v>0.39576044652529213</v>
      </c>
      <c r="AL76" s="763">
        <v>0.42613167595757989</v>
      </c>
      <c r="AM76" s="763">
        <v>0.16713279794630256</v>
      </c>
      <c r="AN76" s="763">
        <v>0.080226856501447369</v>
      </c>
      <c r="AO76" s="764">
        <v>0.10815381876446507</v>
      </c>
      <c r="AP76" s="394"/>
      <c r="AQ76" s="397"/>
      <c r="AR76" s="398"/>
      <c r="AS76" s="398"/>
    </row>
    <row r="77" spans="1:45">
      <c r="A77" s="396">
        <v>803</v>
      </c>
      <c r="B77" s="761" t="s">
        <v>293</v>
      </c>
      <c r="C77" s="762">
        <v>23561</v>
      </c>
      <c r="D77" s="762">
        <v>20218</v>
      </c>
      <c r="E77" s="762">
        <v>13041</v>
      </c>
      <c r="F77" s="762">
        <v>2656</v>
      </c>
      <c r="G77" s="762">
        <v>2620</v>
      </c>
      <c r="H77" s="762">
        <v>2617</v>
      </c>
      <c r="I77" s="762">
        <v>5148</v>
      </c>
      <c r="J77" s="763">
        <v>0.083824964984508282</v>
      </c>
      <c r="K77" s="763">
        <v>0.1351262478322641</v>
      </c>
      <c r="L77" s="763">
        <v>0.098382025918257926</v>
      </c>
      <c r="M77" s="763">
        <v>0.19777824826890913</v>
      </c>
      <c r="N77" s="763">
        <v>0.78189871771592745</v>
      </c>
      <c r="O77" s="763">
        <v>0.11363431891533479</v>
      </c>
      <c r="P77" s="763">
        <v>0.0647386136914317</v>
      </c>
      <c r="Q77" s="763">
        <v>0.023660367948069531</v>
      </c>
      <c r="R77" s="763">
        <v>0.013173151276838321</v>
      </c>
      <c r="S77" s="763">
        <v>0.0028521462786290554</v>
      </c>
      <c r="T77" s="763">
        <v>4.2684173769441788E-05</v>
      </c>
      <c r="U77" s="763">
        <v>0.75649418275453939</v>
      </c>
      <c r="V77" s="763">
        <v>0.12406663706753984</v>
      </c>
      <c r="W77" s="763">
        <v>0.06941465218760319</v>
      </c>
      <c r="X77" s="763">
        <v>0.020432498915455836</v>
      </c>
      <c r="Y77" s="763">
        <v>0.016363113628227788</v>
      </c>
      <c r="Z77" s="763">
        <v>0.012688545081105063</v>
      </c>
      <c r="AA77" s="763">
        <v>0.00054037036552892427</v>
      </c>
      <c r="AB77" s="763">
        <v>0.021338890380708759</v>
      </c>
      <c r="AC77" s="763">
        <v>0.038951767404567073</v>
      </c>
      <c r="AD77" s="763">
        <v>0.055683523648368226</v>
      </c>
      <c r="AE77" s="763">
        <v>0.0049518508416666286</v>
      </c>
      <c r="AF77" s="763">
        <v>0.010666915508261309</v>
      </c>
      <c r="AG77" s="763">
        <v>0.01611891609865616</v>
      </c>
      <c r="AH77" s="763">
        <v>0.0038030541966176845</v>
      </c>
      <c r="AI77" s="763">
        <v>0.25323824219304258</v>
      </c>
      <c r="AJ77" s="763">
        <v>0.37692150920570056</v>
      </c>
      <c r="AK77" s="763">
        <v>0.40576232189066674</v>
      </c>
      <c r="AL77" s="763">
        <v>0.49220029818053834</v>
      </c>
      <c r="AM77" s="763">
        <v>0.19561426076929792</v>
      </c>
      <c r="AN77" s="763">
        <v>0.073214209923178147</v>
      </c>
      <c r="AO77" s="764">
        <v>0.128594432942259</v>
      </c>
      <c r="AP77" s="394"/>
      <c r="AQ77" s="397"/>
      <c r="AR77" s="398"/>
      <c r="AS77" s="398"/>
    </row>
    <row r="78" spans="1:45">
      <c r="A78" s="396">
        <v>805</v>
      </c>
      <c r="B78" s="761" t="s">
        <v>232</v>
      </c>
      <c r="C78" s="762">
        <v>8066</v>
      </c>
      <c r="D78" s="762">
        <v>6986</v>
      </c>
      <c r="E78" s="762">
        <v>5305</v>
      </c>
      <c r="F78" s="762">
        <v>1116</v>
      </c>
      <c r="G78" s="762">
        <v>1109</v>
      </c>
      <c r="H78" s="762">
        <v>1060</v>
      </c>
      <c r="I78" s="762">
        <v>2020</v>
      </c>
      <c r="J78" s="763">
        <v>0.31663773865608724</v>
      </c>
      <c r="K78" s="763">
        <v>0.40902059644881233</v>
      </c>
      <c r="L78" s="763">
        <v>0.28143261074458076</v>
      </c>
      <c r="M78" s="763">
        <v>0.41995189457272558</v>
      </c>
      <c r="N78" s="763">
        <v>0.37516376706733362</v>
      </c>
      <c r="O78" s="763">
        <v>0.01549714852467147</v>
      </c>
      <c r="P78" s="763">
        <v>0.064133367738785127</v>
      </c>
      <c r="Q78" s="763">
        <v>0.076527776178133528</v>
      </c>
      <c r="R78" s="763">
        <v>0.073426753339200387</v>
      </c>
      <c r="S78" s="763">
        <v>0.22331781556312752</v>
      </c>
      <c r="T78" s="763">
        <v>0.17193337158874855</v>
      </c>
      <c r="U78" s="763">
        <v>0.40957543051138118</v>
      </c>
      <c r="V78" s="763">
        <v>0.016969382705152889</v>
      </c>
      <c r="W78" s="763">
        <v>0.062441250918077541</v>
      </c>
      <c r="X78" s="763">
        <v>0.071095766913903985</v>
      </c>
      <c r="Y78" s="763">
        <v>0.06130551413918206</v>
      </c>
      <c r="Z78" s="763">
        <v>0.21935149839710738</v>
      </c>
      <c r="AA78" s="763">
        <v>0.15926115641519481</v>
      </c>
      <c r="AB78" s="763">
        <v>0.0099249240076744565</v>
      </c>
      <c r="AC78" s="763">
        <v>0.020739877064356687</v>
      </c>
      <c r="AD78" s="763">
        <v>0.028741672323031889</v>
      </c>
      <c r="AE78" s="763">
        <v>0.0024520971176965577</v>
      </c>
      <c r="AF78" s="763">
        <v>0.0054744346931010724</v>
      </c>
      <c r="AG78" s="763">
        <v>0.007360238200111462</v>
      </c>
      <c r="AH78" s="763">
        <v>0.011560121526169739</v>
      </c>
      <c r="AI78" s="763">
        <v>0.35802847812977207</v>
      </c>
      <c r="AJ78" s="763">
        <v>0.31775762681069636</v>
      </c>
      <c r="AK78" s="763">
        <v>0.34339190825533727</v>
      </c>
      <c r="AL78" s="763">
        <v>0.45704798036989225</v>
      </c>
      <c r="AM78" s="763">
        <v>0.16936802895716624</v>
      </c>
      <c r="AN78" s="763">
        <v>0.065335978180014867</v>
      </c>
      <c r="AO78" s="764">
        <v>0.046559849198868984</v>
      </c>
      <c r="AP78" s="394"/>
      <c r="AQ78" s="397"/>
      <c r="AR78" s="398"/>
      <c r="AS78" s="398"/>
    </row>
    <row r="79" spans="1:45">
      <c r="A79" s="396">
        <v>806</v>
      </c>
      <c r="B79" s="761" t="s">
        <v>259</v>
      </c>
      <c r="C79" s="762">
        <v>13536</v>
      </c>
      <c r="D79" s="762">
        <v>11600</v>
      </c>
      <c r="E79" s="762">
        <v>7615</v>
      </c>
      <c r="F79" s="762">
        <v>1650</v>
      </c>
      <c r="G79" s="762">
        <v>1581</v>
      </c>
      <c r="H79" s="762">
        <v>1531</v>
      </c>
      <c r="I79" s="762">
        <v>2853</v>
      </c>
      <c r="J79" s="763">
        <v>0.2853132387706856</v>
      </c>
      <c r="K79" s="763">
        <v>0.4025248024050303</v>
      </c>
      <c r="L79" s="763">
        <v>0.27669074195666438</v>
      </c>
      <c r="M79" s="763">
        <v>0.488095224858412</v>
      </c>
      <c r="N79" s="763">
        <v>0.30659840907154606</v>
      </c>
      <c r="O79" s="763">
        <v>0.063519612596325631</v>
      </c>
      <c r="P79" s="763">
        <v>0.04470575326583761</v>
      </c>
      <c r="Q79" s="763">
        <v>0.0401018006103094</v>
      </c>
      <c r="R79" s="763">
        <v>0.022709852794360438</v>
      </c>
      <c r="S79" s="763">
        <v>0.17181510419658047</v>
      </c>
      <c r="T79" s="763">
        <v>0.35054946746504045</v>
      </c>
      <c r="U79" s="763">
        <v>0.298226538320658</v>
      </c>
      <c r="V79" s="763">
        <v>0.0804202363017035</v>
      </c>
      <c r="W79" s="763">
        <v>0.045077503061167527</v>
      </c>
      <c r="X79" s="763">
        <v>0.043006431098462389</v>
      </c>
      <c r="Y79" s="763">
        <v>0.027608148414211674</v>
      </c>
      <c r="Z79" s="763">
        <v>0.17951686330626335</v>
      </c>
      <c r="AA79" s="763">
        <v>0.32614427949753394</v>
      </c>
      <c r="AB79" s="763">
        <v>0.048426106481564382</v>
      </c>
      <c r="AC79" s="763">
        <v>0.082802794079110481</v>
      </c>
      <c r="AD79" s="763">
        <v>0.11716653633662914</v>
      </c>
      <c r="AE79" s="763">
        <v>0.011738526471292083</v>
      </c>
      <c r="AF79" s="763">
        <v>0.01782592790993701</v>
      </c>
      <c r="AG79" s="763">
        <v>0.029070859255277286</v>
      </c>
      <c r="AH79" s="763">
        <v>0.0090592701163022312</v>
      </c>
      <c r="AI79" s="763">
        <v>0.433909406193204</v>
      </c>
      <c r="AJ79" s="763">
        <v>0.37811419508795036</v>
      </c>
      <c r="AK79" s="763">
        <v>0.40024609713251436</v>
      </c>
      <c r="AL79" s="763">
        <v>0.51177797531417224</v>
      </c>
      <c r="AM79" s="763">
        <v>0.21890517469622464</v>
      </c>
      <c r="AN79" s="763">
        <v>0.11990248226950359</v>
      </c>
      <c r="AO79" s="764">
        <v>0.047012475377544306</v>
      </c>
      <c r="AP79" s="394"/>
      <c r="AQ79" s="397"/>
      <c r="AR79" s="398"/>
      <c r="AS79" s="398"/>
    </row>
    <row r="80" spans="1:45">
      <c r="A80" s="396">
        <v>807</v>
      </c>
      <c r="B80" s="761" t="s">
        <v>280</v>
      </c>
      <c r="C80" s="762">
        <v>11364</v>
      </c>
      <c r="D80" s="762">
        <v>9789</v>
      </c>
      <c r="E80" s="762">
        <v>8093</v>
      </c>
      <c r="F80" s="762">
        <v>1659</v>
      </c>
      <c r="G80" s="762">
        <v>1715</v>
      </c>
      <c r="H80" s="762">
        <v>1608</v>
      </c>
      <c r="I80" s="762">
        <v>3111</v>
      </c>
      <c r="J80" s="763">
        <v>0.22632875747976069</v>
      </c>
      <c r="K80" s="763">
        <v>0.34176430756478737</v>
      </c>
      <c r="L80" s="763">
        <v>0.17669591004571858</v>
      </c>
      <c r="M80" s="763">
        <v>0.34270810608011137</v>
      </c>
      <c r="N80" s="763">
        <v>0.38971109822038968</v>
      </c>
      <c r="O80" s="763">
        <v>0.10856012977707064</v>
      </c>
      <c r="P80" s="763">
        <v>0.066913317754252161</v>
      </c>
      <c r="Q80" s="763">
        <v>0.063578068069879118</v>
      </c>
      <c r="R80" s="763">
        <v>0.087662162936041135</v>
      </c>
      <c r="S80" s="763">
        <v>0.12219249652320681</v>
      </c>
      <c r="T80" s="763">
        <v>0.16138272671916057</v>
      </c>
      <c r="U80" s="763">
        <v>0.4559222136425421</v>
      </c>
      <c r="V80" s="763">
        <v>0.10574755477536826</v>
      </c>
      <c r="W80" s="763">
        <v>0.067888174499646736</v>
      </c>
      <c r="X80" s="763">
        <v>0.057503393866975304</v>
      </c>
      <c r="Y80" s="763">
        <v>0.072742207089386432</v>
      </c>
      <c r="Z80" s="763">
        <v>0.10650313113436473</v>
      </c>
      <c r="AA80" s="763">
        <v>0.13369332499171682</v>
      </c>
      <c r="AB80" s="763">
        <v>0.0044506348555474577</v>
      </c>
      <c r="AC80" s="763">
        <v>0.0076761831626417929</v>
      </c>
      <c r="AD80" s="763">
        <v>0.0099018124221274279</v>
      </c>
      <c r="AE80" s="763">
        <v>0.0024712714691708898</v>
      </c>
      <c r="AF80" s="763">
        <v>0.0033362164833806995</v>
      </c>
      <c r="AG80" s="763">
        <v>0.0043247250710490544</v>
      </c>
      <c r="AH80" s="763">
        <v>0.0073841973537367954</v>
      </c>
      <c r="AI80" s="763">
        <v>0.3621886355478709</v>
      </c>
      <c r="AJ80" s="763">
        <v>0.275879929186442</v>
      </c>
      <c r="AK80" s="763">
        <v>0.29321337980658119</v>
      </c>
      <c r="AL80" s="763">
        <v>0.39704452515675881</v>
      </c>
      <c r="AM80" s="763">
        <v>0.13055805020049802</v>
      </c>
      <c r="AN80" s="763">
        <v>0.0725096796902499</v>
      </c>
      <c r="AO80" s="764">
        <v>0.18621030520202653</v>
      </c>
      <c r="AP80" s="394"/>
      <c r="AQ80" s="397"/>
      <c r="AR80" s="398"/>
      <c r="AS80" s="398"/>
    </row>
    <row r="81" spans="1:45">
      <c r="A81" s="396">
        <v>808</v>
      </c>
      <c r="B81" s="761" t="s">
        <v>301</v>
      </c>
      <c r="C81" s="762">
        <v>17359</v>
      </c>
      <c r="D81" s="762">
        <v>14971</v>
      </c>
      <c r="E81" s="762">
        <v>10678</v>
      </c>
      <c r="F81" s="762">
        <v>2291</v>
      </c>
      <c r="G81" s="762">
        <v>2230</v>
      </c>
      <c r="H81" s="762">
        <v>2172</v>
      </c>
      <c r="I81" s="762">
        <v>3985</v>
      </c>
      <c r="J81" s="763">
        <v>0.18699233826833342</v>
      </c>
      <c r="K81" s="763">
        <v>0.277801149517228</v>
      </c>
      <c r="L81" s="763">
        <v>0.17428357370294079</v>
      </c>
      <c r="M81" s="763">
        <v>0.30585248482591421</v>
      </c>
      <c r="N81" s="763">
        <v>0.51437481698317833</v>
      </c>
      <c r="O81" s="763">
        <v>0.046227774778907368</v>
      </c>
      <c r="P81" s="763">
        <v>0.0803846135338854</v>
      </c>
      <c r="Q81" s="763">
        <v>0.074267601845815268</v>
      </c>
      <c r="R81" s="763">
        <v>0.085213202814728758</v>
      </c>
      <c r="S81" s="763">
        <v>0.12434363304710983</v>
      </c>
      <c r="T81" s="763">
        <v>0.0751883569963752</v>
      </c>
      <c r="U81" s="763">
        <v>0.559187318408119</v>
      </c>
      <c r="V81" s="763">
        <v>0.0431820087281764</v>
      </c>
      <c r="W81" s="763">
        <v>0.0726849026166076</v>
      </c>
      <c r="X81" s="763">
        <v>0.0670596578214497</v>
      </c>
      <c r="Y81" s="763">
        <v>0.076903083935177391</v>
      </c>
      <c r="Z81" s="763">
        <v>0.110632204717466</v>
      </c>
      <c r="AA81" s="763">
        <v>0.07035082377300407</v>
      </c>
      <c r="AB81" s="763">
        <v>0.013571936626163428</v>
      </c>
      <c r="AC81" s="763">
        <v>0.025883933644753613</v>
      </c>
      <c r="AD81" s="763">
        <v>0.039568195470639146</v>
      </c>
      <c r="AE81" s="763">
        <v>0.0023449575023864033</v>
      </c>
      <c r="AF81" s="763">
        <v>0.0038450643983407255</v>
      </c>
      <c r="AG81" s="763">
        <v>0.0063774973372235349</v>
      </c>
      <c r="AH81" s="763">
        <v>0.0092114738269569018</v>
      </c>
      <c r="AI81" s="763">
        <v>0.39476895930545136</v>
      </c>
      <c r="AJ81" s="763">
        <v>0.28438816353796526</v>
      </c>
      <c r="AK81" s="763">
        <v>0.35042250667037511</v>
      </c>
      <c r="AL81" s="763">
        <v>0.44991386843119907</v>
      </c>
      <c r="AM81" s="763">
        <v>0.1707459110328072</v>
      </c>
      <c r="AN81" s="763">
        <v>0.081571519096722153</v>
      </c>
      <c r="AO81" s="764">
        <v>0.088967971530249074</v>
      </c>
      <c r="AP81" s="394"/>
      <c r="AQ81" s="397"/>
      <c r="AR81" s="398"/>
      <c r="AS81" s="398"/>
    </row>
    <row r="82" spans="1:45">
      <c r="A82" s="396">
        <v>810</v>
      </c>
      <c r="B82" s="761" t="s">
        <v>656</v>
      </c>
      <c r="C82" s="762">
        <v>23351</v>
      </c>
      <c r="D82" s="762">
        <v>20109</v>
      </c>
      <c r="E82" s="762">
        <v>13503</v>
      </c>
      <c r="F82" s="762">
        <v>2950</v>
      </c>
      <c r="G82" s="762">
        <v>2837</v>
      </c>
      <c r="H82" s="762">
        <v>2720</v>
      </c>
      <c r="I82" s="762">
        <v>4996</v>
      </c>
      <c r="J82" s="763">
        <v>0.22872682112115114</v>
      </c>
      <c r="K82" s="763">
        <v>0.34276313476476422</v>
      </c>
      <c r="L82" s="763">
        <v>0.22994890024439013</v>
      </c>
      <c r="M82" s="763">
        <v>0.42045523705372784</v>
      </c>
      <c r="N82" s="763">
        <v>0.28176803322378141</v>
      </c>
      <c r="O82" s="763">
        <v>0.061976140012496767</v>
      </c>
      <c r="P82" s="763">
        <v>0.063985782765582519</v>
      </c>
      <c r="Q82" s="763">
        <v>0.061091337002522457</v>
      </c>
      <c r="R82" s="763">
        <v>0.071429808929692751</v>
      </c>
      <c r="S82" s="763">
        <v>0.18738337762911847</v>
      </c>
      <c r="T82" s="763">
        <v>0.27236552043680573</v>
      </c>
      <c r="U82" s="763">
        <v>0.31195701587407532</v>
      </c>
      <c r="V82" s="763">
        <v>0.064901720817935576</v>
      </c>
      <c r="W82" s="763">
        <v>0.060928754252639605</v>
      </c>
      <c r="X82" s="763">
        <v>0.061492228123893086</v>
      </c>
      <c r="Y82" s="763">
        <v>0.066857490425663454</v>
      </c>
      <c r="Z82" s="763">
        <v>0.18452524564540113</v>
      </c>
      <c r="AA82" s="763">
        <v>0.2493375448603922</v>
      </c>
      <c r="AB82" s="763">
        <v>0.037877376268498283</v>
      </c>
      <c r="AC82" s="763">
        <v>0.070303458124340565</v>
      </c>
      <c r="AD82" s="763">
        <v>0.10050954535638663</v>
      </c>
      <c r="AE82" s="763">
        <v>0.0097774935667422347</v>
      </c>
      <c r="AF82" s="763">
        <v>0.01933132429651236</v>
      </c>
      <c r="AG82" s="763">
        <v>0.031628107558137206</v>
      </c>
      <c r="AH82" s="763">
        <v>0.0084712354739393016</v>
      </c>
      <c r="AI82" s="763">
        <v>0.409523640068374</v>
      </c>
      <c r="AJ82" s="763">
        <v>0.32805689847711306</v>
      </c>
      <c r="AK82" s="763">
        <v>0.37521716388381487</v>
      </c>
      <c r="AL82" s="763">
        <v>0.47375678826417822</v>
      </c>
      <c r="AM82" s="763">
        <v>0.20353342294301952</v>
      </c>
      <c r="AN82" s="763">
        <v>0.11635475996745326</v>
      </c>
      <c r="AO82" s="764">
        <v>0.0462860105161816</v>
      </c>
      <c r="AP82" s="394"/>
      <c r="AQ82" s="397"/>
      <c r="AR82" s="398"/>
      <c r="AS82" s="398"/>
    </row>
    <row r="83" spans="1:45">
      <c r="A83" s="396">
        <v>811</v>
      </c>
      <c r="B83" s="761" t="s">
        <v>219</v>
      </c>
      <c r="C83" s="762">
        <v>24735</v>
      </c>
      <c r="D83" s="762">
        <v>21449</v>
      </c>
      <c r="E83" s="762">
        <v>16709</v>
      </c>
      <c r="F83" s="762">
        <v>3536</v>
      </c>
      <c r="G83" s="762">
        <v>3356</v>
      </c>
      <c r="H83" s="762">
        <v>3379</v>
      </c>
      <c r="I83" s="762">
        <v>6438</v>
      </c>
      <c r="J83" s="763">
        <v>0.13774004447139682</v>
      </c>
      <c r="K83" s="763">
        <v>0.18284406022371813</v>
      </c>
      <c r="L83" s="763">
        <v>0.12621940271709858</v>
      </c>
      <c r="M83" s="763">
        <v>0.21270945312080042</v>
      </c>
      <c r="N83" s="763">
        <v>0.7412598407415969</v>
      </c>
      <c r="O83" s="763">
        <v>0.098795490929539986</v>
      </c>
      <c r="P83" s="763">
        <v>0.046290129342946004</v>
      </c>
      <c r="Q83" s="763">
        <v>0.039047910043242554</v>
      </c>
      <c r="R83" s="763">
        <v>0.038042054184089839</v>
      </c>
      <c r="S83" s="763">
        <v>0.027448178496876075</v>
      </c>
      <c r="T83" s="763">
        <v>0.0091163962617085911</v>
      </c>
      <c r="U83" s="763">
        <v>0.73996437443517615</v>
      </c>
      <c r="V83" s="763">
        <v>0.088750455277928353</v>
      </c>
      <c r="W83" s="763">
        <v>0.040300995660813015</v>
      </c>
      <c r="X83" s="763">
        <v>0.040071504204778667</v>
      </c>
      <c r="Y83" s="763">
        <v>0.0371923855859053</v>
      </c>
      <c r="Z83" s="763">
        <v>0.035872816531544248</v>
      </c>
      <c r="AA83" s="763">
        <v>0.01784746830385428</v>
      </c>
      <c r="AB83" s="763">
        <v>0.010762462794392373</v>
      </c>
      <c r="AC83" s="763">
        <v>0.019874353561510488</v>
      </c>
      <c r="AD83" s="763">
        <v>0.028342875645878458</v>
      </c>
      <c r="AE83" s="763">
        <v>0.0026998660990307012</v>
      </c>
      <c r="AF83" s="763">
        <v>0.0046776709794629093</v>
      </c>
      <c r="AG83" s="763">
        <v>0.0074988701595340287</v>
      </c>
      <c r="AH83" s="763">
        <v>0.00682965664993335</v>
      </c>
      <c r="AI83" s="763">
        <v>0.32407528366290483</v>
      </c>
      <c r="AJ83" s="763">
        <v>0.35607386134781116</v>
      </c>
      <c r="AK83" s="763">
        <v>0.38154045925678209</v>
      </c>
      <c r="AL83" s="763">
        <v>0.46274327339040355</v>
      </c>
      <c r="AM83" s="763">
        <v>0.18255481648895486</v>
      </c>
      <c r="AN83" s="763">
        <v>0.096219931271477682</v>
      </c>
      <c r="AO83" s="764">
        <v>0.12615955473098328</v>
      </c>
      <c r="AP83" s="394"/>
      <c r="AQ83" s="397"/>
      <c r="AR83" s="398"/>
      <c r="AS83" s="398"/>
    </row>
    <row r="84" spans="1:45">
      <c r="A84" s="396">
        <v>812</v>
      </c>
      <c r="B84" s="761" t="s">
        <v>264</v>
      </c>
      <c r="C84" s="762">
        <v>13576</v>
      </c>
      <c r="D84" s="762">
        <v>11719</v>
      </c>
      <c r="E84" s="762">
        <v>8202</v>
      </c>
      <c r="F84" s="762">
        <v>1798</v>
      </c>
      <c r="G84" s="762">
        <v>1788</v>
      </c>
      <c r="H84" s="762">
        <v>1817</v>
      </c>
      <c r="I84" s="762">
        <v>2799</v>
      </c>
      <c r="J84" s="763">
        <v>0.19048320565704188</v>
      </c>
      <c r="K84" s="763">
        <v>0.30155340805353459</v>
      </c>
      <c r="L84" s="763">
        <v>0.16861741038771025</v>
      </c>
      <c r="M84" s="763">
        <v>0.34808050213068714</v>
      </c>
      <c r="N84" s="763">
        <v>0.36876163365835812</v>
      </c>
      <c r="O84" s="763">
        <v>0.1086827327308286</v>
      </c>
      <c r="P84" s="763">
        <v>0.047205239669538594</v>
      </c>
      <c r="Q84" s="763">
        <v>0.073784868659118832</v>
      </c>
      <c r="R84" s="763">
        <v>0.077999907825881953</v>
      </c>
      <c r="S84" s="763">
        <v>0.14147992573477031</v>
      </c>
      <c r="T84" s="763">
        <v>0.1820856917215036</v>
      </c>
      <c r="U84" s="763">
        <v>0.43778495903145553</v>
      </c>
      <c r="V84" s="763">
        <v>0.093693502088517608</v>
      </c>
      <c r="W84" s="763">
        <v>0.0435466012297512</v>
      </c>
      <c r="X84" s="763">
        <v>0.065762508994303734</v>
      </c>
      <c r="Y84" s="763">
        <v>0.077704808905416978</v>
      </c>
      <c r="Z84" s="763">
        <v>0.12019412042556023</v>
      </c>
      <c r="AA84" s="763">
        <v>0.16131349932499472</v>
      </c>
      <c r="AB84" s="763">
        <v>0.014849710840183756</v>
      </c>
      <c r="AC84" s="763">
        <v>0.027183659459388342</v>
      </c>
      <c r="AD84" s="763">
        <v>0.039703363967350143</v>
      </c>
      <c r="AE84" s="763">
        <v>0.0026876436068563924</v>
      </c>
      <c r="AF84" s="763">
        <v>0.0074565460019958563</v>
      </c>
      <c r="AG84" s="763">
        <v>0.011363404434504523</v>
      </c>
      <c r="AH84" s="763">
        <v>0.0079916966272606943</v>
      </c>
      <c r="AI84" s="763">
        <v>0.35173251960862295</v>
      </c>
      <c r="AJ84" s="763">
        <v>0.35388684931987552</v>
      </c>
      <c r="AK84" s="763">
        <v>0.42179981895556046</v>
      </c>
      <c r="AL84" s="763">
        <v>0.50753149855954027</v>
      </c>
      <c r="AM84" s="763">
        <v>0.21235662965094773</v>
      </c>
      <c r="AN84" s="763">
        <v>0.088096641131408346</v>
      </c>
      <c r="AO84" s="764">
        <v>0.050841258229700079</v>
      </c>
      <c r="AP84" s="394"/>
      <c r="AQ84" s="397"/>
      <c r="AR84" s="398"/>
      <c r="AS84" s="398"/>
    </row>
    <row r="85" spans="1:45">
      <c r="A85" s="396">
        <v>813</v>
      </c>
      <c r="B85" s="761" t="s">
        <v>265</v>
      </c>
      <c r="C85" s="762">
        <v>13723</v>
      </c>
      <c r="D85" s="762">
        <v>11899</v>
      </c>
      <c r="E85" s="762">
        <v>9491</v>
      </c>
      <c r="F85" s="762">
        <v>2046</v>
      </c>
      <c r="G85" s="762">
        <v>1986</v>
      </c>
      <c r="H85" s="762">
        <v>1946</v>
      </c>
      <c r="I85" s="762">
        <v>3513</v>
      </c>
      <c r="J85" s="763">
        <v>0.15820155942578151</v>
      </c>
      <c r="K85" s="763">
        <v>0.24842755670745814</v>
      </c>
      <c r="L85" s="763">
        <v>0.15224949952586658</v>
      </c>
      <c r="M85" s="763">
        <v>0.2984997428875813</v>
      </c>
      <c r="N85" s="763">
        <v>0.56598329342508591</v>
      </c>
      <c r="O85" s="763">
        <v>0.10164226100798134</v>
      </c>
      <c r="P85" s="763">
        <v>0.11291383027241929</v>
      </c>
      <c r="Q85" s="763">
        <v>0.036711186137024079</v>
      </c>
      <c r="R85" s="763">
        <v>0.049793048876630837</v>
      </c>
      <c r="S85" s="763">
        <v>0.075674144456818068</v>
      </c>
      <c r="T85" s="763">
        <v>0.057282235824040434</v>
      </c>
      <c r="U85" s="763">
        <v>0.57896825596613222</v>
      </c>
      <c r="V85" s="763">
        <v>0.093474453295564239</v>
      </c>
      <c r="W85" s="763">
        <v>0.10504698059353385</v>
      </c>
      <c r="X85" s="763">
        <v>0.034071857604020359</v>
      </c>
      <c r="Y85" s="763">
        <v>0.05294279735488111</v>
      </c>
      <c r="Z85" s="763">
        <v>0.081387792477201681</v>
      </c>
      <c r="AA85" s="763">
        <v>0.054107862708666521</v>
      </c>
      <c r="AB85" s="763">
        <v>0.026392597628712641</v>
      </c>
      <c r="AC85" s="763">
        <v>0.048256242770749296</v>
      </c>
      <c r="AD85" s="763">
        <v>0.0702309347405932</v>
      </c>
      <c r="AE85" s="763">
        <v>0.0053750714547303085</v>
      </c>
      <c r="AF85" s="763">
        <v>0.0086424562655681072</v>
      </c>
      <c r="AG85" s="763">
        <v>0.01328017865272154</v>
      </c>
      <c r="AH85" s="763">
        <v>0.0065382292965057475</v>
      </c>
      <c r="AI85" s="763">
        <v>0.31826465317543717</v>
      </c>
      <c r="AJ85" s="763">
        <v>0.36588821673097016</v>
      </c>
      <c r="AK85" s="763">
        <v>0.41944798017300422</v>
      </c>
      <c r="AL85" s="763">
        <v>0.5343413592189401</v>
      </c>
      <c r="AM85" s="763">
        <v>0.22150726162128412</v>
      </c>
      <c r="AN85" s="763">
        <v>0.080376011076295259</v>
      </c>
      <c r="AO85" s="764">
        <v>0.061531977663049214</v>
      </c>
      <c r="AP85" s="394"/>
      <c r="AQ85" s="397"/>
      <c r="AR85" s="398"/>
      <c r="AS85" s="398"/>
    </row>
    <row r="86" spans="1:45">
      <c r="A86" s="396">
        <v>815</v>
      </c>
      <c r="B86" s="761" t="s">
        <v>268</v>
      </c>
      <c r="C86" s="762">
        <v>42913</v>
      </c>
      <c r="D86" s="762">
        <v>37003</v>
      </c>
      <c r="E86" s="762">
        <v>31241</v>
      </c>
      <c r="F86" s="762">
        <v>6302</v>
      </c>
      <c r="G86" s="762">
        <v>6356</v>
      </c>
      <c r="H86" s="762">
        <v>6280</v>
      </c>
      <c r="I86" s="762">
        <v>12303</v>
      </c>
      <c r="J86" s="763">
        <v>0.10504975182345674</v>
      </c>
      <c r="K86" s="763">
        <v>0.15789576089953833</v>
      </c>
      <c r="L86" s="763">
        <v>0.086104798181876385</v>
      </c>
      <c r="M86" s="763">
        <v>0.16630362584163591</v>
      </c>
      <c r="N86" s="763">
        <v>0.81265504496111918</v>
      </c>
      <c r="O86" s="763">
        <v>0.07332071633859652</v>
      </c>
      <c r="P86" s="763">
        <v>0.03178108008848924</v>
      </c>
      <c r="Q86" s="763">
        <v>0.038878666591765171</v>
      </c>
      <c r="R86" s="763">
        <v>0.012871566628509376</v>
      </c>
      <c r="S86" s="763">
        <v>0.010635566416344644</v>
      </c>
      <c r="T86" s="763">
        <v>0.019857358975175873</v>
      </c>
      <c r="U86" s="763">
        <v>0.83682148661789868</v>
      </c>
      <c r="V86" s="763">
        <v>0.064150445357957872</v>
      </c>
      <c r="W86" s="763">
        <v>0.028057176573392684</v>
      </c>
      <c r="X86" s="763">
        <v>0.029059062027037022</v>
      </c>
      <c r="Y86" s="763">
        <v>0.014110518144687584</v>
      </c>
      <c r="Z86" s="763">
        <v>0.011401869601752474</v>
      </c>
      <c r="AA86" s="763">
        <v>0.016399441677273627</v>
      </c>
      <c r="AB86" s="763">
        <v>0.011466799763614735</v>
      </c>
      <c r="AC86" s="763">
        <v>0.023441593151797672</v>
      </c>
      <c r="AD86" s="763">
        <v>0.032920568215346058</v>
      </c>
      <c r="AE86" s="763">
        <v>0.0021217528155239459</v>
      </c>
      <c r="AF86" s="763">
        <v>0.0043715430234774677</v>
      </c>
      <c r="AG86" s="763">
        <v>0.0067765870523562232</v>
      </c>
      <c r="AH86" s="763">
        <v>0.0040583262727468305</v>
      </c>
      <c r="AI86" s="763">
        <v>0.34827581230868582</v>
      </c>
      <c r="AJ86" s="763">
        <v>0.34962367564716695</v>
      </c>
      <c r="AK86" s="763">
        <v>0.38037480515886257</v>
      </c>
      <c r="AL86" s="763">
        <v>0.45871222878592632</v>
      </c>
      <c r="AM86" s="763">
        <v>0.18805847779918106</v>
      </c>
      <c r="AN86" s="763">
        <v>0.091301004357653842</v>
      </c>
      <c r="AO86" s="764">
        <v>0.070964437758074317</v>
      </c>
      <c r="AP86" s="394"/>
      <c r="AQ86" s="397"/>
      <c r="AR86" s="398"/>
      <c r="AS86" s="398"/>
    </row>
    <row r="87" spans="1:45">
      <c r="A87" s="396">
        <v>816</v>
      </c>
      <c r="B87" s="761" t="s">
        <v>330</v>
      </c>
      <c r="C87" s="762">
        <v>13787</v>
      </c>
      <c r="D87" s="762">
        <v>11843</v>
      </c>
      <c r="E87" s="762">
        <v>9131</v>
      </c>
      <c r="F87" s="762">
        <v>1916</v>
      </c>
      <c r="G87" s="762">
        <v>1917</v>
      </c>
      <c r="H87" s="762">
        <v>1826</v>
      </c>
      <c r="I87" s="762">
        <v>3472</v>
      </c>
      <c r="J87" s="763">
        <v>0.089432073692608985</v>
      </c>
      <c r="K87" s="763">
        <v>0.15342262053718028</v>
      </c>
      <c r="L87" s="763">
        <v>0.081371153214324851</v>
      </c>
      <c r="M87" s="763">
        <v>0.16609463368225272</v>
      </c>
      <c r="N87" s="763">
        <v>0.75610518872178067</v>
      </c>
      <c r="O87" s="763">
        <v>0.10271474794452676</v>
      </c>
      <c r="P87" s="763">
        <v>0.018718088098107353</v>
      </c>
      <c r="Q87" s="763">
        <v>0.052554050317693196</v>
      </c>
      <c r="R87" s="763">
        <v>0.040473222373904306</v>
      </c>
      <c r="S87" s="763">
        <v>0.029289123941058821</v>
      </c>
      <c r="T87" s="763">
        <v>0.00014557860292895917</v>
      </c>
      <c r="U87" s="763">
        <v>0.788160411058209</v>
      </c>
      <c r="V87" s="763">
        <v>0.090343943480246228</v>
      </c>
      <c r="W87" s="763">
        <v>0.016476036095007258</v>
      </c>
      <c r="X87" s="763">
        <v>0.043822138471115053</v>
      </c>
      <c r="Y87" s="763">
        <v>0.032266553775266292</v>
      </c>
      <c r="Z87" s="763">
        <v>0.028820793011378208</v>
      </c>
      <c r="AA87" s="763">
        <v>0.00011012410877785018</v>
      </c>
      <c r="AB87" s="763">
        <v>0.021768648902316376</v>
      </c>
      <c r="AC87" s="763">
        <v>0.040699521876278795</v>
      </c>
      <c r="AD87" s="763">
        <v>0.057811710678786751</v>
      </c>
      <c r="AE87" s="763">
        <v>0.0056281204873070371</v>
      </c>
      <c r="AF87" s="763">
        <v>0.010158125179232789</v>
      </c>
      <c r="AG87" s="763">
        <v>0.014462109662461073</v>
      </c>
      <c r="AH87" s="763">
        <v>0.0035170048875851987</v>
      </c>
      <c r="AI87" s="763">
        <v>0.3019009461966139</v>
      </c>
      <c r="AJ87" s="763">
        <v>0.33648130339370352</v>
      </c>
      <c r="AK87" s="763">
        <v>0.379523828790145</v>
      </c>
      <c r="AL87" s="763">
        <v>0.470138902863137</v>
      </c>
      <c r="AM87" s="763">
        <v>0.17513462459816151</v>
      </c>
      <c r="AN87" s="763">
        <v>0.0769565532748241</v>
      </c>
      <c r="AO87" s="764">
        <v>0.12233052239623256</v>
      </c>
      <c r="AP87" s="394"/>
      <c r="AQ87" s="397"/>
      <c r="AR87" s="398"/>
      <c r="AS87" s="398"/>
    </row>
    <row r="88" spans="1:45">
      <c r="A88" s="396">
        <v>821</v>
      </c>
      <c r="B88" s="761" t="s">
        <v>255</v>
      </c>
      <c r="C88" s="762">
        <v>22716</v>
      </c>
      <c r="D88" s="762">
        <v>19555</v>
      </c>
      <c r="E88" s="762">
        <v>13845</v>
      </c>
      <c r="F88" s="762">
        <v>2941</v>
      </c>
      <c r="G88" s="762">
        <v>2825</v>
      </c>
      <c r="H88" s="762">
        <v>2748</v>
      </c>
      <c r="I88" s="762">
        <v>5331</v>
      </c>
      <c r="J88" s="763">
        <v>0.15073076245817926</v>
      </c>
      <c r="K88" s="763">
        <v>0.26076808245865207</v>
      </c>
      <c r="L88" s="763">
        <v>0.17016973636691957</v>
      </c>
      <c r="M88" s="763">
        <v>0.34787890443060149</v>
      </c>
      <c r="N88" s="763">
        <v>0.39528322300056362</v>
      </c>
      <c r="O88" s="763">
        <v>0.17757519176956371</v>
      </c>
      <c r="P88" s="763">
        <v>0.093303431445994553</v>
      </c>
      <c r="Q88" s="763">
        <v>0.1959896827284143</v>
      </c>
      <c r="R88" s="763">
        <v>0.055254297268882771</v>
      </c>
      <c r="S88" s="763">
        <v>0.073770253927018969</v>
      </c>
      <c r="T88" s="763">
        <v>0.0088239198595622126</v>
      </c>
      <c r="U88" s="763">
        <v>0.40993873596488789</v>
      </c>
      <c r="V88" s="763">
        <v>0.17707206977400264</v>
      </c>
      <c r="W88" s="763">
        <v>0.086455408980489493</v>
      </c>
      <c r="X88" s="763">
        <v>0.185338136734752</v>
      </c>
      <c r="Y88" s="763">
        <v>0.062381285365569514</v>
      </c>
      <c r="Z88" s="763">
        <v>0.073105153234750142</v>
      </c>
      <c r="AA88" s="763">
        <v>0.0057092099455484328</v>
      </c>
      <c r="AB88" s="763">
        <v>0.11177733595257519</v>
      </c>
      <c r="AC88" s="763">
        <v>0.21811367807708232</v>
      </c>
      <c r="AD88" s="763">
        <v>0.31749473175259929</v>
      </c>
      <c r="AE88" s="763">
        <v>0.017926881230724244</v>
      </c>
      <c r="AF88" s="763">
        <v>0.037683326265502227</v>
      </c>
      <c r="AG88" s="763">
        <v>0.061102196155506036</v>
      </c>
      <c r="AH88" s="763">
        <v>0.0052021030408791252</v>
      </c>
      <c r="AI88" s="763">
        <v>0.39054848775723355</v>
      </c>
      <c r="AJ88" s="763">
        <v>0.42144720090865706</v>
      </c>
      <c r="AK88" s="763">
        <v>0.46746381371857992</v>
      </c>
      <c r="AL88" s="763">
        <v>0.56005146744671641</v>
      </c>
      <c r="AM88" s="763">
        <v>0.2671276990693664</v>
      </c>
      <c r="AN88" s="763">
        <v>0.10657686212361335</v>
      </c>
      <c r="AO88" s="764">
        <v>0.066161068977970444</v>
      </c>
      <c r="AP88" s="394"/>
      <c r="AQ88" s="397"/>
      <c r="AR88" s="398"/>
      <c r="AS88" s="398"/>
    </row>
    <row r="89" spans="1:45">
      <c r="A89" s="396">
        <v>822</v>
      </c>
      <c r="B89" s="761" t="s">
        <v>657</v>
      </c>
      <c r="C89" s="762">
        <v>15635</v>
      </c>
      <c r="D89" s="762">
        <v>13386</v>
      </c>
      <c r="E89" s="762">
        <v>9816</v>
      </c>
      <c r="F89" s="762">
        <v>2057</v>
      </c>
      <c r="G89" s="762">
        <v>1999</v>
      </c>
      <c r="H89" s="762">
        <v>1977</v>
      </c>
      <c r="I89" s="762">
        <v>3783</v>
      </c>
      <c r="J89" s="763">
        <v>0.13425007994883276</v>
      </c>
      <c r="K89" s="763">
        <v>0.20498599987444655</v>
      </c>
      <c r="L89" s="763">
        <v>0.11583129584352067</v>
      </c>
      <c r="M89" s="763">
        <v>0.23874979626711837</v>
      </c>
      <c r="N89" s="763">
        <v>0.549514829809641</v>
      </c>
      <c r="O89" s="763">
        <v>0.14802594381742812</v>
      </c>
      <c r="P89" s="763">
        <v>0.0814081100702423</v>
      </c>
      <c r="Q89" s="763">
        <v>0.11506097674528759</v>
      </c>
      <c r="R89" s="763">
        <v>0.06637747538988624</v>
      </c>
      <c r="S89" s="763">
        <v>0.0293114136226705</v>
      </c>
      <c r="T89" s="763">
        <v>0.010301250544844357</v>
      </c>
      <c r="U89" s="763">
        <v>0.59623603981352347</v>
      </c>
      <c r="V89" s="763">
        <v>0.12004730074127359</v>
      </c>
      <c r="W89" s="763">
        <v>0.08108505534586477</v>
      </c>
      <c r="X89" s="763">
        <v>0.097839752593183518</v>
      </c>
      <c r="Y89" s="763">
        <v>0.066555622670088174</v>
      </c>
      <c r="Z89" s="763">
        <v>0.027433312187808381</v>
      </c>
      <c r="AA89" s="763">
        <v>0.01080291664825817</v>
      </c>
      <c r="AB89" s="763">
        <v>0.055270126436440629</v>
      </c>
      <c r="AC89" s="763">
        <v>0.11067506085754733</v>
      </c>
      <c r="AD89" s="763">
        <v>0.16358300289305328</v>
      </c>
      <c r="AE89" s="763">
        <v>0.010222725023089539</v>
      </c>
      <c r="AF89" s="763">
        <v>0.018509402484106402</v>
      </c>
      <c r="AG89" s="763">
        <v>0.030062934258856869</v>
      </c>
      <c r="AH89" s="763">
        <v>0.0046017839504837853</v>
      </c>
      <c r="AI89" s="763">
        <v>0.38542244029855383</v>
      </c>
      <c r="AJ89" s="763">
        <v>0.505146592369126</v>
      </c>
      <c r="AK89" s="763">
        <v>0.45900645333756257</v>
      </c>
      <c r="AL89" s="763">
        <v>0.570656648245373</v>
      </c>
      <c r="AM89" s="763">
        <v>0.23804960741480435</v>
      </c>
      <c r="AN89" s="763">
        <v>0.086408698433002876</v>
      </c>
      <c r="AO89" s="764">
        <v>0.091381418092909533</v>
      </c>
      <c r="AP89" s="394"/>
      <c r="AQ89" s="397"/>
      <c r="AR89" s="398"/>
      <c r="AS89" s="398"/>
    </row>
    <row r="90" spans="1:45">
      <c r="A90" s="396">
        <v>823</v>
      </c>
      <c r="B90" s="761" t="s">
        <v>201</v>
      </c>
      <c r="C90" s="762">
        <v>24778</v>
      </c>
      <c r="D90" s="762">
        <v>21239</v>
      </c>
      <c r="E90" s="762">
        <v>14316</v>
      </c>
      <c r="F90" s="762">
        <v>3124</v>
      </c>
      <c r="G90" s="762">
        <v>2975</v>
      </c>
      <c r="H90" s="762">
        <v>2810</v>
      </c>
      <c r="I90" s="762">
        <v>5407</v>
      </c>
      <c r="J90" s="763">
        <v>0.082371458551941223</v>
      </c>
      <c r="K90" s="763">
        <v>0.13931089737902605</v>
      </c>
      <c r="L90" s="763">
        <v>0.079910589550153677</v>
      </c>
      <c r="M90" s="763">
        <v>0.17327348719835176</v>
      </c>
      <c r="N90" s="763">
        <v>0.758692516906188</v>
      </c>
      <c r="O90" s="763">
        <v>0.0755432971352356</v>
      </c>
      <c r="P90" s="763">
        <v>0.083908367592197372</v>
      </c>
      <c r="Q90" s="763">
        <v>0.030927885787477918</v>
      </c>
      <c r="R90" s="763">
        <v>0.048663760572095281</v>
      </c>
      <c r="S90" s="763">
        <v>0.0021428073815395791</v>
      </c>
      <c r="T90" s="763">
        <v>0.00012136462526612403</v>
      </c>
      <c r="U90" s="763">
        <v>0.77700972221485054</v>
      </c>
      <c r="V90" s="763">
        <v>0.069782834167370841</v>
      </c>
      <c r="W90" s="763">
        <v>0.075154455339392842</v>
      </c>
      <c r="X90" s="763">
        <v>0.030077559745215525</v>
      </c>
      <c r="Y90" s="763">
        <v>0.04468680344324958</v>
      </c>
      <c r="Z90" s="763">
        <v>0.0029386038318303552</v>
      </c>
      <c r="AA90" s="763">
        <v>0.00035002125809005058</v>
      </c>
      <c r="AB90" s="763">
        <v>0.01575040630050549</v>
      </c>
      <c r="AC90" s="763">
        <v>0.031225245857376974</v>
      </c>
      <c r="AD90" s="763">
        <v>0.046316635921875945</v>
      </c>
      <c r="AE90" s="763">
        <v>0.0018911999382419612</v>
      </c>
      <c r="AF90" s="763">
        <v>0.0044783634160121908</v>
      </c>
      <c r="AG90" s="763">
        <v>0.0076273578176834717</v>
      </c>
      <c r="AH90" s="763">
        <v>0.0047592986617226</v>
      </c>
      <c r="AI90" s="763">
        <v>0.34776232314288708</v>
      </c>
      <c r="AJ90" s="763">
        <v>0.376031919915239</v>
      </c>
      <c r="AK90" s="763">
        <v>0.42380862358183136</v>
      </c>
      <c r="AL90" s="763">
        <v>0.48927991493366912</v>
      </c>
      <c r="AM90" s="763">
        <v>0.20542486837407295</v>
      </c>
      <c r="AN90" s="763">
        <v>0.068326741464202118</v>
      </c>
      <c r="AO90" s="764">
        <v>0.085219335009779282</v>
      </c>
      <c r="AP90" s="394"/>
      <c r="AQ90" s="397"/>
      <c r="AR90" s="398"/>
      <c r="AS90" s="398"/>
    </row>
    <row r="91" spans="1:45">
      <c r="A91" s="396">
        <v>825</v>
      </c>
      <c r="B91" s="761" t="s">
        <v>195</v>
      </c>
      <c r="C91" s="762">
        <v>43856</v>
      </c>
      <c r="D91" s="762">
        <v>37795</v>
      </c>
      <c r="E91" s="762">
        <v>30049</v>
      </c>
      <c r="F91" s="762">
        <v>6346</v>
      </c>
      <c r="G91" s="762">
        <v>6056</v>
      </c>
      <c r="H91" s="762">
        <v>6002</v>
      </c>
      <c r="I91" s="762">
        <v>11645</v>
      </c>
      <c r="J91" s="763">
        <v>0.081881612550164157</v>
      </c>
      <c r="K91" s="763">
        <v>0.12651562429384508</v>
      </c>
      <c r="L91" s="763">
        <v>0.057938700123132195</v>
      </c>
      <c r="M91" s="763">
        <v>0.1347001642239985</v>
      </c>
      <c r="N91" s="763">
        <v>0.84200302842591246</v>
      </c>
      <c r="O91" s="763">
        <v>0.063770252023825344</v>
      </c>
      <c r="P91" s="763">
        <v>0.076758429047490084</v>
      </c>
      <c r="Q91" s="763">
        <v>0.0033749343978682813</v>
      </c>
      <c r="R91" s="763">
        <v>0.012132392952769753</v>
      </c>
      <c r="S91" s="763">
        <v>0.0018241517694272166</v>
      </c>
      <c r="T91" s="763">
        <v>0.00013681138270704119</v>
      </c>
      <c r="U91" s="763">
        <v>0.85465411109017042</v>
      </c>
      <c r="V91" s="763">
        <v>0.067363564006335544</v>
      </c>
      <c r="W91" s="763">
        <v>0.059910413626183129</v>
      </c>
      <c r="X91" s="763">
        <v>0.0063569005122391942</v>
      </c>
      <c r="Y91" s="763">
        <v>0.0097846021220199166</v>
      </c>
      <c r="Z91" s="763">
        <v>0.0016974557993633217</v>
      </c>
      <c r="AA91" s="763">
        <v>0.00023295284368864185</v>
      </c>
      <c r="AB91" s="763">
        <v>0.034272460736734227</v>
      </c>
      <c r="AC91" s="763">
        <v>0.069679655036305452</v>
      </c>
      <c r="AD91" s="763">
        <v>0.10250228307231835</v>
      </c>
      <c r="AE91" s="763">
        <v>0.00507156478903492</v>
      </c>
      <c r="AF91" s="763">
        <v>0.010990845515017561</v>
      </c>
      <c r="AG91" s="763">
        <v>0.017543128897001593</v>
      </c>
      <c r="AH91" s="763">
        <v>0.001847868146846478</v>
      </c>
      <c r="AI91" s="763">
        <v>0.31196616987683573</v>
      </c>
      <c r="AJ91" s="763">
        <v>0.28392776731984909</v>
      </c>
      <c r="AK91" s="763">
        <v>0.29060814128242612</v>
      </c>
      <c r="AL91" s="763">
        <v>0.35145654472294324</v>
      </c>
      <c r="AM91" s="763">
        <v>0.13839468974859737</v>
      </c>
      <c r="AN91" s="763">
        <v>0.084435425027362274</v>
      </c>
      <c r="AO91" s="764">
        <v>0.031648307763985493</v>
      </c>
      <c r="AP91" s="394"/>
      <c r="AQ91" s="397"/>
      <c r="AR91" s="398"/>
      <c r="AS91" s="398"/>
    </row>
    <row r="92" spans="1:45">
      <c r="A92" s="396">
        <v>826</v>
      </c>
      <c r="B92" s="761" t="s">
        <v>260</v>
      </c>
      <c r="C92" s="762">
        <v>26457</v>
      </c>
      <c r="D92" s="762">
        <v>22915</v>
      </c>
      <c r="E92" s="762">
        <v>15510</v>
      </c>
      <c r="F92" s="762">
        <v>3332</v>
      </c>
      <c r="G92" s="762">
        <v>3169</v>
      </c>
      <c r="H92" s="762">
        <v>3040</v>
      </c>
      <c r="I92" s="762">
        <v>5969</v>
      </c>
      <c r="J92" s="763">
        <v>0.11675549004044299</v>
      </c>
      <c r="K92" s="763">
        <v>0.18751386426314537</v>
      </c>
      <c r="L92" s="763">
        <v>0.126627981947131</v>
      </c>
      <c r="M92" s="763">
        <v>0.26134577915712365</v>
      </c>
      <c r="N92" s="763">
        <v>0.56005741815151733</v>
      </c>
      <c r="O92" s="763">
        <v>0.142801480342759</v>
      </c>
      <c r="P92" s="763">
        <v>0.0893908988601079</v>
      </c>
      <c r="Q92" s="763">
        <v>0.064134024939145481</v>
      </c>
      <c r="R92" s="763">
        <v>0.042441678729065735</v>
      </c>
      <c r="S92" s="763">
        <v>0.085368038528655141</v>
      </c>
      <c r="T92" s="763">
        <v>0.015806460448749587</v>
      </c>
      <c r="U92" s="763">
        <v>0.55942914977350189</v>
      </c>
      <c r="V92" s="763">
        <v>0.13844325917244613</v>
      </c>
      <c r="W92" s="763">
        <v>0.088938960732530867</v>
      </c>
      <c r="X92" s="763">
        <v>0.06770915252850887</v>
      </c>
      <c r="Y92" s="763">
        <v>0.045901423188613705</v>
      </c>
      <c r="Z92" s="763">
        <v>0.0864837792657402</v>
      </c>
      <c r="AA92" s="763">
        <v>0.013094275338658399</v>
      </c>
      <c r="AB92" s="763">
        <v>0.060441511884832037</v>
      </c>
      <c r="AC92" s="763">
        <v>0.11724161289243994</v>
      </c>
      <c r="AD92" s="763">
        <v>0.16596154369369953</v>
      </c>
      <c r="AE92" s="763">
        <v>0.00872919350565906</v>
      </c>
      <c r="AF92" s="763">
        <v>0.018509257311590224</v>
      </c>
      <c r="AG92" s="763">
        <v>0.031076034990338088</v>
      </c>
      <c r="AH92" s="763">
        <v>0.0049881871928641177</v>
      </c>
      <c r="AI92" s="763">
        <v>0.33265831799185369</v>
      </c>
      <c r="AJ92" s="763">
        <v>0.363268287565024</v>
      </c>
      <c r="AK92" s="763">
        <v>0.38987670614192821</v>
      </c>
      <c r="AL92" s="763">
        <v>0.45440749431474592</v>
      </c>
      <c r="AM92" s="763">
        <v>0.19875879551063091</v>
      </c>
      <c r="AN92" s="763">
        <v>0.090902218694485393</v>
      </c>
      <c r="AO92" s="764">
        <v>0.11244358478401034</v>
      </c>
      <c r="AP92" s="394"/>
      <c r="AQ92" s="397"/>
      <c r="AR92" s="398"/>
      <c r="AS92" s="398"/>
    </row>
    <row r="93" spans="1:45">
      <c r="A93" s="396">
        <v>830</v>
      </c>
      <c r="B93" s="761" t="s">
        <v>212</v>
      </c>
      <c r="C93" s="762">
        <v>59516</v>
      </c>
      <c r="D93" s="762">
        <v>51398</v>
      </c>
      <c r="E93" s="762">
        <v>38191</v>
      </c>
      <c r="F93" s="762">
        <v>8013</v>
      </c>
      <c r="G93" s="762">
        <v>7891</v>
      </c>
      <c r="H93" s="762">
        <v>7722</v>
      </c>
      <c r="I93" s="762">
        <v>14565</v>
      </c>
      <c r="J93" s="763">
        <v>0.15389139055044021</v>
      </c>
      <c r="K93" s="763">
        <v>0.22978794238864056</v>
      </c>
      <c r="L93" s="763">
        <v>0.14042575475897459</v>
      </c>
      <c r="M93" s="763">
        <v>0.24953477731744794</v>
      </c>
      <c r="N93" s="763">
        <v>0.63814527343456828</v>
      </c>
      <c r="O93" s="763">
        <v>0.10811232740913189</v>
      </c>
      <c r="P93" s="763">
        <v>0.057727167284426083</v>
      </c>
      <c r="Q93" s="763">
        <v>0.064657192361042989</v>
      </c>
      <c r="R93" s="763">
        <v>0.065842532049659883</v>
      </c>
      <c r="S93" s="763">
        <v>0.059081948530314052</v>
      </c>
      <c r="T93" s="763">
        <v>0.0064335589308568636</v>
      </c>
      <c r="U93" s="763">
        <v>0.66001566245750831</v>
      </c>
      <c r="V93" s="763">
        <v>0.10695373086360288</v>
      </c>
      <c r="W93" s="763">
        <v>0.053467827084046245</v>
      </c>
      <c r="X93" s="763">
        <v>0.058590469391442856</v>
      </c>
      <c r="Y93" s="763">
        <v>0.05798666733271915</v>
      </c>
      <c r="Z93" s="763">
        <v>0.057066832061255714</v>
      </c>
      <c r="AA93" s="763">
        <v>0.0059188108094249871</v>
      </c>
      <c r="AB93" s="763">
        <v>0.00615291731325667</v>
      </c>
      <c r="AC93" s="763">
        <v>0.012746989413892552</v>
      </c>
      <c r="AD93" s="763">
        <v>0.017472864862198866</v>
      </c>
      <c r="AE93" s="763">
        <v>0.0012330024353661964</v>
      </c>
      <c r="AF93" s="763">
        <v>0.0021760630250032822</v>
      </c>
      <c r="AG93" s="763">
        <v>0.0034865240865677239</v>
      </c>
      <c r="AH93" s="763">
        <v>0.0046064269774899981</v>
      </c>
      <c r="AI93" s="763">
        <v>0.34292585745433152</v>
      </c>
      <c r="AJ93" s="763">
        <v>0.35177327938179892</v>
      </c>
      <c r="AK93" s="763">
        <v>0.39010050651238021</v>
      </c>
      <c r="AL93" s="763">
        <v>0.46668089621084174</v>
      </c>
      <c r="AM93" s="763">
        <v>0.16971409780098792</v>
      </c>
      <c r="AN93" s="763">
        <v>0.076349217017272666</v>
      </c>
      <c r="AO93" s="764">
        <v>0.096907648398837393</v>
      </c>
      <c r="AP93" s="394"/>
      <c r="AQ93" s="397"/>
      <c r="AR93" s="398"/>
      <c r="AS93" s="398"/>
    </row>
    <row r="94" spans="1:45">
      <c r="A94" s="396">
        <v>831</v>
      </c>
      <c r="B94" s="761" t="s">
        <v>210</v>
      </c>
      <c r="C94" s="762">
        <v>23680</v>
      </c>
      <c r="D94" s="762">
        <v>20470</v>
      </c>
      <c r="E94" s="762">
        <v>15024</v>
      </c>
      <c r="F94" s="762">
        <v>3255</v>
      </c>
      <c r="G94" s="762">
        <v>3034</v>
      </c>
      <c r="H94" s="762">
        <v>2972</v>
      </c>
      <c r="I94" s="762">
        <v>5763</v>
      </c>
      <c r="J94" s="763">
        <v>0.19978885135135135</v>
      </c>
      <c r="K94" s="763">
        <v>0.2871883365175682</v>
      </c>
      <c r="L94" s="763">
        <v>0.15595047923322683</v>
      </c>
      <c r="M94" s="763">
        <v>0.32436215500212467</v>
      </c>
      <c r="N94" s="763">
        <v>0.37674872953564142</v>
      </c>
      <c r="O94" s="763">
        <v>0.097112184230618556</v>
      </c>
      <c r="P94" s="763">
        <v>0.086409934523010823</v>
      </c>
      <c r="Q94" s="763">
        <v>0.095247059467217218</v>
      </c>
      <c r="R94" s="763">
        <v>0.12291950365326974</v>
      </c>
      <c r="S94" s="763">
        <v>0.16712092548027935</v>
      </c>
      <c r="T94" s="763">
        <v>0.054441663109962728</v>
      </c>
      <c r="U94" s="763">
        <v>0.4415565279577825</v>
      </c>
      <c r="V94" s="763">
        <v>0.093499569081739564</v>
      </c>
      <c r="W94" s="763">
        <v>0.080012844397925748</v>
      </c>
      <c r="X94" s="763">
        <v>0.081133840897354689</v>
      </c>
      <c r="Y94" s="763">
        <v>0.10960204520256828</v>
      </c>
      <c r="Z94" s="763">
        <v>0.14845679750534577</v>
      </c>
      <c r="AA94" s="763">
        <v>0.04573837495728357</v>
      </c>
      <c r="AB94" s="763">
        <v>0.07047292196290636</v>
      </c>
      <c r="AC94" s="763">
        <v>0.13273824904482856</v>
      </c>
      <c r="AD94" s="763">
        <v>0.1810853836662632</v>
      </c>
      <c r="AE94" s="763">
        <v>0.011810665487978744</v>
      </c>
      <c r="AF94" s="763">
        <v>0.022405958918120045</v>
      </c>
      <c r="AG94" s="763">
        <v>0.03566271038064036</v>
      </c>
      <c r="AH94" s="763">
        <v>0.0031991720535570886</v>
      </c>
      <c r="AI94" s="763">
        <v>0.40017905361923373</v>
      </c>
      <c r="AJ94" s="763">
        <v>0.39649189466309387</v>
      </c>
      <c r="AK94" s="763">
        <v>0.44479624035711379</v>
      </c>
      <c r="AL94" s="763">
        <v>0.50566996143020737</v>
      </c>
      <c r="AM94" s="763">
        <v>0.21864917306801956</v>
      </c>
      <c r="AN94" s="763">
        <v>0.10713682432432432</v>
      </c>
      <c r="AO94" s="764">
        <v>0.15495207667731625</v>
      </c>
      <c r="AP94" s="394"/>
      <c r="AQ94" s="397"/>
      <c r="AR94" s="398"/>
      <c r="AS94" s="398"/>
    </row>
    <row r="95" spans="1:45">
      <c r="A95" s="396">
        <v>838</v>
      </c>
      <c r="B95" s="761" t="s">
        <v>215</v>
      </c>
      <c r="C95" s="762">
        <v>25423</v>
      </c>
      <c r="D95" s="762">
        <v>22049</v>
      </c>
      <c r="E95" s="762">
        <v>18457</v>
      </c>
      <c r="F95" s="762">
        <v>3917</v>
      </c>
      <c r="G95" s="762">
        <v>3775</v>
      </c>
      <c r="H95" s="762">
        <v>3660</v>
      </c>
      <c r="I95" s="762">
        <v>7105</v>
      </c>
      <c r="J95" s="763">
        <v>0.13751327538056088</v>
      </c>
      <c r="K95" s="763">
        <v>0.16504399843019577</v>
      </c>
      <c r="L95" s="763">
        <v>0.14525654223329906</v>
      </c>
      <c r="M95" s="763">
        <v>0.19851222480604791</v>
      </c>
      <c r="N95" s="763">
        <v>0.84724192954646449</v>
      </c>
      <c r="O95" s="763">
        <v>0.057258448227367018</v>
      </c>
      <c r="P95" s="763">
        <v>0.038638459500393484</v>
      </c>
      <c r="Q95" s="763">
        <v>0.015992557709366147</v>
      </c>
      <c r="R95" s="763">
        <v>0.026660639960664614</v>
      </c>
      <c r="S95" s="763">
        <v>0.0066499008686065385</v>
      </c>
      <c r="T95" s="763">
        <v>0.0075580641871377174</v>
      </c>
      <c r="U95" s="763">
        <v>0.8541210131985828</v>
      </c>
      <c r="V95" s="763">
        <v>0.057977074016171547</v>
      </c>
      <c r="W95" s="763">
        <v>0.036473437403718355</v>
      </c>
      <c r="X95" s="763">
        <v>0.012683157307873559</v>
      </c>
      <c r="Y95" s="763">
        <v>0.024457374256545567</v>
      </c>
      <c r="Z95" s="763">
        <v>0.0087443661409865626</v>
      </c>
      <c r="AA95" s="763">
        <v>0.0055435776761216934</v>
      </c>
      <c r="AB95" s="763">
        <v>0.0073611317455973234</v>
      </c>
      <c r="AC95" s="763">
        <v>0.01447511256258985</v>
      </c>
      <c r="AD95" s="763">
        <v>0.020373705064291588</v>
      </c>
      <c r="AE95" s="763">
        <v>0.00406582388633938</v>
      </c>
      <c r="AF95" s="763">
        <v>0.0061259445621190322</v>
      </c>
      <c r="AG95" s="763">
        <v>0.0087831355632552472</v>
      </c>
      <c r="AH95" s="763">
        <v>0.004847623813447559</v>
      </c>
      <c r="AI95" s="763">
        <v>0.31468547468636188</v>
      </c>
      <c r="AJ95" s="763">
        <v>0.40038641308136724</v>
      </c>
      <c r="AK95" s="763">
        <v>0.42518451326406781</v>
      </c>
      <c r="AL95" s="763">
        <v>0.5421442286103797</v>
      </c>
      <c r="AM95" s="763">
        <v>0.20428058706781371</v>
      </c>
      <c r="AN95" s="763">
        <v>0.080832317193092862</v>
      </c>
      <c r="AO95" s="764">
        <v>0.057593325025735505</v>
      </c>
      <c r="AP95" s="394"/>
      <c r="AQ95" s="397"/>
      <c r="AR95" s="398"/>
      <c r="AS95" s="398"/>
    </row>
    <row r="96" spans="1:45">
      <c r="A96" s="396">
        <v>839</v>
      </c>
      <c r="B96" s="761" t="s">
        <v>1050</v>
      </c>
      <c r="C96" s="762">
        <v>27669</v>
      </c>
      <c r="D96" s="762">
        <v>23762</v>
      </c>
      <c r="E96" s="762">
        <v>18182</v>
      </c>
      <c r="F96" s="762">
        <v>3801</v>
      </c>
      <c r="G96" s="762">
        <v>3582</v>
      </c>
      <c r="H96" s="762">
        <v>3661</v>
      </c>
      <c r="I96" s="762">
        <v>7138</v>
      </c>
      <c r="J96" s="763">
        <v>0.12595323285987928</v>
      </c>
      <c r="K96" s="763">
        <v>0.18312556262704721</v>
      </c>
      <c r="L96" s="763">
        <v>0.11247387526124739</v>
      </c>
      <c r="M96" s="763">
        <v>0.20929216953727589</v>
      </c>
      <c r="N96" s="763">
        <v>0.63258186744195188</v>
      </c>
      <c r="O96" s="763">
        <v>0.13853983734357447</v>
      </c>
      <c r="P96" s="763">
        <v>0.084450351609492477</v>
      </c>
      <c r="Q96" s="763">
        <v>0.0669053873713096</v>
      </c>
      <c r="R96" s="763">
        <v>0.041081605571840693</v>
      </c>
      <c r="S96" s="763">
        <v>0.0364409506618308</v>
      </c>
      <c r="T96" s="763">
        <v>0</v>
      </c>
      <c r="U96" s="763">
        <v>0.68314772934654766</v>
      </c>
      <c r="V96" s="763">
        <v>0.11558053347729791</v>
      </c>
      <c r="W96" s="763">
        <v>0.073758778781433734</v>
      </c>
      <c r="X96" s="763">
        <v>0.0582771317750519</v>
      </c>
      <c r="Y96" s="763">
        <v>0.03419733800427114</v>
      </c>
      <c r="Z96" s="763">
        <v>0.035038488615397621</v>
      </c>
      <c r="AA96" s="763">
        <v>0</v>
      </c>
      <c r="AB96" s="763">
        <v>0.033234725463014758</v>
      </c>
      <c r="AC96" s="763">
        <v>0.065982062099921385</v>
      </c>
      <c r="AD96" s="763">
        <v>0.093052940973936946</v>
      </c>
      <c r="AE96" s="763">
        <v>0.0073329819817079681</v>
      </c>
      <c r="AF96" s="763">
        <v>0.012679859136992338</v>
      </c>
      <c r="AG96" s="763">
        <v>0.021391287063136647</v>
      </c>
      <c r="AH96" s="763">
        <v>0.0046996485957652209</v>
      </c>
      <c r="AI96" s="763">
        <v>0.31082123761345426</v>
      </c>
      <c r="AJ96" s="763">
        <v>0.3295186020806839</v>
      </c>
      <c r="AK96" s="763">
        <v>0.35059814678915885</v>
      </c>
      <c r="AL96" s="763">
        <v>0.43491392908390747</v>
      </c>
      <c r="AM96" s="763">
        <v>0.194383510185103</v>
      </c>
      <c r="AN96" s="763">
        <v>0.085221728287975779</v>
      </c>
      <c r="AO96" s="764">
        <v>0.054504454955450414</v>
      </c>
      <c r="AP96" s="394"/>
      <c r="AQ96" s="397"/>
      <c r="AR96" s="398"/>
      <c r="AS96" s="398"/>
    </row>
    <row r="97" spans="1:45">
      <c r="A97" s="396">
        <v>840</v>
      </c>
      <c r="B97" s="761" t="s">
        <v>217</v>
      </c>
      <c r="C97" s="762">
        <v>39092</v>
      </c>
      <c r="D97" s="762">
        <v>33707</v>
      </c>
      <c r="E97" s="762">
        <v>25241</v>
      </c>
      <c r="F97" s="762">
        <v>5356</v>
      </c>
      <c r="G97" s="762">
        <v>5163</v>
      </c>
      <c r="H97" s="762">
        <v>5134</v>
      </c>
      <c r="I97" s="762">
        <v>9588</v>
      </c>
      <c r="J97" s="763">
        <v>0.23084006957945361</v>
      </c>
      <c r="K97" s="763">
        <v>0.31025232397616687</v>
      </c>
      <c r="L97" s="763">
        <v>0.1892951943266907</v>
      </c>
      <c r="M97" s="763">
        <v>0.32766591684793273</v>
      </c>
      <c r="N97" s="763">
        <v>0.39489904157233741</v>
      </c>
      <c r="O97" s="763">
        <v>0.13300870275666016</v>
      </c>
      <c r="P97" s="763">
        <v>0.14235337306489909</v>
      </c>
      <c r="Q97" s="763">
        <v>0.1157453631155692</v>
      </c>
      <c r="R97" s="763">
        <v>0.079152811943281637</v>
      </c>
      <c r="S97" s="763">
        <v>0.078668114516578708</v>
      </c>
      <c r="T97" s="763">
        <v>0.056172593030673748</v>
      </c>
      <c r="U97" s="763">
        <v>0.41988361183724487</v>
      </c>
      <c r="V97" s="763">
        <v>0.1267711956608408</v>
      </c>
      <c r="W97" s="763">
        <v>0.14257421417724769</v>
      </c>
      <c r="X97" s="763">
        <v>0.11242077626923087</v>
      </c>
      <c r="Y97" s="763">
        <v>0.0728509083793972</v>
      </c>
      <c r="Z97" s="763">
        <v>0.075029618975972864</v>
      </c>
      <c r="AA97" s="763">
        <v>0.050469674700065636</v>
      </c>
      <c r="AB97" s="763">
        <v>0.0063598076590790876</v>
      </c>
      <c r="AC97" s="763">
        <v>0.012115595978681519</v>
      </c>
      <c r="AD97" s="763">
        <v>0.017257659190307882</v>
      </c>
      <c r="AE97" s="763">
        <v>0.0017067531413697296</v>
      </c>
      <c r="AF97" s="763">
        <v>0.0030156383038715878</v>
      </c>
      <c r="AG97" s="763">
        <v>0.004284967668182137</v>
      </c>
      <c r="AH97" s="763">
        <v>0.0079376617011152669</v>
      </c>
      <c r="AI97" s="763">
        <v>0.36480238245165264</v>
      </c>
      <c r="AJ97" s="763">
        <v>0.3085810512764709</v>
      </c>
      <c r="AK97" s="763">
        <v>0.34308104930004174</v>
      </c>
      <c r="AL97" s="763">
        <v>0.3918917423746428</v>
      </c>
      <c r="AM97" s="763">
        <v>0.17034582859051609</v>
      </c>
      <c r="AN97" s="763">
        <v>0.071242197892151846</v>
      </c>
      <c r="AO97" s="764">
        <v>0.057050037637177607</v>
      </c>
      <c r="AP97" s="394"/>
      <c r="AQ97" s="397"/>
      <c r="AR97" s="398"/>
      <c r="AS97" s="398"/>
    </row>
    <row r="98" spans="1:45">
      <c r="A98" s="396">
        <v>841</v>
      </c>
      <c r="B98" s="761" t="s">
        <v>208</v>
      </c>
      <c r="C98" s="762">
        <v>8963</v>
      </c>
      <c r="D98" s="762">
        <v>7761</v>
      </c>
      <c r="E98" s="762">
        <v>5969</v>
      </c>
      <c r="F98" s="762">
        <v>1214</v>
      </c>
      <c r="G98" s="762">
        <v>1247</v>
      </c>
      <c r="H98" s="762">
        <v>1184</v>
      </c>
      <c r="I98" s="762">
        <v>2324</v>
      </c>
      <c r="J98" s="763">
        <v>0.20350329130871361</v>
      </c>
      <c r="K98" s="763">
        <v>0.28927371728281803</v>
      </c>
      <c r="L98" s="763">
        <v>0.16233875020941538</v>
      </c>
      <c r="M98" s="763">
        <v>0.31031879435154885</v>
      </c>
      <c r="N98" s="763">
        <v>0.45769181485512533</v>
      </c>
      <c r="O98" s="763">
        <v>0.15433872442658747</v>
      </c>
      <c r="P98" s="763">
        <v>0.098653516242759531</v>
      </c>
      <c r="Q98" s="763">
        <v>0.07468236335395452</v>
      </c>
      <c r="R98" s="763">
        <v>0.091911310832875223</v>
      </c>
      <c r="S98" s="763">
        <v>0.081675655944318762</v>
      </c>
      <c r="T98" s="763">
        <v>0.041046614344379062</v>
      </c>
      <c r="U98" s="763">
        <v>0.52445621516276009</v>
      </c>
      <c r="V98" s="763">
        <v>0.14730978261552113</v>
      </c>
      <c r="W98" s="763">
        <v>0.094108364362665481</v>
      </c>
      <c r="X98" s="763">
        <v>0.05248511701263233</v>
      </c>
      <c r="Y98" s="763">
        <v>0.075820206428038078</v>
      </c>
      <c r="Z98" s="763">
        <v>0.0716004454140004</v>
      </c>
      <c r="AA98" s="763">
        <v>0.034219869004382564</v>
      </c>
      <c r="AB98" s="763">
        <v>0.017304228322175604</v>
      </c>
      <c r="AC98" s="763">
        <v>0.030990106468867986</v>
      </c>
      <c r="AD98" s="763">
        <v>0.044036985708729805</v>
      </c>
      <c r="AE98" s="763">
        <v>0.00486059398132953</v>
      </c>
      <c r="AF98" s="763">
        <v>0.0088853316174744377</v>
      </c>
      <c r="AG98" s="763">
        <v>0.014085830007854383</v>
      </c>
      <c r="AH98" s="763">
        <v>0.0081694368514332542</v>
      </c>
      <c r="AI98" s="763">
        <v>0.35001045171912654</v>
      </c>
      <c r="AJ98" s="763">
        <v>0.31414842434352608</v>
      </c>
      <c r="AK98" s="763">
        <v>0.36752215417892564</v>
      </c>
      <c r="AL98" s="763">
        <v>0.41926175088996576</v>
      </c>
      <c r="AM98" s="763">
        <v>0.1517866275589097</v>
      </c>
      <c r="AN98" s="763">
        <v>0.10175164565435678</v>
      </c>
      <c r="AO98" s="764">
        <v>0.20589713519852565</v>
      </c>
      <c r="AP98" s="394"/>
      <c r="AQ98" s="397"/>
      <c r="AR98" s="398"/>
      <c r="AS98" s="398"/>
    </row>
    <row r="99" spans="1:45">
      <c r="A99" s="396">
        <v>845</v>
      </c>
      <c r="B99" s="761" t="s">
        <v>220</v>
      </c>
      <c r="C99" s="762">
        <v>38612</v>
      </c>
      <c r="D99" s="762">
        <v>33394</v>
      </c>
      <c r="E99" s="762">
        <v>24490</v>
      </c>
      <c r="F99" s="762">
        <v>5168</v>
      </c>
      <c r="G99" s="762">
        <v>5088</v>
      </c>
      <c r="H99" s="762">
        <v>4770</v>
      </c>
      <c r="I99" s="762">
        <v>9464</v>
      </c>
      <c r="J99" s="763">
        <v>0.14555060602921374</v>
      </c>
      <c r="K99" s="763">
        <v>0.21032973362461635</v>
      </c>
      <c r="L99" s="763">
        <v>0.13478971008574922</v>
      </c>
      <c r="M99" s="763">
        <v>0.24665740194096425</v>
      </c>
      <c r="N99" s="763">
        <v>0.62551062242884481</v>
      </c>
      <c r="O99" s="763">
        <v>0.13165481403048668</v>
      </c>
      <c r="P99" s="763">
        <v>0.063052078246191162</v>
      </c>
      <c r="Q99" s="763">
        <v>0.061249831817719376</v>
      </c>
      <c r="R99" s="763">
        <v>0.056885287967954758</v>
      </c>
      <c r="S99" s="763">
        <v>0.041700380976679136</v>
      </c>
      <c r="T99" s="763">
        <v>0.019946984532124026</v>
      </c>
      <c r="U99" s="763">
        <v>0.64424240722101145</v>
      </c>
      <c r="V99" s="763">
        <v>0.1266539730751767</v>
      </c>
      <c r="W99" s="763">
        <v>0.059234930091369195</v>
      </c>
      <c r="X99" s="763">
        <v>0.058638764721114366</v>
      </c>
      <c r="Y99" s="763">
        <v>0.056608409944029374</v>
      </c>
      <c r="Z99" s="763">
        <v>0.036322594230414673</v>
      </c>
      <c r="AA99" s="763">
        <v>0.018298920716884215</v>
      </c>
      <c r="AB99" s="763">
        <v>0.01371540593534387</v>
      </c>
      <c r="AC99" s="763">
        <v>0.027226326491122641</v>
      </c>
      <c r="AD99" s="763">
        <v>0.038503956468809192</v>
      </c>
      <c r="AE99" s="763">
        <v>0.0032384072420642085</v>
      </c>
      <c r="AF99" s="763">
        <v>0.0058732409750068193</v>
      </c>
      <c r="AG99" s="763">
        <v>0.0102213250622207</v>
      </c>
      <c r="AH99" s="763">
        <v>0.0059402296830656769</v>
      </c>
      <c r="AI99" s="763">
        <v>0.30397023925156724</v>
      </c>
      <c r="AJ99" s="763">
        <v>0.36272007749235546</v>
      </c>
      <c r="AK99" s="763">
        <v>0.42611448442039063</v>
      </c>
      <c r="AL99" s="763">
        <v>0.48000657151672171</v>
      </c>
      <c r="AM99" s="763">
        <v>0.19401196366471235</v>
      </c>
      <c r="AN99" s="763">
        <v>0.094970475499844637</v>
      </c>
      <c r="AO99" s="764">
        <v>0.066802776643527975</v>
      </c>
      <c r="AP99" s="394"/>
      <c r="AQ99" s="397"/>
      <c r="AR99" s="398"/>
      <c r="AS99" s="398"/>
    </row>
    <row r="100" spans="1:45">
      <c r="A100" s="396">
        <v>846</v>
      </c>
      <c r="B100" s="761" t="s">
        <v>192</v>
      </c>
      <c r="C100" s="762">
        <v>18606</v>
      </c>
      <c r="D100" s="762">
        <v>16051</v>
      </c>
      <c r="E100" s="762">
        <v>11474</v>
      </c>
      <c r="F100" s="762">
        <v>2449</v>
      </c>
      <c r="G100" s="762">
        <v>2328</v>
      </c>
      <c r="H100" s="762">
        <v>2252</v>
      </c>
      <c r="I100" s="762">
        <v>4445</v>
      </c>
      <c r="J100" s="763">
        <v>0.15097280447167577</v>
      </c>
      <c r="K100" s="763">
        <v>0.22352016358425772</v>
      </c>
      <c r="L100" s="763">
        <v>0.13639532856893855</v>
      </c>
      <c r="M100" s="763">
        <v>0.24892274366881847</v>
      </c>
      <c r="N100" s="763">
        <v>0.64605585304509994</v>
      </c>
      <c r="O100" s="763">
        <v>0.083707614186996973</v>
      </c>
      <c r="P100" s="763">
        <v>0.060603623247139887</v>
      </c>
      <c r="Q100" s="763">
        <v>0.055842575747562177</v>
      </c>
      <c r="R100" s="763">
        <v>0.048285080014258908</v>
      </c>
      <c r="S100" s="763">
        <v>0.098341997285157509</v>
      </c>
      <c r="T100" s="763">
        <v>0.0071632564737845635</v>
      </c>
      <c r="U100" s="763">
        <v>0.64236337891219741</v>
      </c>
      <c r="V100" s="763">
        <v>0.082464466546681728</v>
      </c>
      <c r="W100" s="763">
        <v>0.059617894621890044</v>
      </c>
      <c r="X100" s="763">
        <v>0.056229012266601708</v>
      </c>
      <c r="Y100" s="763">
        <v>0.047853738467903334</v>
      </c>
      <c r="Z100" s="763">
        <v>0.10066420466597087</v>
      </c>
      <c r="AA100" s="763">
        <v>0.010807304518754812</v>
      </c>
      <c r="AB100" s="763">
        <v>0.030679349012617971</v>
      </c>
      <c r="AC100" s="763">
        <v>0.059267745333003462</v>
      </c>
      <c r="AD100" s="763">
        <v>0.0841901309007831</v>
      </c>
      <c r="AE100" s="763">
        <v>0.0075943658329652008</v>
      </c>
      <c r="AF100" s="763">
        <v>0.015103511719847746</v>
      </c>
      <c r="AG100" s="763">
        <v>0.022957709355648476</v>
      </c>
      <c r="AH100" s="763">
        <v>0.003784611096484973</v>
      </c>
      <c r="AI100" s="763">
        <v>0.358738012576359</v>
      </c>
      <c r="AJ100" s="763">
        <v>0.32872464664717355</v>
      </c>
      <c r="AK100" s="763">
        <v>0.36214463763705512</v>
      </c>
      <c r="AL100" s="763">
        <v>0.41258357640034415</v>
      </c>
      <c r="AM100" s="763">
        <v>0.17336559699162177</v>
      </c>
      <c r="AN100" s="763">
        <v>0.062452972159518436</v>
      </c>
      <c r="AO100" s="764">
        <v>0.046017082098657833</v>
      </c>
      <c r="AP100" s="394"/>
      <c r="AQ100" s="397"/>
      <c r="AR100" s="398"/>
      <c r="AS100" s="398"/>
    </row>
    <row r="101" spans="1:45">
      <c r="A101" s="396">
        <v>850</v>
      </c>
      <c r="B101" s="761" t="s">
        <v>229</v>
      </c>
      <c r="C101" s="762">
        <v>106094</v>
      </c>
      <c r="D101" s="762">
        <v>91159</v>
      </c>
      <c r="E101" s="762">
        <v>66476</v>
      </c>
      <c r="F101" s="762">
        <v>14036</v>
      </c>
      <c r="G101" s="762">
        <v>13469</v>
      </c>
      <c r="H101" s="762">
        <v>13454</v>
      </c>
      <c r="I101" s="762">
        <v>25517</v>
      </c>
      <c r="J101" s="763">
        <v>0.099892548117706939</v>
      </c>
      <c r="K101" s="763">
        <v>0.1552314226559032</v>
      </c>
      <c r="L101" s="763">
        <v>0.091326192911727569</v>
      </c>
      <c r="M101" s="763">
        <v>0.19106800721378955</v>
      </c>
      <c r="N101" s="763">
        <v>0.81894505065290546</v>
      </c>
      <c r="O101" s="763">
        <v>0.058094033326685723</v>
      </c>
      <c r="P101" s="763">
        <v>0.04090956532705365</v>
      </c>
      <c r="Q101" s="763">
        <v>0.042586332853867474</v>
      </c>
      <c r="R101" s="763">
        <v>0.029668973211937733</v>
      </c>
      <c r="S101" s="763">
        <v>0.0096071290212519853</v>
      </c>
      <c r="T101" s="763">
        <v>0.00018891560629738396</v>
      </c>
      <c r="U101" s="763">
        <v>0.82061134322239737</v>
      </c>
      <c r="V101" s="763">
        <v>0.0584720591193013</v>
      </c>
      <c r="W101" s="763">
        <v>0.0364011864305459</v>
      </c>
      <c r="X101" s="763">
        <v>0.044065653121419426</v>
      </c>
      <c r="Y101" s="763">
        <v>0.028816642398758134</v>
      </c>
      <c r="Z101" s="763">
        <v>0.010970456163192937</v>
      </c>
      <c r="AA101" s="763">
        <v>0.00066265954438492918</v>
      </c>
      <c r="AB101" s="763">
        <v>0.018382671257373123</v>
      </c>
      <c r="AC101" s="763">
        <v>0.035154561839553254</v>
      </c>
      <c r="AD101" s="763">
        <v>0.048469545713111711</v>
      </c>
      <c r="AE101" s="763">
        <v>0.0027883432017103116</v>
      </c>
      <c r="AF101" s="763">
        <v>0.0051241277959981528</v>
      </c>
      <c r="AG101" s="763">
        <v>0.0081988413010215047</v>
      </c>
      <c r="AH101" s="763">
        <v>0.0055915663541540213</v>
      </c>
      <c r="AI101" s="763">
        <v>0.28134272176682773</v>
      </c>
      <c r="AJ101" s="763">
        <v>0.31340098900681046</v>
      </c>
      <c r="AK101" s="763">
        <v>0.33898156816900354</v>
      </c>
      <c r="AL101" s="763">
        <v>0.40382049285861893</v>
      </c>
      <c r="AM101" s="763">
        <v>0.15586645410906344</v>
      </c>
      <c r="AN101" s="763">
        <v>0.058834618357305787</v>
      </c>
      <c r="AO101" s="764">
        <v>0.06354172934592936</v>
      </c>
      <c r="AP101" s="394"/>
      <c r="AQ101" s="397"/>
      <c r="AR101" s="398"/>
      <c r="AS101" s="398"/>
    </row>
    <row r="102" spans="1:45">
      <c r="A102" s="396">
        <v>851</v>
      </c>
      <c r="B102" s="761" t="s">
        <v>277</v>
      </c>
      <c r="C102" s="762">
        <v>16281</v>
      </c>
      <c r="D102" s="762">
        <v>13943</v>
      </c>
      <c r="E102" s="762">
        <v>8859</v>
      </c>
      <c r="F102" s="762">
        <v>1925</v>
      </c>
      <c r="G102" s="762">
        <v>1795</v>
      </c>
      <c r="H102" s="762">
        <v>1754</v>
      </c>
      <c r="I102" s="762">
        <v>3385</v>
      </c>
      <c r="J102" s="763">
        <v>0.20262883115287755</v>
      </c>
      <c r="K102" s="763">
        <v>0.31277766269078944</v>
      </c>
      <c r="L102" s="763">
        <v>0.19832938254882032</v>
      </c>
      <c r="M102" s="763">
        <v>0.35955964516133543</v>
      </c>
      <c r="N102" s="763">
        <v>0.39609400480019846</v>
      </c>
      <c r="O102" s="763">
        <v>0.16365617972483945</v>
      </c>
      <c r="P102" s="763">
        <v>0.078274620662020331</v>
      </c>
      <c r="Q102" s="763">
        <v>0.12592560955989054</v>
      </c>
      <c r="R102" s="763">
        <v>0.070688380162021378</v>
      </c>
      <c r="S102" s="763">
        <v>0.11100907812613425</v>
      </c>
      <c r="T102" s="763">
        <v>0.054352126964895484</v>
      </c>
      <c r="U102" s="763">
        <v>0.43778586112792273</v>
      </c>
      <c r="V102" s="763">
        <v>0.15460872733220402</v>
      </c>
      <c r="W102" s="763">
        <v>0.076112215478883222</v>
      </c>
      <c r="X102" s="763">
        <v>0.10909880276006334</v>
      </c>
      <c r="Y102" s="763">
        <v>0.067982220279481587</v>
      </c>
      <c r="Z102" s="763">
        <v>0.10199077386756755</v>
      </c>
      <c r="AA102" s="763">
        <v>0.0524213991538773</v>
      </c>
      <c r="AB102" s="763">
        <v>0.043942669066832557</v>
      </c>
      <c r="AC102" s="763">
        <v>0.084365872633236638</v>
      </c>
      <c r="AD102" s="763">
        <v>0.11632151605222153</v>
      </c>
      <c r="AE102" s="763">
        <v>0.010286119240372572</v>
      </c>
      <c r="AF102" s="763">
        <v>0.01876089784963467</v>
      </c>
      <c r="AG102" s="763">
        <v>0.026558321365523514</v>
      </c>
      <c r="AH102" s="763">
        <v>0.0065613571851091219</v>
      </c>
      <c r="AI102" s="763">
        <v>0.32783768604586577</v>
      </c>
      <c r="AJ102" s="763">
        <v>0.43550425081734911</v>
      </c>
      <c r="AK102" s="763">
        <v>0.43367554048763807</v>
      </c>
      <c r="AL102" s="763">
        <v>0.517431288844598</v>
      </c>
      <c r="AM102" s="763">
        <v>0.22150651200273408</v>
      </c>
      <c r="AN102" s="763">
        <v>0.073459861187887734</v>
      </c>
      <c r="AO102" s="764">
        <v>0.067276216277232168</v>
      </c>
      <c r="AP102" s="394"/>
      <c r="AQ102" s="397"/>
      <c r="AR102" s="398"/>
      <c r="AS102" s="398"/>
    </row>
    <row r="103" spans="1:45">
      <c r="A103" s="396">
        <v>852</v>
      </c>
      <c r="B103" s="761" t="s">
        <v>295</v>
      </c>
      <c r="C103" s="762">
        <v>20179</v>
      </c>
      <c r="D103" s="762">
        <v>17307</v>
      </c>
      <c r="E103" s="762">
        <v>10588</v>
      </c>
      <c r="F103" s="762">
        <v>2237</v>
      </c>
      <c r="G103" s="762">
        <v>2240</v>
      </c>
      <c r="H103" s="762">
        <v>2091</v>
      </c>
      <c r="I103" s="762">
        <v>4020</v>
      </c>
      <c r="J103" s="763">
        <v>0.21111056048367111</v>
      </c>
      <c r="K103" s="763">
        <v>0.29145678187163021</v>
      </c>
      <c r="L103" s="763">
        <v>0.19635436343029836</v>
      </c>
      <c r="M103" s="763">
        <v>0.34462836333539942</v>
      </c>
      <c r="N103" s="763">
        <v>0.39005243863442091</v>
      </c>
      <c r="O103" s="763">
        <v>0.14239352943303682</v>
      </c>
      <c r="P103" s="763">
        <v>0.11929658114772708</v>
      </c>
      <c r="Q103" s="763">
        <v>0.075835240810183349</v>
      </c>
      <c r="R103" s="763">
        <v>0.086824449007370422</v>
      </c>
      <c r="S103" s="763">
        <v>0.15036207385528583</v>
      </c>
      <c r="T103" s="763">
        <v>0.035235687111975715</v>
      </c>
      <c r="U103" s="763">
        <v>0.39214204760105764</v>
      </c>
      <c r="V103" s="763">
        <v>0.15139780884019638</v>
      </c>
      <c r="W103" s="763">
        <v>0.10700793350963346</v>
      </c>
      <c r="X103" s="763">
        <v>0.077540612013600241</v>
      </c>
      <c r="Y103" s="763">
        <v>0.092179826218360364</v>
      </c>
      <c r="Z103" s="763">
        <v>0.15224782772950515</v>
      </c>
      <c r="AA103" s="763">
        <v>0.027483944087646393</v>
      </c>
      <c r="AB103" s="763">
        <v>0.064968361700813826</v>
      </c>
      <c r="AC103" s="763">
        <v>0.1266121252128177</v>
      </c>
      <c r="AD103" s="763">
        <v>0.17827622356328429</v>
      </c>
      <c r="AE103" s="763">
        <v>0.012853549733565794</v>
      </c>
      <c r="AF103" s="763">
        <v>0.02202046082854309</v>
      </c>
      <c r="AG103" s="763">
        <v>0.0328872508589999</v>
      </c>
      <c r="AH103" s="763">
        <v>0.0053207607823158639</v>
      </c>
      <c r="AI103" s="763">
        <v>0.34013553309090222</v>
      </c>
      <c r="AJ103" s="763">
        <v>0.34694809958419992</v>
      </c>
      <c r="AK103" s="763">
        <v>0.38586411760192935</v>
      </c>
      <c r="AL103" s="763">
        <v>0.47056324963554275</v>
      </c>
      <c r="AM103" s="763">
        <v>0.19040080234316076</v>
      </c>
      <c r="AN103" s="763">
        <v>0.0740869220476733</v>
      </c>
      <c r="AO103" s="764">
        <v>0.058840196448809966</v>
      </c>
      <c r="AP103" s="394"/>
      <c r="AQ103" s="397"/>
      <c r="AR103" s="398"/>
      <c r="AS103" s="398"/>
    </row>
    <row r="104" spans="1:45">
      <c r="A104" s="396">
        <v>855</v>
      </c>
      <c r="B104" s="761" t="s">
        <v>251</v>
      </c>
      <c r="C104" s="762">
        <v>54317</v>
      </c>
      <c r="D104" s="762">
        <v>46787</v>
      </c>
      <c r="E104" s="762">
        <v>37122</v>
      </c>
      <c r="F104" s="762">
        <v>7759</v>
      </c>
      <c r="G104" s="762">
        <v>7531</v>
      </c>
      <c r="H104" s="762">
        <v>7355</v>
      </c>
      <c r="I104" s="762">
        <v>14477</v>
      </c>
      <c r="J104" s="763">
        <v>0.083454535412485958</v>
      </c>
      <c r="K104" s="763">
        <v>0.13845833896527737</v>
      </c>
      <c r="L104" s="763">
        <v>0.0882764937233985</v>
      </c>
      <c r="M104" s="763">
        <v>0.1869432309842658</v>
      </c>
      <c r="N104" s="763">
        <v>0.80883393295045736</v>
      </c>
      <c r="O104" s="763">
        <v>0.076555923770459722</v>
      </c>
      <c r="P104" s="763">
        <v>0.038557219705832396</v>
      </c>
      <c r="Q104" s="763">
        <v>0.033028741237101047</v>
      </c>
      <c r="R104" s="763">
        <v>0.017025676096529545</v>
      </c>
      <c r="S104" s="763">
        <v>0.016903299044302631</v>
      </c>
      <c r="T104" s="763">
        <v>0.009095207195317305</v>
      </c>
      <c r="U104" s="763">
        <v>0.78728016167095649</v>
      </c>
      <c r="V104" s="763">
        <v>0.074839347411483417</v>
      </c>
      <c r="W104" s="763">
        <v>0.041138638346772442</v>
      </c>
      <c r="X104" s="763">
        <v>0.030118636241279039</v>
      </c>
      <c r="Y104" s="763">
        <v>0.0215780433647477</v>
      </c>
      <c r="Z104" s="763">
        <v>0.027964706149471052</v>
      </c>
      <c r="AA104" s="763">
        <v>0.017080466815289921</v>
      </c>
      <c r="AB104" s="763">
        <v>0.015080943480153871</v>
      </c>
      <c r="AC104" s="763">
        <v>0.030147434385685359</v>
      </c>
      <c r="AD104" s="763">
        <v>0.046592121353163804</v>
      </c>
      <c r="AE104" s="763">
        <v>0.003155701949403344</v>
      </c>
      <c r="AF104" s="763">
        <v>0.0055301651882876867</v>
      </c>
      <c r="AG104" s="763">
        <v>0.008930806974062639</v>
      </c>
      <c r="AH104" s="763">
        <v>0.0045670673969650643</v>
      </c>
      <c r="AI104" s="763">
        <v>0.36290029239801691</v>
      </c>
      <c r="AJ104" s="763">
        <v>0.34137751498794372</v>
      </c>
      <c r="AK104" s="763">
        <v>0.38777110130739251</v>
      </c>
      <c r="AL104" s="763">
        <v>0.4718005098949451</v>
      </c>
      <c r="AM104" s="763">
        <v>0.19374224723888445</v>
      </c>
      <c r="AN104" s="763">
        <v>0.073954747132573592</v>
      </c>
      <c r="AO104" s="764">
        <v>0.044313345186143</v>
      </c>
      <c r="AP104" s="394"/>
      <c r="AQ104" s="397"/>
      <c r="AR104" s="398"/>
      <c r="AS104" s="398"/>
    </row>
    <row r="105" spans="1:45">
      <c r="A105" s="396">
        <v>856</v>
      </c>
      <c r="B105" s="761" t="s">
        <v>250</v>
      </c>
      <c r="C105" s="762">
        <v>33270</v>
      </c>
      <c r="D105" s="762">
        <v>28718</v>
      </c>
      <c r="E105" s="762">
        <v>19169</v>
      </c>
      <c r="F105" s="762">
        <v>4050</v>
      </c>
      <c r="G105" s="762">
        <v>3913</v>
      </c>
      <c r="H105" s="762">
        <v>3866</v>
      </c>
      <c r="I105" s="762">
        <v>7340</v>
      </c>
      <c r="J105" s="763">
        <v>0.17087466185752934</v>
      </c>
      <c r="K105" s="763">
        <v>0.26760503667730895</v>
      </c>
      <c r="L105" s="763">
        <v>0.16719703688246651</v>
      </c>
      <c r="M105" s="763">
        <v>0.340883929110314</v>
      </c>
      <c r="N105" s="763">
        <v>0.30931116772052819</v>
      </c>
      <c r="O105" s="763">
        <v>0.11303047395659223</v>
      </c>
      <c r="P105" s="763">
        <v>0.11458948364766168</v>
      </c>
      <c r="Q105" s="763">
        <v>0.082284529480878749</v>
      </c>
      <c r="R105" s="763">
        <v>0.13818684623305827</v>
      </c>
      <c r="S105" s="763">
        <v>0.15138083302570118</v>
      </c>
      <c r="T105" s="763">
        <v>0.091216665935579574</v>
      </c>
      <c r="U105" s="763">
        <v>0.32952524574902775</v>
      </c>
      <c r="V105" s="763">
        <v>0.12237777235142987</v>
      </c>
      <c r="W105" s="763">
        <v>0.12604212288651562</v>
      </c>
      <c r="X105" s="763">
        <v>0.081786729236504249</v>
      </c>
      <c r="Y105" s="763">
        <v>0.12051440483674475</v>
      </c>
      <c r="Z105" s="763">
        <v>0.13911392800024405</v>
      </c>
      <c r="AA105" s="763">
        <v>0.080639796939533687</v>
      </c>
      <c r="AB105" s="763">
        <v>0.11686887754823398</v>
      </c>
      <c r="AC105" s="763">
        <v>0.21987175476876494</v>
      </c>
      <c r="AD105" s="763">
        <v>0.31188029686152918</v>
      </c>
      <c r="AE105" s="763">
        <v>0.030454097801890387</v>
      </c>
      <c r="AF105" s="763">
        <v>0.057974495753005818</v>
      </c>
      <c r="AG105" s="763">
        <v>0.097115432046175038</v>
      </c>
      <c r="AH105" s="763">
        <v>0.0047705291834524493</v>
      </c>
      <c r="AI105" s="763">
        <v>0.46315311645166923</v>
      </c>
      <c r="AJ105" s="763">
        <v>0.39271442587231448</v>
      </c>
      <c r="AK105" s="763">
        <v>0.43868263015150394</v>
      </c>
      <c r="AL105" s="763">
        <v>0.512064074637425</v>
      </c>
      <c r="AM105" s="763">
        <v>0.24363559013936537</v>
      </c>
      <c r="AN105" s="763">
        <v>0.103907424105801</v>
      </c>
      <c r="AO105" s="764">
        <v>0.13954822891126295</v>
      </c>
      <c r="AP105" s="394"/>
      <c r="AQ105" s="397"/>
      <c r="AR105" s="398"/>
      <c r="AS105" s="398"/>
    </row>
    <row r="106" spans="1:45">
      <c r="A106" s="396">
        <v>857</v>
      </c>
      <c r="B106" s="761" t="s">
        <v>284</v>
      </c>
      <c r="C106" s="762">
        <v>2767</v>
      </c>
      <c r="D106" s="762">
        <v>2378</v>
      </c>
      <c r="E106" s="762">
        <v>2593</v>
      </c>
      <c r="F106" s="762">
        <v>570</v>
      </c>
      <c r="G106" s="762">
        <v>499</v>
      </c>
      <c r="H106" s="762">
        <v>508</v>
      </c>
      <c r="I106" s="762">
        <v>1016</v>
      </c>
      <c r="J106" s="763">
        <v>0.053126129382002125</v>
      </c>
      <c r="K106" s="763">
        <v>0.1039018496035559</v>
      </c>
      <c r="L106" s="763">
        <v>0.062861550327805646</v>
      </c>
      <c r="M106" s="763">
        <v>0.13097124005194397</v>
      </c>
      <c r="N106" s="763">
        <v>0.98877561435494887</v>
      </c>
      <c r="O106" s="763">
        <v>0.0054267500256886449</v>
      </c>
      <c r="P106" s="763">
        <v>0.0025355321001375043</v>
      </c>
      <c r="Q106" s="763">
        <v>0.0021778967971433122</v>
      </c>
      <c r="R106" s="763">
        <v>0</v>
      </c>
      <c r="S106" s="763">
        <v>0</v>
      </c>
      <c r="T106" s="763">
        <v>0.0010842067220816767</v>
      </c>
      <c r="U106" s="763">
        <v>0.95873194580943744</v>
      </c>
      <c r="V106" s="763">
        <v>0.01697109463443764</v>
      </c>
      <c r="W106" s="763">
        <v>0.0069425438214547833</v>
      </c>
      <c r="X106" s="763">
        <v>0.013497878904743544</v>
      </c>
      <c r="Y106" s="763">
        <v>0.0019282684149633628</v>
      </c>
      <c r="Z106" s="763">
        <v>0.0019282684149633628</v>
      </c>
      <c r="AA106" s="763">
        <v>0</v>
      </c>
      <c r="AB106" s="763">
        <v>0.0088317044336321936</v>
      </c>
      <c r="AC106" s="763">
        <v>0.018893848054428824</v>
      </c>
      <c r="AD106" s="763">
        <v>0.027728229674639948</v>
      </c>
      <c r="AE106" s="763">
        <v>0</v>
      </c>
      <c r="AF106" s="763">
        <v>0.000772863990336476</v>
      </c>
      <c r="AG106" s="763">
        <v>0.001158517673329148</v>
      </c>
      <c r="AH106" s="763">
        <v>0.002504350280917994</v>
      </c>
      <c r="AI106" s="763">
        <v>0.31235281300292478</v>
      </c>
      <c r="AJ106" s="763">
        <v>0.32884599789149294</v>
      </c>
      <c r="AK106" s="763">
        <v>0.34091533290823</v>
      </c>
      <c r="AL106" s="763">
        <v>0.43484447591350256</v>
      </c>
      <c r="AM106" s="763">
        <v>0.1954677593932766</v>
      </c>
      <c r="AN106" s="763">
        <v>0.0910733646548609</v>
      </c>
      <c r="AO106" s="764">
        <v>0.048206710374084069</v>
      </c>
      <c r="AP106" s="394"/>
      <c r="AQ106" s="397"/>
      <c r="AR106" s="398"/>
      <c r="AS106" s="398"/>
    </row>
    <row r="107" spans="1:45">
      <c r="A107" s="396">
        <v>860</v>
      </c>
      <c r="B107" s="761" t="s">
        <v>299</v>
      </c>
      <c r="C107" s="762">
        <v>66545</v>
      </c>
      <c r="D107" s="762">
        <v>57296</v>
      </c>
      <c r="E107" s="762">
        <v>44122</v>
      </c>
      <c r="F107" s="762">
        <v>9305</v>
      </c>
      <c r="G107" s="762">
        <v>8851</v>
      </c>
      <c r="H107" s="762">
        <v>8811</v>
      </c>
      <c r="I107" s="762">
        <v>17155</v>
      </c>
      <c r="J107" s="763">
        <v>0.10232173717033587</v>
      </c>
      <c r="K107" s="763">
        <v>0.1739835424794797</v>
      </c>
      <c r="L107" s="763">
        <v>0.0976157019174108</v>
      </c>
      <c r="M107" s="763">
        <v>0.21174267467621907</v>
      </c>
      <c r="N107" s="763">
        <v>0.68418378139943781</v>
      </c>
      <c r="O107" s="763">
        <v>0.10772981566316529</v>
      </c>
      <c r="P107" s="763">
        <v>0.081157609486619833</v>
      </c>
      <c r="Q107" s="763">
        <v>0.0625914640142512</v>
      </c>
      <c r="R107" s="763">
        <v>0.03397440502230243</v>
      </c>
      <c r="S107" s="763">
        <v>0.023312348097906249</v>
      </c>
      <c r="T107" s="763">
        <v>0.0070505763163172782</v>
      </c>
      <c r="U107" s="763">
        <v>0.69721643920432308</v>
      </c>
      <c r="V107" s="763">
        <v>0.10312935812643945</v>
      </c>
      <c r="W107" s="763">
        <v>0.074001873937824009</v>
      </c>
      <c r="X107" s="763">
        <v>0.056207983076154065</v>
      </c>
      <c r="Y107" s="763">
        <v>0.032538226933900835</v>
      </c>
      <c r="Z107" s="763">
        <v>0.02536532818447202</v>
      </c>
      <c r="AA107" s="763">
        <v>0.011540790536886596</v>
      </c>
      <c r="AB107" s="763">
        <v>0.016071001669884805</v>
      </c>
      <c r="AC107" s="763">
        <v>0.0314739464463708</v>
      </c>
      <c r="AD107" s="763">
        <v>0.045562180224623709</v>
      </c>
      <c r="AE107" s="763">
        <v>0.0031072699134958638</v>
      </c>
      <c r="AF107" s="763">
        <v>0.0062859720069840218</v>
      </c>
      <c r="AG107" s="763">
        <v>0.010670755550834871</v>
      </c>
      <c r="AH107" s="763">
        <v>0.006667146690946619</v>
      </c>
      <c r="AI107" s="763">
        <v>0.30770561343871744</v>
      </c>
      <c r="AJ107" s="763">
        <v>0.34798132211570904</v>
      </c>
      <c r="AK107" s="763">
        <v>0.36797609493662164</v>
      </c>
      <c r="AL107" s="763">
        <v>0.46716184346771783</v>
      </c>
      <c r="AM107" s="763">
        <v>0.18807432673345081</v>
      </c>
      <c r="AN107" s="763">
        <v>0.086152227815763774</v>
      </c>
      <c r="AO107" s="764">
        <v>0.042609129232582379</v>
      </c>
      <c r="AP107" s="394"/>
      <c r="AQ107" s="397"/>
      <c r="AR107" s="398"/>
      <c r="AS107" s="398"/>
    </row>
    <row r="108" spans="1:45">
      <c r="A108" s="396">
        <v>861</v>
      </c>
      <c r="B108" s="761" t="s">
        <v>302</v>
      </c>
      <c r="C108" s="762">
        <v>23046</v>
      </c>
      <c r="D108" s="762">
        <v>19762</v>
      </c>
      <c r="E108" s="762">
        <v>12943</v>
      </c>
      <c r="F108" s="762">
        <v>2825</v>
      </c>
      <c r="G108" s="762">
        <v>2568</v>
      </c>
      <c r="H108" s="762">
        <v>2647</v>
      </c>
      <c r="I108" s="762">
        <v>4903</v>
      </c>
      <c r="J108" s="763">
        <v>0.24333940814024127</v>
      </c>
      <c r="K108" s="763">
        <v>0.36285153917143292</v>
      </c>
      <c r="L108" s="763">
        <v>0.19601328903654477</v>
      </c>
      <c r="M108" s="763">
        <v>0.38541809725445053</v>
      </c>
      <c r="N108" s="763">
        <v>0.26942611841029862</v>
      </c>
      <c r="O108" s="763">
        <v>0.075159418599462638</v>
      </c>
      <c r="P108" s="763">
        <v>0.092317375190086814</v>
      </c>
      <c r="Q108" s="763">
        <v>0.16303114443450867</v>
      </c>
      <c r="R108" s="763">
        <v>0.15311981642478847</v>
      </c>
      <c r="S108" s="763">
        <v>0.12379693760286826</v>
      </c>
      <c r="T108" s="763">
        <v>0.12314918933798646</v>
      </c>
      <c r="U108" s="763">
        <v>0.30672950629684004</v>
      </c>
      <c r="V108" s="763">
        <v>0.067990419531793161</v>
      </c>
      <c r="W108" s="763">
        <v>0.092868732133199308</v>
      </c>
      <c r="X108" s="763">
        <v>0.16364057791856609</v>
      </c>
      <c r="Y108" s="763">
        <v>0.14803368616240434</v>
      </c>
      <c r="Z108" s="763">
        <v>0.11380669087537668</v>
      </c>
      <c r="AA108" s="763">
        <v>0.10693038708182022</v>
      </c>
      <c r="AB108" s="763">
        <v>0.046429554687784286</v>
      </c>
      <c r="AC108" s="763">
        <v>0.091300673513713765</v>
      </c>
      <c r="AD108" s="763">
        <v>0.13068122417170919</v>
      </c>
      <c r="AE108" s="763">
        <v>0.011370747985892759</v>
      </c>
      <c r="AF108" s="763">
        <v>0.021660333813345249</v>
      </c>
      <c r="AG108" s="763">
        <v>0.033108874941661079</v>
      </c>
      <c r="AH108" s="763">
        <v>0.0077557443816898683</v>
      </c>
      <c r="AI108" s="763">
        <v>0.37969084748613408</v>
      </c>
      <c r="AJ108" s="763">
        <v>0.40114296789444143</v>
      </c>
      <c r="AK108" s="763">
        <v>0.43036679266903827</v>
      </c>
      <c r="AL108" s="763">
        <v>0.52971733978918745</v>
      </c>
      <c r="AM108" s="763">
        <v>0.20322543320322467</v>
      </c>
      <c r="AN108" s="763">
        <v>0.10210014753102489</v>
      </c>
      <c r="AO108" s="764">
        <v>0.059723402611450205</v>
      </c>
      <c r="AP108" s="394"/>
      <c r="AQ108" s="397"/>
      <c r="AR108" s="398"/>
      <c r="AS108" s="398"/>
    </row>
    <row r="109" spans="1:45">
      <c r="A109" s="396">
        <v>865</v>
      </c>
      <c r="B109" s="761" t="s">
        <v>324</v>
      </c>
      <c r="C109" s="762">
        <v>38236</v>
      </c>
      <c r="D109" s="762">
        <v>32854</v>
      </c>
      <c r="E109" s="762">
        <v>24890</v>
      </c>
      <c r="F109" s="762">
        <v>5163</v>
      </c>
      <c r="G109" s="762">
        <v>5051</v>
      </c>
      <c r="H109" s="762">
        <v>4930</v>
      </c>
      <c r="I109" s="762">
        <v>9746</v>
      </c>
      <c r="J109" s="763">
        <v>0.0925829061617324</v>
      </c>
      <c r="K109" s="763">
        <v>0.14586578043123971</v>
      </c>
      <c r="L109" s="763">
        <v>0.081960626757734023</v>
      </c>
      <c r="M109" s="763">
        <v>0.16723485382463479</v>
      </c>
      <c r="N109" s="763">
        <v>0.8752535650413672</v>
      </c>
      <c r="O109" s="763">
        <v>0.049986996073439233</v>
      </c>
      <c r="P109" s="763">
        <v>0.030517493884736464</v>
      </c>
      <c r="Q109" s="763">
        <v>0.0364640042651968</v>
      </c>
      <c r="R109" s="763">
        <v>0.0024097919644522126</v>
      </c>
      <c r="S109" s="763">
        <v>0.005184534071718567</v>
      </c>
      <c r="T109" s="763">
        <v>0.00018361469908936154</v>
      </c>
      <c r="U109" s="763">
        <v>0.8776952308237892</v>
      </c>
      <c r="V109" s="763">
        <v>0.051860005231240347</v>
      </c>
      <c r="W109" s="763">
        <v>0.029913040845001796</v>
      </c>
      <c r="X109" s="763">
        <v>0.032408760259128283</v>
      </c>
      <c r="Y109" s="763">
        <v>0.0024119208412784897</v>
      </c>
      <c r="Z109" s="763">
        <v>0.0052688368937238326</v>
      </c>
      <c r="AA109" s="763">
        <v>0.00044220510583793107</v>
      </c>
      <c r="AB109" s="763">
        <v>0.011909098950737699</v>
      </c>
      <c r="AC109" s="763">
        <v>0.024129610206704545</v>
      </c>
      <c r="AD109" s="763">
        <v>0.035374715459427983</v>
      </c>
      <c r="AE109" s="763">
        <v>0.0037809088105508356</v>
      </c>
      <c r="AF109" s="763">
        <v>0.0065970490962817645</v>
      </c>
      <c r="AG109" s="763">
        <v>0.010537095209617662</v>
      </c>
      <c r="AH109" s="763">
        <v>0.0035282017756725096</v>
      </c>
      <c r="AI109" s="763">
        <v>0.33974650812695584</v>
      </c>
      <c r="AJ109" s="763">
        <v>0.34996054899670015</v>
      </c>
      <c r="AK109" s="763">
        <v>0.39056036253916449</v>
      </c>
      <c r="AL109" s="763">
        <v>0.45066462236839194</v>
      </c>
      <c r="AM109" s="763">
        <v>0.18210705488204063</v>
      </c>
      <c r="AN109" s="763">
        <v>0.086750706140809708</v>
      </c>
      <c r="AO109" s="764">
        <v>0.0773402973081559</v>
      </c>
      <c r="AP109" s="394"/>
      <c r="AQ109" s="397"/>
      <c r="AR109" s="398"/>
      <c r="AS109" s="398"/>
    </row>
    <row r="110" spans="1:45">
      <c r="A110" s="396">
        <v>866</v>
      </c>
      <c r="B110" s="761" t="s">
        <v>307</v>
      </c>
      <c r="C110" s="762">
        <v>20618</v>
      </c>
      <c r="D110" s="762">
        <v>17693</v>
      </c>
      <c r="E110" s="762">
        <v>11078</v>
      </c>
      <c r="F110" s="762">
        <v>2434</v>
      </c>
      <c r="G110" s="762">
        <v>2194</v>
      </c>
      <c r="H110" s="762">
        <v>2205</v>
      </c>
      <c r="I110" s="762">
        <v>4245</v>
      </c>
      <c r="J110" s="763">
        <v>0.14036278979532449</v>
      </c>
      <c r="K110" s="763">
        <v>0.20174178352058547</v>
      </c>
      <c r="L110" s="763">
        <v>0.13296623939339219</v>
      </c>
      <c r="M110" s="763">
        <v>0.2421623003285637</v>
      </c>
      <c r="N110" s="763">
        <v>0.7042290932375691</v>
      </c>
      <c r="O110" s="763">
        <v>0.049349792671764023</v>
      </c>
      <c r="P110" s="763">
        <v>0.050386819972028235</v>
      </c>
      <c r="Q110" s="763">
        <v>0.06581531246522461</v>
      </c>
      <c r="R110" s="763">
        <v>0.074062757164574777</v>
      </c>
      <c r="S110" s="763">
        <v>0.03065847109180635</v>
      </c>
      <c r="T110" s="763">
        <v>0.025497753397032853</v>
      </c>
      <c r="U110" s="763">
        <v>0.69230157708000217</v>
      </c>
      <c r="V110" s="763">
        <v>0.055043635204197458</v>
      </c>
      <c r="W110" s="763">
        <v>0.048069335858030207</v>
      </c>
      <c r="X110" s="763">
        <v>0.067096647348983365</v>
      </c>
      <c r="Y110" s="763">
        <v>0.08473837880065048</v>
      </c>
      <c r="Z110" s="763">
        <v>0.031792259827248343</v>
      </c>
      <c r="AA110" s="763">
        <v>0.020958165880887926</v>
      </c>
      <c r="AB110" s="763">
        <v>0.047564543806451247</v>
      </c>
      <c r="AC110" s="763">
        <v>0.09088233693418761</v>
      </c>
      <c r="AD110" s="763">
        <v>0.12686366482511566</v>
      </c>
      <c r="AE110" s="763">
        <v>0.011201183003763205</v>
      </c>
      <c r="AF110" s="763">
        <v>0.020936050853864303</v>
      </c>
      <c r="AG110" s="763">
        <v>0.032418703383047996</v>
      </c>
      <c r="AH110" s="763">
        <v>0.004901685643267149</v>
      </c>
      <c r="AI110" s="763">
        <v>0.33769205303059785</v>
      </c>
      <c r="AJ110" s="763">
        <v>0.36740198478377389</v>
      </c>
      <c r="AK110" s="763">
        <v>0.39955579130874846</v>
      </c>
      <c r="AL110" s="763">
        <v>0.562825248684927</v>
      </c>
      <c r="AM110" s="763">
        <v>0.18653537493179084</v>
      </c>
      <c r="AN110" s="763">
        <v>0.083519255019885552</v>
      </c>
      <c r="AO110" s="764">
        <v>0.097039176746705161</v>
      </c>
      <c r="AP110" s="394"/>
      <c r="AQ110" s="397"/>
      <c r="AR110" s="398"/>
      <c r="AS110" s="398"/>
    </row>
    <row r="111" spans="1:45">
      <c r="A111" s="396">
        <v>867</v>
      </c>
      <c r="B111" s="761" t="s">
        <v>188</v>
      </c>
      <c r="C111" s="762">
        <v>9950</v>
      </c>
      <c r="D111" s="762">
        <v>8589</v>
      </c>
      <c r="E111" s="762">
        <v>6190</v>
      </c>
      <c r="F111" s="762">
        <v>1338</v>
      </c>
      <c r="G111" s="762">
        <v>1220</v>
      </c>
      <c r="H111" s="762">
        <v>1272</v>
      </c>
      <c r="I111" s="762">
        <v>2360</v>
      </c>
      <c r="J111" s="763">
        <v>0.077487437185929625</v>
      </c>
      <c r="K111" s="763">
        <v>0.13530623381658885</v>
      </c>
      <c r="L111" s="763">
        <v>0.083521809369951516</v>
      </c>
      <c r="M111" s="763">
        <v>0.17264100577534353</v>
      </c>
      <c r="N111" s="763">
        <v>0.88762020331924174</v>
      </c>
      <c r="O111" s="763">
        <v>0.072452091213332265</v>
      </c>
      <c r="P111" s="763">
        <v>0.024930975120871047</v>
      </c>
      <c r="Q111" s="763">
        <v>0.014896021463329757</v>
      </c>
      <c r="R111" s="763">
        <v>0</v>
      </c>
      <c r="S111" s="763">
        <v>0.00010070888322516091</v>
      </c>
      <c r="T111" s="763">
        <v>0</v>
      </c>
      <c r="U111" s="763">
        <v>0.89902845298211564</v>
      </c>
      <c r="V111" s="763">
        <v>0.062359838538778974</v>
      </c>
      <c r="W111" s="763">
        <v>0.02617184172496298</v>
      </c>
      <c r="X111" s="763">
        <v>0.011793663200022713</v>
      </c>
      <c r="Y111" s="763">
        <v>0.00048465266558965969</v>
      </c>
      <c r="Z111" s="763">
        <v>0.00016155088852988749</v>
      </c>
      <c r="AA111" s="763">
        <v>0</v>
      </c>
      <c r="AB111" s="763">
        <v>0.030672938512225193</v>
      </c>
      <c r="AC111" s="763">
        <v>0.054002190466394429</v>
      </c>
      <c r="AD111" s="763">
        <v>0.074065767220217141</v>
      </c>
      <c r="AE111" s="763">
        <v>0.0069575186618413432</v>
      </c>
      <c r="AF111" s="763">
        <v>0.012952487145960253</v>
      </c>
      <c r="AG111" s="763">
        <v>0.018458001184881365</v>
      </c>
      <c r="AH111" s="763">
        <v>0.0041654137241952868</v>
      </c>
      <c r="AI111" s="763">
        <v>0.29803692100101026</v>
      </c>
      <c r="AJ111" s="763">
        <v>0.37328912737742675</v>
      </c>
      <c r="AK111" s="763">
        <v>0.41935612393041366</v>
      </c>
      <c r="AL111" s="763">
        <v>0.47516276448426431</v>
      </c>
      <c r="AM111" s="763">
        <v>0.19027547195012559</v>
      </c>
      <c r="AN111" s="763">
        <v>0.11537688442211058</v>
      </c>
      <c r="AO111" s="764">
        <v>0.091437802907916019</v>
      </c>
      <c r="AP111" s="394"/>
      <c r="AQ111" s="397"/>
      <c r="AR111" s="398"/>
      <c r="AS111" s="398"/>
    </row>
    <row r="112" spans="1:45">
      <c r="A112" s="396">
        <v>868</v>
      </c>
      <c r="B112" s="761" t="s">
        <v>325</v>
      </c>
      <c r="C112" s="762">
        <v>11361</v>
      </c>
      <c r="D112" s="762">
        <v>9805</v>
      </c>
      <c r="E112" s="762">
        <v>7984</v>
      </c>
      <c r="F112" s="762">
        <v>1708</v>
      </c>
      <c r="G112" s="762">
        <v>1633</v>
      </c>
      <c r="H112" s="762">
        <v>1569</v>
      </c>
      <c r="I112" s="762">
        <v>3074</v>
      </c>
      <c r="J112" s="763">
        <v>0.068479887333861442</v>
      </c>
      <c r="K112" s="763">
        <v>0.11369013700648928</v>
      </c>
      <c r="L112" s="763">
        <v>0.069263527054108223</v>
      </c>
      <c r="M112" s="763">
        <v>0.15380520476011392</v>
      </c>
      <c r="N112" s="763">
        <v>0.861276977549114</v>
      </c>
      <c r="O112" s="763">
        <v>0.088197408035223357</v>
      </c>
      <c r="P112" s="763">
        <v>0.049381348946073739</v>
      </c>
      <c r="Q112" s="763">
        <v>0.00079218378663850012</v>
      </c>
      <c r="R112" s="763">
        <v>0.00026406126221283337</v>
      </c>
      <c r="S112" s="763">
        <v>8.8020420737611093E-05</v>
      </c>
      <c r="T112" s="763">
        <v>0</v>
      </c>
      <c r="U112" s="763">
        <v>0.86657217343906157</v>
      </c>
      <c r="V112" s="763">
        <v>0.0847010866574837</v>
      </c>
      <c r="W112" s="763">
        <v>0.044091681142399287</v>
      </c>
      <c r="X112" s="763">
        <v>0.0045098082600532295</v>
      </c>
      <c r="Y112" s="763">
        <v>0</v>
      </c>
      <c r="Z112" s="763">
        <v>0.00012525050100200416</v>
      </c>
      <c r="AA112" s="763">
        <v>0</v>
      </c>
      <c r="AB112" s="763">
        <v>0.031547076219120507</v>
      </c>
      <c r="AC112" s="763">
        <v>0.065615270727024957</v>
      </c>
      <c r="AD112" s="763">
        <v>0.0953813399277944</v>
      </c>
      <c r="AE112" s="763">
        <v>0.006531343584117718</v>
      </c>
      <c r="AF112" s="763">
        <v>0.01406107665807811</v>
      </c>
      <c r="AG112" s="763">
        <v>0.02334780916011589</v>
      </c>
      <c r="AH112" s="763">
        <v>0.003062073819214561</v>
      </c>
      <c r="AI112" s="763">
        <v>0.28846343489016985</v>
      </c>
      <c r="AJ112" s="763">
        <v>0.33561317134227719</v>
      </c>
      <c r="AK112" s="763">
        <v>0.35893596350792084</v>
      </c>
      <c r="AL112" s="763">
        <v>0.43313416277462213</v>
      </c>
      <c r="AM112" s="763">
        <v>0.16759996898891474</v>
      </c>
      <c r="AN112" s="763">
        <v>0.071384561218202622</v>
      </c>
      <c r="AO112" s="764">
        <v>0.049098196392785592</v>
      </c>
      <c r="AP112" s="394"/>
      <c r="AQ112" s="397"/>
      <c r="AR112" s="398"/>
      <c r="AS112" s="398"/>
    </row>
    <row r="113" spans="1:45">
      <c r="A113" s="396">
        <v>869</v>
      </c>
      <c r="B113" s="761" t="s">
        <v>320</v>
      </c>
      <c r="C113" s="762">
        <v>13293</v>
      </c>
      <c r="D113" s="762">
        <v>11459</v>
      </c>
      <c r="E113" s="762">
        <v>9355</v>
      </c>
      <c r="F113" s="762">
        <v>1984</v>
      </c>
      <c r="G113" s="762">
        <v>1927</v>
      </c>
      <c r="H113" s="762">
        <v>1799</v>
      </c>
      <c r="I113" s="762">
        <v>3645</v>
      </c>
      <c r="J113" s="763">
        <v>0.076581659520048168</v>
      </c>
      <c r="K113" s="763">
        <v>0.12329535036569962</v>
      </c>
      <c r="L113" s="763">
        <v>0.069481560662747216</v>
      </c>
      <c r="M113" s="763">
        <v>0.15461049771919491</v>
      </c>
      <c r="N113" s="763">
        <v>0.8940811952205967</v>
      </c>
      <c r="O113" s="763">
        <v>0.034507135692322145</v>
      </c>
      <c r="P113" s="763">
        <v>0.040992132167538109</v>
      </c>
      <c r="Q113" s="763">
        <v>0.0044489636435010894</v>
      </c>
      <c r="R113" s="763">
        <v>0.011368998261140961</v>
      </c>
      <c r="S113" s="763">
        <v>0.014601575014901049</v>
      </c>
      <c r="T113" s="763">
        <v>0</v>
      </c>
      <c r="U113" s="763">
        <v>0.87628007136300945</v>
      </c>
      <c r="V113" s="763">
        <v>0.043756340198274374</v>
      </c>
      <c r="W113" s="763">
        <v>0.040239294253896843</v>
      </c>
      <c r="X113" s="763">
        <v>0.012088080492529935</v>
      </c>
      <c r="Y113" s="763">
        <v>0.013091335565487472</v>
      </c>
      <c r="Z113" s="763">
        <v>0.014544878126801662</v>
      </c>
      <c r="AA113" s="763">
        <v>0</v>
      </c>
      <c r="AB113" s="763">
        <v>0.022090352001174773</v>
      </c>
      <c r="AC113" s="763">
        <v>0.04300512185062845</v>
      </c>
      <c r="AD113" s="763">
        <v>0.059766097164196889</v>
      </c>
      <c r="AE113" s="763">
        <v>0.0029960868546085656</v>
      </c>
      <c r="AF113" s="763">
        <v>0.0052429232221848</v>
      </c>
      <c r="AG113" s="763">
        <v>0.0099493333003125867</v>
      </c>
      <c r="AH113" s="763">
        <v>0.0038742760033089537</v>
      </c>
      <c r="AI113" s="763">
        <v>0.29180787424496724</v>
      </c>
      <c r="AJ113" s="763">
        <v>0.35644751367606586</v>
      </c>
      <c r="AK113" s="763">
        <v>0.37270284921486435</v>
      </c>
      <c r="AL113" s="763">
        <v>0.44070989649491121</v>
      </c>
      <c r="AM113" s="763">
        <v>0.16030237636572234</v>
      </c>
      <c r="AN113" s="763">
        <v>0.058903182125930924</v>
      </c>
      <c r="AO113" s="764">
        <v>0.09139497594869056</v>
      </c>
      <c r="AP113" s="394"/>
      <c r="AQ113" s="397"/>
      <c r="AR113" s="398"/>
      <c r="AS113" s="398"/>
    </row>
    <row r="114" spans="1:45">
      <c r="A114" s="396">
        <v>870</v>
      </c>
      <c r="B114" s="761" t="s">
        <v>278</v>
      </c>
      <c r="C114" s="762">
        <v>13318</v>
      </c>
      <c r="D114" s="762">
        <v>11452</v>
      </c>
      <c r="E114" s="762">
        <v>6413</v>
      </c>
      <c r="F114" s="762">
        <v>1369</v>
      </c>
      <c r="G114" s="762">
        <v>1279</v>
      </c>
      <c r="H114" s="762">
        <v>1273</v>
      </c>
      <c r="I114" s="762">
        <v>2492</v>
      </c>
      <c r="J114" s="763">
        <v>0.15107373479501429</v>
      </c>
      <c r="K114" s="763">
        <v>0.22296664429618315</v>
      </c>
      <c r="L114" s="763">
        <v>0.11008888195852182</v>
      </c>
      <c r="M114" s="763">
        <v>0.24026322117678525</v>
      </c>
      <c r="N114" s="763">
        <v>0.54770324763317912</v>
      </c>
      <c r="O114" s="763">
        <v>0.15099271979951093</v>
      </c>
      <c r="P114" s="763">
        <v>0.055070037640554237</v>
      </c>
      <c r="Q114" s="763">
        <v>0.09967673751736858</v>
      </c>
      <c r="R114" s="763">
        <v>0.067696130430971377</v>
      </c>
      <c r="S114" s="763">
        <v>0.078861126978415824</v>
      </c>
      <c r="T114" s="763">
        <v>0</v>
      </c>
      <c r="U114" s="763">
        <v>0.60709251019566512</v>
      </c>
      <c r="V114" s="763">
        <v>0.1231593144770203</v>
      </c>
      <c r="W114" s="763">
        <v>0.050741448369823541</v>
      </c>
      <c r="X114" s="763">
        <v>0.090698840608307379</v>
      </c>
      <c r="Y114" s="763">
        <v>0.054942552120006267</v>
      </c>
      <c r="Z114" s="763">
        <v>0.073365334229177556</v>
      </c>
      <c r="AA114" s="763">
        <v>0</v>
      </c>
      <c r="AB114" s="763">
        <v>0.080858782610943855</v>
      </c>
      <c r="AC114" s="763">
        <v>0.15253605031675913</v>
      </c>
      <c r="AD114" s="763">
        <v>0.2105728687631428</v>
      </c>
      <c r="AE114" s="763">
        <v>0.017930886228923408</v>
      </c>
      <c r="AF114" s="763">
        <v>0.036505965211973468</v>
      </c>
      <c r="AG114" s="763">
        <v>0.059471965005517255</v>
      </c>
      <c r="AH114" s="763">
        <v>0.003218333952708798</v>
      </c>
      <c r="AI114" s="763">
        <v>0.33772826748410212</v>
      </c>
      <c r="AJ114" s="763">
        <v>0.35972719888671612</v>
      </c>
      <c r="AK114" s="763">
        <v>0.34890617682980651</v>
      </c>
      <c r="AL114" s="763">
        <v>0.40224939671296034</v>
      </c>
      <c r="AM114" s="763">
        <v>0.18796757153099591</v>
      </c>
      <c r="AN114" s="763">
        <v>0.10692296140561643</v>
      </c>
      <c r="AO114" s="764">
        <v>0.052861375331358179</v>
      </c>
      <c r="AP114" s="394"/>
      <c r="AQ114" s="397"/>
      <c r="AR114" s="398"/>
      <c r="AS114" s="398"/>
    </row>
    <row r="115" spans="1:45">
      <c r="A115" s="396">
        <v>871</v>
      </c>
      <c r="B115" s="761" t="s">
        <v>290</v>
      </c>
      <c r="C115" s="762">
        <v>16707</v>
      </c>
      <c r="D115" s="762">
        <v>14428</v>
      </c>
      <c r="E115" s="762">
        <v>10512</v>
      </c>
      <c r="F115" s="762">
        <v>2366</v>
      </c>
      <c r="G115" s="762">
        <v>2248</v>
      </c>
      <c r="H115" s="762">
        <v>2082</v>
      </c>
      <c r="I115" s="762">
        <v>3816</v>
      </c>
      <c r="J115" s="763">
        <v>0.11234811755551563</v>
      </c>
      <c r="K115" s="763">
        <v>0.190315071842465</v>
      </c>
      <c r="L115" s="763">
        <v>0.099505327245053343</v>
      </c>
      <c r="M115" s="763">
        <v>0.24766251579659457</v>
      </c>
      <c r="N115" s="763">
        <v>0.58203008229633557</v>
      </c>
      <c r="O115" s="763">
        <v>0.29618147916345916</v>
      </c>
      <c r="P115" s="763">
        <v>0.084911490665312311</v>
      </c>
      <c r="Q115" s="763">
        <v>0.036517662107123622</v>
      </c>
      <c r="R115" s="763">
        <v>5.9855150535703716E-05</v>
      </c>
      <c r="S115" s="763">
        <v>0.000299430617233591</v>
      </c>
      <c r="T115" s="763">
        <v>0</v>
      </c>
      <c r="U115" s="763">
        <v>0.56930759540692044</v>
      </c>
      <c r="V115" s="763">
        <v>0.28033586720046383</v>
      </c>
      <c r="W115" s="763">
        <v>0.09496762584429834</v>
      </c>
      <c r="X115" s="763">
        <v>0.04682349253794179</v>
      </c>
      <c r="Y115" s="763">
        <v>0.0061861748256698858</v>
      </c>
      <c r="Z115" s="763">
        <v>0.0021889854328031298</v>
      </c>
      <c r="AA115" s="763">
        <v>0.00019025875190258743</v>
      </c>
      <c r="AB115" s="763">
        <v>0.11155650319556228</v>
      </c>
      <c r="AC115" s="763">
        <v>0.21360071968147304</v>
      </c>
      <c r="AD115" s="763">
        <v>0.31347896300708727</v>
      </c>
      <c r="AE115" s="763">
        <v>0.017784095889154441</v>
      </c>
      <c r="AF115" s="763">
        <v>0.029308064483291214</v>
      </c>
      <c r="AG115" s="763">
        <v>0.046564575798233865</v>
      </c>
      <c r="AH115" s="763">
        <v>0.0027663803407834528</v>
      </c>
      <c r="AI115" s="763">
        <v>0.34632627811777639</v>
      </c>
      <c r="AJ115" s="763">
        <v>0.26714038967026332</v>
      </c>
      <c r="AK115" s="763">
        <v>0.30749667114392731</v>
      </c>
      <c r="AL115" s="763">
        <v>0.39870202218308648</v>
      </c>
      <c r="AM115" s="763">
        <v>0.16445857377510364</v>
      </c>
      <c r="AN115" s="763">
        <v>0.12108696953372836</v>
      </c>
      <c r="AO115" s="764">
        <v>0.045757229832572306</v>
      </c>
      <c r="AP115" s="394"/>
      <c r="AQ115" s="397"/>
      <c r="AR115" s="398"/>
      <c r="AS115" s="398"/>
    </row>
    <row r="116" spans="1:45">
      <c r="A116" s="396">
        <v>872</v>
      </c>
      <c r="B116" s="761" t="s">
        <v>327</v>
      </c>
      <c r="C116" s="762">
        <v>15111</v>
      </c>
      <c r="D116" s="762">
        <v>13034</v>
      </c>
      <c r="E116" s="762">
        <v>8979</v>
      </c>
      <c r="F116" s="762">
        <v>1939</v>
      </c>
      <c r="G116" s="762">
        <v>1857</v>
      </c>
      <c r="H116" s="762">
        <v>1777</v>
      </c>
      <c r="I116" s="762">
        <v>3406</v>
      </c>
      <c r="J116" s="763">
        <v>0.0578386605783866</v>
      </c>
      <c r="K116" s="763">
        <v>0.089234608707675467</v>
      </c>
      <c r="L116" s="763">
        <v>0.063815569662545923</v>
      </c>
      <c r="M116" s="763">
        <v>0.14424459339262616</v>
      </c>
      <c r="N116" s="763">
        <v>0.94186944601561484</v>
      </c>
      <c r="O116" s="763">
        <v>0.021320091851840677</v>
      </c>
      <c r="P116" s="763">
        <v>0.022113971449894056</v>
      </c>
      <c r="Q116" s="763">
        <v>0.0042368407625808209</v>
      </c>
      <c r="R116" s="763">
        <v>0.0056270101302645327</v>
      </c>
      <c r="S116" s="763">
        <v>0.0048326397898050795</v>
      </c>
      <c r="T116" s="763">
        <v>0</v>
      </c>
      <c r="U116" s="763">
        <v>0.89428744140312511</v>
      </c>
      <c r="V116" s="763">
        <v>0.033865820932194167</v>
      </c>
      <c r="W116" s="763">
        <v>0.021616953077717837</v>
      </c>
      <c r="X116" s="763">
        <v>0.014924702840183787</v>
      </c>
      <c r="Y116" s="763">
        <v>0.012807742677438633</v>
      </c>
      <c r="Z116" s="763">
        <v>0.022497339069340438</v>
      </c>
      <c r="AA116" s="763">
        <v>0</v>
      </c>
      <c r="AB116" s="763">
        <v>0.04118317594189904</v>
      </c>
      <c r="AC116" s="763">
        <v>0.079037940434402362</v>
      </c>
      <c r="AD116" s="763">
        <v>0.11334962209434658</v>
      </c>
      <c r="AE116" s="763">
        <v>0.010877119910323864</v>
      </c>
      <c r="AF116" s="763">
        <v>0.017052682735555682</v>
      </c>
      <c r="AG116" s="763">
        <v>0.025688677985210892</v>
      </c>
      <c r="AH116" s="763">
        <v>0.0026544975204450517</v>
      </c>
      <c r="AI116" s="763">
        <v>0.30446390709641225</v>
      </c>
      <c r="AJ116" s="763">
        <v>0.29911992884250171</v>
      </c>
      <c r="AK116" s="763">
        <v>0.34626233421386465</v>
      </c>
      <c r="AL116" s="763">
        <v>0.41110254996026885</v>
      </c>
      <c r="AM116" s="763">
        <v>0.15968212944460369</v>
      </c>
      <c r="AN116" s="763">
        <v>0.062404870624048682</v>
      </c>
      <c r="AO116" s="764">
        <v>0.054905891524668668</v>
      </c>
      <c r="AP116" s="394"/>
      <c r="AQ116" s="397"/>
      <c r="AR116" s="398"/>
      <c r="AS116" s="398"/>
    </row>
    <row r="117" spans="1:45">
      <c r="A117" s="396">
        <v>873</v>
      </c>
      <c r="B117" s="761" t="s">
        <v>198</v>
      </c>
      <c r="C117" s="762">
        <v>50657</v>
      </c>
      <c r="D117" s="762">
        <v>43569</v>
      </c>
      <c r="E117" s="762">
        <v>29676</v>
      </c>
      <c r="F117" s="762">
        <v>6305</v>
      </c>
      <c r="G117" s="762">
        <v>5936</v>
      </c>
      <c r="H117" s="762">
        <v>5997</v>
      </c>
      <c r="I117" s="762">
        <v>11438</v>
      </c>
      <c r="J117" s="763">
        <v>0.12223384724717216</v>
      </c>
      <c r="K117" s="763">
        <v>0.17065183907675713</v>
      </c>
      <c r="L117" s="763">
        <v>0.09957541447634452</v>
      </c>
      <c r="M117" s="763">
        <v>0.18923800542594751</v>
      </c>
      <c r="N117" s="763">
        <v>0.78511005453103366</v>
      </c>
      <c r="O117" s="763">
        <v>0.09035659964952196</v>
      </c>
      <c r="P117" s="763">
        <v>0.067468821371064733</v>
      </c>
      <c r="Q117" s="763">
        <v>0.031111055340529919</v>
      </c>
      <c r="R117" s="763">
        <v>0.0095504919913392168</v>
      </c>
      <c r="S117" s="763">
        <v>0.013797103524440954</v>
      </c>
      <c r="T117" s="763">
        <v>0.0026058735920694237</v>
      </c>
      <c r="U117" s="763">
        <v>0.81482166317588189</v>
      </c>
      <c r="V117" s="763">
        <v>0.0758073481856375</v>
      </c>
      <c r="W117" s="763">
        <v>0.05916621985789558</v>
      </c>
      <c r="X117" s="763">
        <v>0.028311283742385666</v>
      </c>
      <c r="Y117" s="763">
        <v>0.008063214238042328</v>
      </c>
      <c r="Z117" s="763">
        <v>0.01099688124088615</v>
      </c>
      <c r="AA117" s="763">
        <v>0.0028333895592710522</v>
      </c>
      <c r="AB117" s="763">
        <v>0.033306521664674266</v>
      </c>
      <c r="AC117" s="763">
        <v>0.064733275463329132</v>
      </c>
      <c r="AD117" s="763">
        <v>0.092428137940118268</v>
      </c>
      <c r="AE117" s="763">
        <v>0.0067818381589800532</v>
      </c>
      <c r="AF117" s="763">
        <v>0.01366720355935354</v>
      </c>
      <c r="AG117" s="763">
        <v>0.020921957390751686</v>
      </c>
      <c r="AH117" s="763">
        <v>0.0037287610123792488</v>
      </c>
      <c r="AI117" s="763">
        <v>0.33988113518669988</v>
      </c>
      <c r="AJ117" s="763">
        <v>0.38136166482092043</v>
      </c>
      <c r="AK117" s="763">
        <v>0.40224996208398517</v>
      </c>
      <c r="AL117" s="763">
        <v>0.47146229106840504</v>
      </c>
      <c r="AM117" s="763">
        <v>0.20952127833556863</v>
      </c>
      <c r="AN117" s="763">
        <v>0.0894249560771463</v>
      </c>
      <c r="AO117" s="764">
        <v>0.087377004987195042</v>
      </c>
      <c r="AP117" s="394"/>
      <c r="AQ117" s="397"/>
      <c r="AR117" s="398"/>
      <c r="AS117" s="398"/>
    </row>
    <row r="118" spans="1:45">
      <c r="A118" s="396">
        <v>874</v>
      </c>
      <c r="B118" s="761" t="s">
        <v>275</v>
      </c>
      <c r="C118" s="762">
        <v>21635</v>
      </c>
      <c r="D118" s="762">
        <v>18643</v>
      </c>
      <c r="E118" s="762">
        <v>12751</v>
      </c>
      <c r="F118" s="762">
        <v>2806</v>
      </c>
      <c r="G118" s="762">
        <v>2610</v>
      </c>
      <c r="H118" s="762">
        <v>2512</v>
      </c>
      <c r="I118" s="762">
        <v>4823</v>
      </c>
      <c r="J118" s="763">
        <v>0.17041830367460137</v>
      </c>
      <c r="K118" s="763">
        <v>0.2633167130166863</v>
      </c>
      <c r="L118" s="763">
        <v>0.144145557211199</v>
      </c>
      <c r="M118" s="763">
        <v>0.30692158003635978</v>
      </c>
      <c r="N118" s="763">
        <v>0.33462886893996058</v>
      </c>
      <c r="O118" s="763">
        <v>0.14018977741448721</v>
      </c>
      <c r="P118" s="763">
        <v>0.164987991575399</v>
      </c>
      <c r="Q118" s="763">
        <v>0.10610972595992432</v>
      </c>
      <c r="R118" s="763">
        <v>0.1025532283591348</v>
      </c>
      <c r="S118" s="763">
        <v>0.10833337307556108</v>
      </c>
      <c r="T118" s="763">
        <v>0.043197034675532923</v>
      </c>
      <c r="U118" s="763">
        <v>0.37775918623439037</v>
      </c>
      <c r="V118" s="763">
        <v>0.13483281489377125</v>
      </c>
      <c r="W118" s="763">
        <v>0.1557578537767845</v>
      </c>
      <c r="X118" s="763">
        <v>0.098934564169427516</v>
      </c>
      <c r="Y118" s="763">
        <v>0.0984798871549747</v>
      </c>
      <c r="Z118" s="763">
        <v>0.0956392559088546</v>
      </c>
      <c r="AA118" s="763">
        <v>0.038596437861796964</v>
      </c>
      <c r="AB118" s="763">
        <v>0.083066775900142512</v>
      </c>
      <c r="AC118" s="763">
        <v>0.16069603139724462</v>
      </c>
      <c r="AD118" s="763">
        <v>0.23118327011089224</v>
      </c>
      <c r="AE118" s="763">
        <v>0.018417844963523181</v>
      </c>
      <c r="AF118" s="763">
        <v>0.031970893786254319</v>
      </c>
      <c r="AG118" s="763">
        <v>0.046394256238531058</v>
      </c>
      <c r="AH118" s="763">
        <v>0.0029529411102833629</v>
      </c>
      <c r="AI118" s="763">
        <v>0.39569360520016161</v>
      </c>
      <c r="AJ118" s="763">
        <v>0.458266878409778</v>
      </c>
      <c r="AK118" s="763">
        <v>0.47119193442254131</v>
      </c>
      <c r="AL118" s="763">
        <v>0.56283479724368768</v>
      </c>
      <c r="AM118" s="763">
        <v>0.24122025248353493</v>
      </c>
      <c r="AN118" s="763">
        <v>0.13487404668361455</v>
      </c>
      <c r="AO118" s="764">
        <v>0.065406634773743241</v>
      </c>
      <c r="AP118" s="394"/>
      <c r="AQ118" s="397"/>
      <c r="AR118" s="398"/>
      <c r="AS118" s="398"/>
    </row>
    <row r="119" spans="1:45">
      <c r="A119" s="396">
        <v>876</v>
      </c>
      <c r="B119" s="761" t="s">
        <v>227</v>
      </c>
      <c r="C119" s="762">
        <v>10720</v>
      </c>
      <c r="D119" s="762">
        <v>9279</v>
      </c>
      <c r="E119" s="762">
        <v>7428</v>
      </c>
      <c r="F119" s="762">
        <v>1520</v>
      </c>
      <c r="G119" s="762">
        <v>1626</v>
      </c>
      <c r="H119" s="762">
        <v>1493</v>
      </c>
      <c r="I119" s="762">
        <v>2789</v>
      </c>
      <c r="J119" s="763">
        <v>0.2782649253731343</v>
      </c>
      <c r="K119" s="763">
        <v>0.3856987792365959</v>
      </c>
      <c r="L119" s="763">
        <v>0.25134625740441574</v>
      </c>
      <c r="M119" s="763">
        <v>0.41200615757166204</v>
      </c>
      <c r="N119" s="763">
        <v>0.32826114726017386</v>
      </c>
      <c r="O119" s="763">
        <v>0.10855099502487561</v>
      </c>
      <c r="P119" s="763">
        <v>0.10560602783185523</v>
      </c>
      <c r="Q119" s="763">
        <v>0.073272803140583764</v>
      </c>
      <c r="R119" s="763">
        <v>0.089388652117399658</v>
      </c>
      <c r="S119" s="763">
        <v>0.19769529019610138</v>
      </c>
      <c r="T119" s="763">
        <v>0.097225084429010442</v>
      </c>
      <c r="U119" s="763">
        <v>0.37143952815855641</v>
      </c>
      <c r="V119" s="763">
        <v>0.11422121443100818</v>
      </c>
      <c r="W119" s="763">
        <v>0.094818267063180139</v>
      </c>
      <c r="X119" s="763">
        <v>0.073408954469591087</v>
      </c>
      <c r="Y119" s="763">
        <v>0.07409194621911902</v>
      </c>
      <c r="Z119" s="763">
        <v>0.17932406366162629</v>
      </c>
      <c r="AA119" s="763">
        <v>0.092696025996919354</v>
      </c>
      <c r="AB119" s="763">
        <v>0.0089148792028669946</v>
      </c>
      <c r="AC119" s="763">
        <v>0.015742470995553315</v>
      </c>
      <c r="AD119" s="763">
        <v>0.019186554075680602</v>
      </c>
      <c r="AE119" s="763">
        <v>0.0030963920301561648</v>
      </c>
      <c r="AF119" s="763">
        <v>0.00471190091545503</v>
      </c>
      <c r="AG119" s="763">
        <v>0.00726978998384491</v>
      </c>
      <c r="AH119" s="763">
        <v>0.010541223851647906</v>
      </c>
      <c r="AI119" s="763">
        <v>0.45252865373088741</v>
      </c>
      <c r="AJ119" s="763">
        <v>0.35734054672964083</v>
      </c>
      <c r="AK119" s="763">
        <v>0.41316801433175188</v>
      </c>
      <c r="AL119" s="763">
        <v>0.52590138713951484</v>
      </c>
      <c r="AM119" s="763">
        <v>0.18425985258382305</v>
      </c>
      <c r="AN119" s="763">
        <v>0.098973880597014924</v>
      </c>
      <c r="AO119" s="764">
        <v>0.10541195476575123</v>
      </c>
      <c r="AP119" s="394"/>
      <c r="AQ119" s="397"/>
      <c r="AR119" s="398"/>
      <c r="AS119" s="398"/>
    </row>
    <row r="120" spans="1:45">
      <c r="A120" s="396">
        <v>877</v>
      </c>
      <c r="B120" s="761" t="s">
        <v>318</v>
      </c>
      <c r="C120" s="762">
        <v>17894</v>
      </c>
      <c r="D120" s="762">
        <v>15476</v>
      </c>
      <c r="E120" s="762">
        <v>11933</v>
      </c>
      <c r="F120" s="762">
        <v>2493</v>
      </c>
      <c r="G120" s="762">
        <v>2372</v>
      </c>
      <c r="H120" s="762">
        <v>2413</v>
      </c>
      <c r="I120" s="762">
        <v>4655</v>
      </c>
      <c r="J120" s="763">
        <v>0.14149994411534594</v>
      </c>
      <c r="K120" s="763">
        <v>0.19226387570012768</v>
      </c>
      <c r="L120" s="763">
        <v>0.1087739881002263</v>
      </c>
      <c r="M120" s="763">
        <v>0.19921518667238297</v>
      </c>
      <c r="N120" s="763">
        <v>0.61478040384515131</v>
      </c>
      <c r="O120" s="763">
        <v>0.13625591554715874</v>
      </c>
      <c r="P120" s="763">
        <v>0.074571922780905325</v>
      </c>
      <c r="Q120" s="763">
        <v>0.048778067788275259</v>
      </c>
      <c r="R120" s="763">
        <v>0.03353632633444556</v>
      </c>
      <c r="S120" s="763">
        <v>0.080168262928643971</v>
      </c>
      <c r="T120" s="763">
        <v>0.011909100775419821</v>
      </c>
      <c r="U120" s="763">
        <v>0.66263236289841865</v>
      </c>
      <c r="V120" s="763">
        <v>0.11376273312031232</v>
      </c>
      <c r="W120" s="763">
        <v>0.0716676759410677</v>
      </c>
      <c r="X120" s="763">
        <v>0.04093101418415715</v>
      </c>
      <c r="Y120" s="763">
        <v>0.032121996307211895</v>
      </c>
      <c r="Z120" s="763">
        <v>0.065205000639434282</v>
      </c>
      <c r="AA120" s="763">
        <v>0.013679216909398013</v>
      </c>
      <c r="AB120" s="763">
        <v>0.020885934211319252</v>
      </c>
      <c r="AC120" s="763">
        <v>0.040345904603787952</v>
      </c>
      <c r="AD120" s="763">
        <v>0.055041361540352496</v>
      </c>
      <c r="AE120" s="763">
        <v>0.003703360688869701</v>
      </c>
      <c r="AF120" s="763">
        <v>0.0066439754783854171</v>
      </c>
      <c r="AG120" s="763">
        <v>0.00958772123618693</v>
      </c>
      <c r="AH120" s="763">
        <v>0.0076345306006382913</v>
      </c>
      <c r="AI120" s="763">
        <v>0.34620909746564732</v>
      </c>
      <c r="AJ120" s="763">
        <v>0.29097067233468632</v>
      </c>
      <c r="AK120" s="763">
        <v>0.29987234031657539</v>
      </c>
      <c r="AL120" s="763">
        <v>0.38861290208988569</v>
      </c>
      <c r="AM120" s="763">
        <v>0.14424785147221331</v>
      </c>
      <c r="AN120" s="763">
        <v>0.058231809545098913</v>
      </c>
      <c r="AO120" s="764">
        <v>0.11078521746417498</v>
      </c>
      <c r="AP120" s="394"/>
      <c r="AQ120" s="397"/>
      <c r="AR120" s="398"/>
      <c r="AS120" s="398"/>
    </row>
    <row r="121" spans="1:45">
      <c r="A121" s="396">
        <v>878</v>
      </c>
      <c r="B121" s="761" t="s">
        <v>213</v>
      </c>
      <c r="C121" s="762">
        <v>55903</v>
      </c>
      <c r="D121" s="762">
        <v>48188</v>
      </c>
      <c r="E121" s="762">
        <v>35342</v>
      </c>
      <c r="F121" s="762">
        <v>7286</v>
      </c>
      <c r="G121" s="762">
        <v>7277</v>
      </c>
      <c r="H121" s="762">
        <v>7108</v>
      </c>
      <c r="I121" s="762">
        <v>13671</v>
      </c>
      <c r="J121" s="763">
        <v>0.1021233207520169</v>
      </c>
      <c r="K121" s="763">
        <v>0.17964670929212609</v>
      </c>
      <c r="L121" s="763">
        <v>0.10338973459340162</v>
      </c>
      <c r="M121" s="763">
        <v>0.21444457074054346</v>
      </c>
      <c r="N121" s="763">
        <v>0.79397117231134728</v>
      </c>
      <c r="O121" s="763">
        <v>0.093344115851615547</v>
      </c>
      <c r="P121" s="763">
        <v>0.053400324886159763</v>
      </c>
      <c r="Q121" s="763">
        <v>0.040768065493174022</v>
      </c>
      <c r="R121" s="763">
        <v>0.0069334675367629817</v>
      </c>
      <c r="S121" s="763">
        <v>0.011547077665641104</v>
      </c>
      <c r="T121" s="763">
        <v>3.577625529935779E-05</v>
      </c>
      <c r="U121" s="763">
        <v>0.8013842243162913</v>
      </c>
      <c r="V121" s="763">
        <v>0.092361860399922308</v>
      </c>
      <c r="W121" s="763">
        <v>0.050092943128284384</v>
      </c>
      <c r="X121" s="763">
        <v>0.038099560832196261</v>
      </c>
      <c r="Y121" s="763">
        <v>0.0067959564962181895</v>
      </c>
      <c r="Z121" s="763">
        <v>0.01115211069474473</v>
      </c>
      <c r="AA121" s="763">
        <v>0.00011334413234299765</v>
      </c>
      <c r="AB121" s="763">
        <v>0.010022475220461848</v>
      </c>
      <c r="AC121" s="763">
        <v>0.019399577308628079</v>
      </c>
      <c r="AD121" s="763">
        <v>0.027007527225876841</v>
      </c>
      <c r="AE121" s="763">
        <v>0.0026900000724506268</v>
      </c>
      <c r="AF121" s="763">
        <v>0.0049844763637389867</v>
      </c>
      <c r="AG121" s="763">
        <v>0.0077032541556164465</v>
      </c>
      <c r="AH121" s="763">
        <v>0.0043815677897960674</v>
      </c>
      <c r="AI121" s="763">
        <v>0.29914413941427731</v>
      </c>
      <c r="AJ121" s="763">
        <v>0.36142303437195367</v>
      </c>
      <c r="AK121" s="763">
        <v>0.37759535450383125</v>
      </c>
      <c r="AL121" s="763">
        <v>0.46289686537287672</v>
      </c>
      <c r="AM121" s="763">
        <v>0.17314058863874979</v>
      </c>
      <c r="AN121" s="763">
        <v>0.087329839185732436</v>
      </c>
      <c r="AO121" s="764">
        <v>0.088619772508629957</v>
      </c>
      <c r="AP121" s="394"/>
      <c r="AQ121" s="397"/>
      <c r="AR121" s="398"/>
      <c r="AS121" s="398"/>
    </row>
    <row r="122" spans="1:45">
      <c r="A122" s="396">
        <v>879</v>
      </c>
      <c r="B122" s="761" t="s">
        <v>276</v>
      </c>
      <c r="C122" s="762">
        <v>20793</v>
      </c>
      <c r="D122" s="762">
        <v>17913</v>
      </c>
      <c r="E122" s="762">
        <v>13659</v>
      </c>
      <c r="F122" s="762">
        <v>2928</v>
      </c>
      <c r="G122" s="762">
        <v>2787</v>
      </c>
      <c r="H122" s="762">
        <v>2740</v>
      </c>
      <c r="I122" s="762">
        <v>5204</v>
      </c>
      <c r="J122" s="763">
        <v>0.17847352474390421</v>
      </c>
      <c r="K122" s="763">
        <v>0.27634656105018562</v>
      </c>
      <c r="L122" s="763">
        <v>0.15557507870268697</v>
      </c>
      <c r="M122" s="763">
        <v>0.34233232569090816</v>
      </c>
      <c r="N122" s="763">
        <v>0.48638082895687262</v>
      </c>
      <c r="O122" s="763">
        <v>0.086429176057664411</v>
      </c>
      <c r="P122" s="763">
        <v>0.081418219888970939</v>
      </c>
      <c r="Q122" s="763">
        <v>0.12552537207473641</v>
      </c>
      <c r="R122" s="763">
        <v>0.059712883271832461</v>
      </c>
      <c r="S122" s="763">
        <v>0.0833996086516207</v>
      </c>
      <c r="T122" s="763">
        <v>0.077133911098302269</v>
      </c>
      <c r="U122" s="763">
        <v>0.54730332114509228</v>
      </c>
      <c r="V122" s="763">
        <v>0.081529123765927219</v>
      </c>
      <c r="W122" s="763">
        <v>0.073047016430338813</v>
      </c>
      <c r="X122" s="763">
        <v>0.11324382472189691</v>
      </c>
      <c r="Y122" s="763">
        <v>0.052299497240711576</v>
      </c>
      <c r="Z122" s="763">
        <v>0.071924364399393273</v>
      </c>
      <c r="AA122" s="763">
        <v>0.060652852296640108</v>
      </c>
      <c r="AB122" s="763">
        <v>0.018058656609924898</v>
      </c>
      <c r="AC122" s="763">
        <v>0.033403748227571278</v>
      </c>
      <c r="AD122" s="763">
        <v>0.0484938256471453</v>
      </c>
      <c r="AE122" s="763">
        <v>0.0057904098113576016</v>
      </c>
      <c r="AF122" s="763">
        <v>0.009160406056235906</v>
      </c>
      <c r="AG122" s="763">
        <v>0.014073317788920533</v>
      </c>
      <c r="AH122" s="763">
        <v>0.0059878066384514619</v>
      </c>
      <c r="AI122" s="763">
        <v>0.36314976113834824</v>
      </c>
      <c r="AJ122" s="763">
        <v>0.345821407894436</v>
      </c>
      <c r="AK122" s="763">
        <v>0.37181824850338757</v>
      </c>
      <c r="AL122" s="763">
        <v>0.4312617401655055</v>
      </c>
      <c r="AM122" s="763">
        <v>0.20358697072629961</v>
      </c>
      <c r="AN122" s="763">
        <v>0.10205357572259893</v>
      </c>
      <c r="AO122" s="764">
        <v>0.060765795446225915</v>
      </c>
      <c r="AP122" s="394"/>
      <c r="AQ122" s="397"/>
      <c r="AR122" s="398"/>
      <c r="AS122" s="398"/>
    </row>
    <row r="123" spans="1:45">
      <c r="A123" s="396">
        <v>880</v>
      </c>
      <c r="B123" s="761" t="s">
        <v>311</v>
      </c>
      <c r="C123" s="762">
        <v>9972</v>
      </c>
      <c r="D123" s="762">
        <v>8528</v>
      </c>
      <c r="E123" s="762">
        <v>7404</v>
      </c>
      <c r="F123" s="762">
        <v>1616</v>
      </c>
      <c r="G123" s="762">
        <v>1493</v>
      </c>
      <c r="H123" s="762">
        <v>1536</v>
      </c>
      <c r="I123" s="762">
        <v>2759</v>
      </c>
      <c r="J123" s="763">
        <v>0.20487364620938631</v>
      </c>
      <c r="K123" s="763">
        <v>0.30126231916345564</v>
      </c>
      <c r="L123" s="763">
        <v>0.1374932468935712</v>
      </c>
      <c r="M123" s="763">
        <v>0.26297088301156113</v>
      </c>
      <c r="N123" s="763">
        <v>0.39304171857475034</v>
      </c>
      <c r="O123" s="763">
        <v>0.15933732497017328</v>
      </c>
      <c r="P123" s="763">
        <v>0.1289698191247528</v>
      </c>
      <c r="Q123" s="763">
        <v>0.12789734889899454</v>
      </c>
      <c r="R123" s="763">
        <v>0.032639019287099107</v>
      </c>
      <c r="S123" s="763">
        <v>0.1581147691442297</v>
      </c>
      <c r="T123" s="763">
        <v>0</v>
      </c>
      <c r="U123" s="763">
        <v>0.48875917523731488</v>
      </c>
      <c r="V123" s="763">
        <v>0.15215974372154178</v>
      </c>
      <c r="W123" s="763">
        <v>0.10925334062701043</v>
      </c>
      <c r="X123" s="763">
        <v>0.10669869273690065</v>
      </c>
      <c r="Y123" s="763">
        <v>0.022726234882034159</v>
      </c>
      <c r="Z123" s="763">
        <v>0.12040281279519807</v>
      </c>
      <c r="AA123" s="763">
        <v>0</v>
      </c>
      <c r="AB123" s="763">
        <v>0.00928146359835665</v>
      </c>
      <c r="AC123" s="763">
        <v>0.020866280261598872</v>
      </c>
      <c r="AD123" s="763">
        <v>0.030704972442148891</v>
      </c>
      <c r="AE123" s="763">
        <v>0.0045984445217200978</v>
      </c>
      <c r="AF123" s="763">
        <v>0.005950473673197244</v>
      </c>
      <c r="AG123" s="763">
        <v>0.0086547916256766756</v>
      </c>
      <c r="AH123" s="763">
        <v>0.0075906143358310061</v>
      </c>
      <c r="AI123" s="763">
        <v>0.33930700919860241</v>
      </c>
      <c r="AJ123" s="763">
        <v>0.29516916639003055</v>
      </c>
      <c r="AK123" s="763">
        <v>0.32645399771812539</v>
      </c>
      <c r="AL123" s="763">
        <v>0.40938544396581594</v>
      </c>
      <c r="AM123" s="763">
        <v>0.14987569971084366</v>
      </c>
      <c r="AN123" s="763">
        <v>0.0895507420778179</v>
      </c>
      <c r="AO123" s="764">
        <v>0.053754727174500264</v>
      </c>
      <c r="AP123" s="394"/>
      <c r="AQ123" s="397"/>
      <c r="AR123" s="398"/>
      <c r="AS123" s="398"/>
    </row>
    <row r="124" spans="1:45">
      <c r="A124" s="396">
        <v>881</v>
      </c>
      <c r="B124" s="761" t="s">
        <v>222</v>
      </c>
      <c r="C124" s="762">
        <v>117268</v>
      </c>
      <c r="D124" s="762">
        <v>100726</v>
      </c>
      <c r="E124" s="762">
        <v>76411</v>
      </c>
      <c r="F124" s="762">
        <v>16012</v>
      </c>
      <c r="G124" s="762">
        <v>15688</v>
      </c>
      <c r="H124" s="762">
        <v>15116</v>
      </c>
      <c r="I124" s="762">
        <v>29595</v>
      </c>
      <c r="J124" s="763">
        <v>0.12114131732441928</v>
      </c>
      <c r="K124" s="763">
        <v>0.19553428865201233</v>
      </c>
      <c r="L124" s="763">
        <v>0.09861145646569211</v>
      </c>
      <c r="M124" s="763">
        <v>0.22333527878780282</v>
      </c>
      <c r="N124" s="763">
        <v>0.64183059645384322</v>
      </c>
      <c r="O124" s="763">
        <v>0.10502612649898321</v>
      </c>
      <c r="P124" s="763">
        <v>0.085657048398522354</v>
      </c>
      <c r="Q124" s="763">
        <v>0.052753246006318907</v>
      </c>
      <c r="R124" s="763">
        <v>0.047283130288706059</v>
      </c>
      <c r="S124" s="763">
        <v>0.047325629997878066</v>
      </c>
      <c r="T124" s="763">
        <v>0.02012422235574822</v>
      </c>
      <c r="U124" s="763">
        <v>0.65536047191320534</v>
      </c>
      <c r="V124" s="763">
        <v>0.10583857008333572</v>
      </c>
      <c r="W124" s="763">
        <v>0.085190363347572254</v>
      </c>
      <c r="X124" s="763">
        <v>0.049664429343101051</v>
      </c>
      <c r="Y124" s="763">
        <v>0.042737604707948976</v>
      </c>
      <c r="Z124" s="763">
        <v>0.043554617245648415</v>
      </c>
      <c r="AA124" s="763">
        <v>0.017653943359188212</v>
      </c>
      <c r="AB124" s="763">
        <v>0.017980539160005908</v>
      </c>
      <c r="AC124" s="763">
        <v>0.035097324233193443</v>
      </c>
      <c r="AD124" s="763">
        <v>0.048734884513138163</v>
      </c>
      <c r="AE124" s="763">
        <v>0.0033094539797685128</v>
      </c>
      <c r="AF124" s="763">
        <v>0.0066585842838725665</v>
      </c>
      <c r="AG124" s="763">
        <v>0.010831312530606305</v>
      </c>
      <c r="AH124" s="763">
        <v>0.0036773709783848017</v>
      </c>
      <c r="AI124" s="763">
        <v>0.32276182212269788</v>
      </c>
      <c r="AJ124" s="763">
        <v>0.33311966096313717</v>
      </c>
      <c r="AK124" s="763">
        <v>0.35531846959523983</v>
      </c>
      <c r="AL124" s="763">
        <v>0.4329670748243683</v>
      </c>
      <c r="AM124" s="763">
        <v>0.17997028382218089</v>
      </c>
      <c r="AN124" s="763">
        <v>0.098645836886448138</v>
      </c>
      <c r="AO124" s="764">
        <v>0.063511798039549275</v>
      </c>
      <c r="AP124" s="394"/>
      <c r="AQ124" s="397"/>
      <c r="AR124" s="398"/>
      <c r="AS124" s="398"/>
    </row>
    <row r="125" spans="1:45">
      <c r="A125" s="396">
        <v>882</v>
      </c>
      <c r="B125" s="761" t="s">
        <v>658</v>
      </c>
      <c r="C125" s="762">
        <v>15077</v>
      </c>
      <c r="D125" s="762">
        <v>12978</v>
      </c>
      <c r="E125" s="762">
        <v>10901</v>
      </c>
      <c r="F125" s="762">
        <v>2343</v>
      </c>
      <c r="G125" s="762">
        <v>2247</v>
      </c>
      <c r="H125" s="762">
        <v>2155</v>
      </c>
      <c r="I125" s="762">
        <v>4156</v>
      </c>
      <c r="J125" s="763">
        <v>0.1589175565430789</v>
      </c>
      <c r="K125" s="763">
        <v>0.24590730653114784</v>
      </c>
      <c r="L125" s="763">
        <v>0.10815521511787907</v>
      </c>
      <c r="M125" s="763">
        <v>0.24274541563119506</v>
      </c>
      <c r="N125" s="763">
        <v>0.44232583769036521</v>
      </c>
      <c r="O125" s="763">
        <v>0.10413115109519898</v>
      </c>
      <c r="P125" s="763">
        <v>0.15371540571620085</v>
      </c>
      <c r="Q125" s="763">
        <v>0.082368882947823546</v>
      </c>
      <c r="R125" s="763">
        <v>0.077085798121229274</v>
      </c>
      <c r="S125" s="763">
        <v>0.070941092253386615</v>
      </c>
      <c r="T125" s="763">
        <v>0.069431832175795391</v>
      </c>
      <c r="U125" s="763">
        <v>0.507910669847088</v>
      </c>
      <c r="V125" s="763">
        <v>0.0978115809730459</v>
      </c>
      <c r="W125" s="763">
        <v>0.13589998835733769</v>
      </c>
      <c r="X125" s="763">
        <v>0.07101663563354213</v>
      </c>
      <c r="Y125" s="763">
        <v>0.071286753478740264</v>
      </c>
      <c r="Z125" s="763">
        <v>0.064880153930610626</v>
      </c>
      <c r="AA125" s="763">
        <v>0.051194217779635363</v>
      </c>
      <c r="AB125" s="763">
        <v>0.029318327968969261</v>
      </c>
      <c r="AC125" s="763">
        <v>0.056118360314976128</v>
      </c>
      <c r="AD125" s="763">
        <v>0.0803671142931812</v>
      </c>
      <c r="AE125" s="763">
        <v>0.0036805767513686809</v>
      </c>
      <c r="AF125" s="763">
        <v>0.0079956793237519891</v>
      </c>
      <c r="AG125" s="763">
        <v>0.014239593160443025</v>
      </c>
      <c r="AH125" s="763">
        <v>0.0051854041939209013</v>
      </c>
      <c r="AI125" s="763">
        <v>0.32430460958727092</v>
      </c>
      <c r="AJ125" s="763">
        <v>0.23851477672515142</v>
      </c>
      <c r="AK125" s="763">
        <v>0.25670582131851216</v>
      </c>
      <c r="AL125" s="763">
        <v>0.31820850955606345</v>
      </c>
      <c r="AM125" s="763">
        <v>0.14019437009371072</v>
      </c>
      <c r="AN125" s="763">
        <v>0.095974000132652462</v>
      </c>
      <c r="AO125" s="764">
        <v>0.032015411430144032</v>
      </c>
      <c r="AP125" s="394"/>
      <c r="AQ125" s="397"/>
      <c r="AR125" s="398"/>
      <c r="AS125" s="398"/>
    </row>
    <row r="126" spans="1:45">
      <c r="A126" s="396">
        <v>883</v>
      </c>
      <c r="B126" s="761" t="s">
        <v>310</v>
      </c>
      <c r="C126" s="762">
        <v>17037</v>
      </c>
      <c r="D126" s="762">
        <v>14648</v>
      </c>
      <c r="E126" s="762">
        <v>9749</v>
      </c>
      <c r="F126" s="762">
        <v>2207</v>
      </c>
      <c r="G126" s="762">
        <v>1962</v>
      </c>
      <c r="H126" s="762">
        <v>1966</v>
      </c>
      <c r="I126" s="762">
        <v>3614</v>
      </c>
      <c r="J126" s="763">
        <v>0.13077419733521159</v>
      </c>
      <c r="K126" s="763">
        <v>0.22554562157054456</v>
      </c>
      <c r="L126" s="763">
        <v>0.13375730844189154</v>
      </c>
      <c r="M126" s="763">
        <v>0.28052714152861669</v>
      </c>
      <c r="N126" s="763">
        <v>0.41345006397069611</v>
      </c>
      <c r="O126" s="763">
        <v>0.14826965519315252</v>
      </c>
      <c r="P126" s="763">
        <v>0.22022409139706287</v>
      </c>
      <c r="Q126" s="763">
        <v>0.10575317333309164</v>
      </c>
      <c r="R126" s="763">
        <v>0.0239508672377309</v>
      </c>
      <c r="S126" s="763">
        <v>0.073144019089812662</v>
      </c>
      <c r="T126" s="763">
        <v>0.015208129778453369</v>
      </c>
      <c r="U126" s="763">
        <v>0.45876049015473569</v>
      </c>
      <c r="V126" s="763">
        <v>0.13869687805903488</v>
      </c>
      <c r="W126" s="763">
        <v>0.1920405100111566</v>
      </c>
      <c r="X126" s="763">
        <v>0.10135401668293942</v>
      </c>
      <c r="Y126" s="763">
        <v>0.019900347487364956</v>
      </c>
      <c r="Z126" s="763">
        <v>0.07180975509992156</v>
      </c>
      <c r="AA126" s="763">
        <v>0.017438002504846995</v>
      </c>
      <c r="AB126" s="763">
        <v>0.041837828371621005</v>
      </c>
      <c r="AC126" s="763">
        <v>0.08250060623738048</v>
      </c>
      <c r="AD126" s="763">
        <v>0.12116542089735266</v>
      </c>
      <c r="AE126" s="763">
        <v>0.00717017060775438</v>
      </c>
      <c r="AF126" s="763">
        <v>0.014844974907597753</v>
      </c>
      <c r="AG126" s="763">
        <v>0.023813278574625927</v>
      </c>
      <c r="AH126" s="763">
        <v>0.0047768014613887577</v>
      </c>
      <c r="AI126" s="763">
        <v>0.30106688155703204</v>
      </c>
      <c r="AJ126" s="763">
        <v>0.35703390711676147</v>
      </c>
      <c r="AK126" s="763">
        <v>0.38402384613367985</v>
      </c>
      <c r="AL126" s="763">
        <v>0.50197640648438491</v>
      </c>
      <c r="AM126" s="763">
        <v>0.21274429549437396</v>
      </c>
      <c r="AN126" s="763">
        <v>0.10183717790690849</v>
      </c>
      <c r="AO126" s="764">
        <v>0.052313057749512767</v>
      </c>
      <c r="AP126" s="394"/>
      <c r="AQ126" s="397"/>
      <c r="AR126" s="398"/>
      <c r="AS126" s="398"/>
    </row>
    <row r="127" spans="1:45">
      <c r="A127" s="396">
        <v>884</v>
      </c>
      <c r="B127" s="761" t="s">
        <v>234</v>
      </c>
      <c r="C127" s="762">
        <v>13455</v>
      </c>
      <c r="D127" s="762">
        <v>11616</v>
      </c>
      <c r="E127" s="762">
        <v>8822</v>
      </c>
      <c r="F127" s="762">
        <v>1833</v>
      </c>
      <c r="G127" s="762">
        <v>1745</v>
      </c>
      <c r="H127" s="762">
        <v>1779</v>
      </c>
      <c r="I127" s="762">
        <v>3465</v>
      </c>
      <c r="J127" s="763">
        <v>0.099962839093273942</v>
      </c>
      <c r="K127" s="763">
        <v>0.16726516732040861</v>
      </c>
      <c r="L127" s="763">
        <v>0.084447970981636783</v>
      </c>
      <c r="M127" s="763">
        <v>0.18989861806006295</v>
      </c>
      <c r="N127" s="763">
        <v>0.754902247695686</v>
      </c>
      <c r="O127" s="763">
        <v>0.081116960024085361</v>
      </c>
      <c r="P127" s="763">
        <v>0.065644261373111523</v>
      </c>
      <c r="Q127" s="763">
        <v>0.0827570569215882</v>
      </c>
      <c r="R127" s="763">
        <v>0.015499590675831556</v>
      </c>
      <c r="S127" s="763">
        <v>7.988330969697425E-05</v>
      </c>
      <c r="T127" s="763">
        <v>0</v>
      </c>
      <c r="U127" s="763">
        <v>0.77896758076025807</v>
      </c>
      <c r="V127" s="763">
        <v>0.081350780136727113</v>
      </c>
      <c r="W127" s="763">
        <v>0.058244862602463365</v>
      </c>
      <c r="X127" s="763">
        <v>0.067934402714674741</v>
      </c>
      <c r="Y127" s="763">
        <v>0.013389020804693364</v>
      </c>
      <c r="Z127" s="763">
        <v>0</v>
      </c>
      <c r="AA127" s="763">
        <v>0.00011335298118340545</v>
      </c>
      <c r="AB127" s="763">
        <v>0.019348363970925767</v>
      </c>
      <c r="AC127" s="763">
        <v>0.039885252063556469</v>
      </c>
      <c r="AD127" s="763">
        <v>0.058101810166634481</v>
      </c>
      <c r="AE127" s="763">
        <v>0.0037443339776865076</v>
      </c>
      <c r="AF127" s="763">
        <v>0.0063539625088568389</v>
      </c>
      <c r="AG127" s="763">
        <v>0.010778281006349869</v>
      </c>
      <c r="AH127" s="763">
        <v>0.00876078252422063</v>
      </c>
      <c r="AI127" s="763">
        <v>0.32490980866248931</v>
      </c>
      <c r="AJ127" s="763">
        <v>0.31850878780157138</v>
      </c>
      <c r="AK127" s="763">
        <v>0.39269721954174908</v>
      </c>
      <c r="AL127" s="763">
        <v>0.47216362072056522</v>
      </c>
      <c r="AM127" s="763">
        <v>0.19647728588634272</v>
      </c>
      <c r="AN127" s="763">
        <v>0.08688219992567818</v>
      </c>
      <c r="AO127" s="764">
        <v>0.051688959419632724</v>
      </c>
      <c r="AP127" s="394"/>
      <c r="AQ127" s="397"/>
      <c r="AR127" s="398"/>
      <c r="AS127" s="398"/>
    </row>
    <row r="128" spans="1:45">
      <c r="A128" s="396">
        <v>885</v>
      </c>
      <c r="B128" s="761" t="s">
        <v>329</v>
      </c>
      <c r="C128" s="762">
        <v>44013</v>
      </c>
      <c r="D128" s="762">
        <v>37896</v>
      </c>
      <c r="E128" s="762">
        <v>28877</v>
      </c>
      <c r="F128" s="762">
        <v>6178</v>
      </c>
      <c r="G128" s="762">
        <v>5873</v>
      </c>
      <c r="H128" s="762">
        <v>5800</v>
      </c>
      <c r="I128" s="762">
        <v>11026</v>
      </c>
      <c r="J128" s="763">
        <v>0.11871492513575532</v>
      </c>
      <c r="K128" s="763">
        <v>0.18842064277435697</v>
      </c>
      <c r="L128" s="763">
        <v>0.10530872320531912</v>
      </c>
      <c r="M128" s="763">
        <v>0.22063639478804625</v>
      </c>
      <c r="N128" s="763">
        <v>0.6915882111679732</v>
      </c>
      <c r="O128" s="763">
        <v>0.082304951135127327</v>
      </c>
      <c r="P128" s="763">
        <v>0.048475593096401058</v>
      </c>
      <c r="Q128" s="763">
        <v>0.058559732057927437</v>
      </c>
      <c r="R128" s="763">
        <v>0.046792921781641496</v>
      </c>
      <c r="S128" s="763">
        <v>0.051654161464801243</v>
      </c>
      <c r="T128" s="763">
        <v>0.020624429296128295</v>
      </c>
      <c r="U128" s="763">
        <v>0.70869764587588224</v>
      </c>
      <c r="V128" s="763">
        <v>0.0786639256066846</v>
      </c>
      <c r="W128" s="763">
        <v>0.048133251728242822</v>
      </c>
      <c r="X128" s="763">
        <v>0.056362233721736911</v>
      </c>
      <c r="Y128" s="763">
        <v>0.041713123056968865</v>
      </c>
      <c r="Z128" s="763">
        <v>0.048072175769763359</v>
      </c>
      <c r="AA128" s="763">
        <v>0.018357644240721217</v>
      </c>
      <c r="AB128" s="763">
        <v>0.018179807067739206</v>
      </c>
      <c r="AC128" s="763">
        <v>0.03531436802058821</v>
      </c>
      <c r="AD128" s="763">
        <v>0.052677297956098088</v>
      </c>
      <c r="AE128" s="763">
        <v>0.0024676028783760114</v>
      </c>
      <c r="AF128" s="763">
        <v>0.005003422631805002</v>
      </c>
      <c r="AG128" s="763">
        <v>0.0084395678886759213</v>
      </c>
      <c r="AH128" s="763">
        <v>0.0074953882976467705</v>
      </c>
      <c r="AI128" s="763">
        <v>0.34867206947892793</v>
      </c>
      <c r="AJ128" s="763">
        <v>0.38035908323167805</v>
      </c>
      <c r="AK128" s="763">
        <v>0.41497377263603474</v>
      </c>
      <c r="AL128" s="763">
        <v>0.50813035323992739</v>
      </c>
      <c r="AM128" s="763">
        <v>0.21407460660810942</v>
      </c>
      <c r="AN128" s="763">
        <v>0.057142207984004725</v>
      </c>
      <c r="AO128" s="764">
        <v>0.038473525643245486</v>
      </c>
      <c r="AP128" s="394"/>
      <c r="AQ128" s="397"/>
      <c r="AR128" s="398"/>
      <c r="AS128" s="398"/>
    </row>
    <row r="129" spans="1:45">
      <c r="A129" s="396">
        <v>886</v>
      </c>
      <c r="B129" s="761" t="s">
        <v>242</v>
      </c>
      <c r="C129" s="762">
        <v>125831</v>
      </c>
      <c r="D129" s="762">
        <v>108297</v>
      </c>
      <c r="E129" s="762">
        <v>83266</v>
      </c>
      <c r="F129" s="762">
        <v>17796</v>
      </c>
      <c r="G129" s="762">
        <v>17089</v>
      </c>
      <c r="H129" s="762">
        <v>16620</v>
      </c>
      <c r="I129" s="762">
        <v>31761</v>
      </c>
      <c r="J129" s="763">
        <v>0.13661180472220677</v>
      </c>
      <c r="K129" s="763">
        <v>0.20400747109213338</v>
      </c>
      <c r="L129" s="763">
        <v>0.11756299089664447</v>
      </c>
      <c r="M129" s="763">
        <v>0.22824970682290741</v>
      </c>
      <c r="N129" s="763">
        <v>0.61529541658152886</v>
      </c>
      <c r="O129" s="763">
        <v>0.11696257141040954</v>
      </c>
      <c r="P129" s="763">
        <v>0.076326902235176255</v>
      </c>
      <c r="Q129" s="763">
        <v>0.053161663955178837</v>
      </c>
      <c r="R129" s="763">
        <v>0.055921124096641545</v>
      </c>
      <c r="S129" s="763">
        <v>0.0648870650016813</v>
      </c>
      <c r="T129" s="763">
        <v>0.017445256719383545</v>
      </c>
      <c r="U129" s="763">
        <v>0.65259537383502741</v>
      </c>
      <c r="V129" s="763">
        <v>0.10682167536033914</v>
      </c>
      <c r="W129" s="763">
        <v>0.074272067691379035</v>
      </c>
      <c r="X129" s="763">
        <v>0.050251038719938121</v>
      </c>
      <c r="Y129" s="763">
        <v>0.049044870486683774</v>
      </c>
      <c r="Z129" s="763">
        <v>0.052440556895952894</v>
      </c>
      <c r="AA129" s="763">
        <v>0.014574417010679718</v>
      </c>
      <c r="AB129" s="763">
        <v>0.025815987176536024</v>
      </c>
      <c r="AC129" s="763">
        <v>0.049781575986541635</v>
      </c>
      <c r="AD129" s="763">
        <v>0.071672366754176722</v>
      </c>
      <c r="AE129" s="763">
        <v>0.0047302224394587785</v>
      </c>
      <c r="AF129" s="763">
        <v>0.0090628651090857854</v>
      </c>
      <c r="AG129" s="763">
        <v>0.013432889781165781</v>
      </c>
      <c r="AH129" s="763">
        <v>0.0060065195770521813</v>
      </c>
      <c r="AI129" s="763">
        <v>0.27335745286258933</v>
      </c>
      <c r="AJ129" s="763">
        <v>0.30048193838109211</v>
      </c>
      <c r="AK129" s="763">
        <v>0.32245232204298491</v>
      </c>
      <c r="AL129" s="763">
        <v>0.38183604693146772</v>
      </c>
      <c r="AM129" s="763">
        <v>0.17003778819444554</v>
      </c>
      <c r="AN129" s="763">
        <v>0.10185884241562095</v>
      </c>
      <c r="AO129" s="764">
        <v>0.067722719957725844</v>
      </c>
      <c r="AP129" s="394"/>
      <c r="AQ129" s="397"/>
      <c r="AR129" s="398"/>
      <c r="AS129" s="398"/>
    </row>
    <row r="130" spans="1:45">
      <c r="A130" s="396">
        <v>887</v>
      </c>
      <c r="B130" s="761" t="s">
        <v>257</v>
      </c>
      <c r="C130" s="762">
        <v>24482</v>
      </c>
      <c r="D130" s="762">
        <v>21020</v>
      </c>
      <c r="E130" s="762">
        <v>16080</v>
      </c>
      <c r="F130" s="762">
        <v>3419</v>
      </c>
      <c r="G130" s="762">
        <v>3381</v>
      </c>
      <c r="H130" s="762">
        <v>3148</v>
      </c>
      <c r="I130" s="762">
        <v>6132</v>
      </c>
      <c r="J130" s="763">
        <v>0.145617188138224</v>
      </c>
      <c r="K130" s="763">
        <v>0.22402262387607083</v>
      </c>
      <c r="L130" s="763">
        <v>0.11847014925373134</v>
      </c>
      <c r="M130" s="763">
        <v>0.25502928774768613</v>
      </c>
      <c r="N130" s="763">
        <v>0.44419563377098392</v>
      </c>
      <c r="O130" s="763">
        <v>0.13502104979238216</v>
      </c>
      <c r="P130" s="763">
        <v>0.15335113791709387</v>
      </c>
      <c r="Q130" s="763">
        <v>0.1219752574224196</v>
      </c>
      <c r="R130" s="763">
        <v>0.048109844207112326</v>
      </c>
      <c r="S130" s="763">
        <v>0.0684001168758434</v>
      </c>
      <c r="T130" s="763">
        <v>0.028946960014164618</v>
      </c>
      <c r="U130" s="763">
        <v>0.49180220955632292</v>
      </c>
      <c r="V130" s="763">
        <v>0.13272655497075048</v>
      </c>
      <c r="W130" s="763">
        <v>0.14457510111259669</v>
      </c>
      <c r="X130" s="763">
        <v>0.10922542987920106</v>
      </c>
      <c r="Y130" s="763">
        <v>0.043316931933937632</v>
      </c>
      <c r="Z130" s="763">
        <v>0.055331788042209132</v>
      </c>
      <c r="AA130" s="763">
        <v>0.023021984504982149</v>
      </c>
      <c r="AB130" s="763">
        <v>0.030279750496598808</v>
      </c>
      <c r="AC130" s="763">
        <v>0.0601814767002899</v>
      </c>
      <c r="AD130" s="763">
        <v>0.082584576864090833</v>
      </c>
      <c r="AE130" s="763">
        <v>0.0041039887049885686</v>
      </c>
      <c r="AF130" s="763">
        <v>0.010026286658409605</v>
      </c>
      <c r="AG130" s="763">
        <v>0.014358666637660703</v>
      </c>
      <c r="AH130" s="763">
        <v>0.0067505526971543646</v>
      </c>
      <c r="AI130" s="763">
        <v>0.30530956545287197</v>
      </c>
      <c r="AJ130" s="763">
        <v>0.34426211086150016</v>
      </c>
      <c r="AK130" s="763">
        <v>0.37346208922775492</v>
      </c>
      <c r="AL130" s="763">
        <v>0.46159078467117609</v>
      </c>
      <c r="AM130" s="763">
        <v>0.21395932941926749</v>
      </c>
      <c r="AN130" s="763">
        <v>0.13373090433788087</v>
      </c>
      <c r="AO130" s="764">
        <v>0.050932835820895528</v>
      </c>
      <c r="AP130" s="394"/>
      <c r="AQ130" s="397"/>
      <c r="AR130" s="398"/>
      <c r="AS130" s="398"/>
    </row>
    <row r="131" spans="1:45">
      <c r="A131" s="396">
        <v>888</v>
      </c>
      <c r="B131" s="761" t="s">
        <v>248</v>
      </c>
      <c r="C131" s="762">
        <v>98041</v>
      </c>
      <c r="D131" s="762">
        <v>84442</v>
      </c>
      <c r="E131" s="762">
        <v>64344</v>
      </c>
      <c r="F131" s="762">
        <v>13438</v>
      </c>
      <c r="G131" s="762">
        <v>13201</v>
      </c>
      <c r="H131" s="762">
        <v>13099</v>
      </c>
      <c r="I131" s="762">
        <v>24606</v>
      </c>
      <c r="J131" s="763">
        <v>0.15315021266612946</v>
      </c>
      <c r="K131" s="763">
        <v>0.21876206734894105</v>
      </c>
      <c r="L131" s="763">
        <v>0.14276389406937712</v>
      </c>
      <c r="M131" s="763">
        <v>0.24978270535470931</v>
      </c>
      <c r="N131" s="763">
        <v>0.58283575512875729</v>
      </c>
      <c r="O131" s="763">
        <v>0.095746276009543468</v>
      </c>
      <c r="P131" s="763">
        <v>0.10279187239397759</v>
      </c>
      <c r="Q131" s="763">
        <v>0.081131457937938786</v>
      </c>
      <c r="R131" s="763">
        <v>0.049316142555245655</v>
      </c>
      <c r="S131" s="763">
        <v>0.069520602082424665</v>
      </c>
      <c r="T131" s="763">
        <v>0.018657893892112705</v>
      </c>
      <c r="U131" s="763">
        <v>0.6092302326657254</v>
      </c>
      <c r="V131" s="763">
        <v>0.095119013345887</v>
      </c>
      <c r="W131" s="763">
        <v>0.09699822876121135</v>
      </c>
      <c r="X131" s="763">
        <v>0.074231446113010344</v>
      </c>
      <c r="Y131" s="763">
        <v>0.04689839551779721</v>
      </c>
      <c r="Z131" s="763">
        <v>0.060214564288181852</v>
      </c>
      <c r="AA131" s="763">
        <v>0.017308119308187007</v>
      </c>
      <c r="AB131" s="763">
        <v>0.027526860768004237</v>
      </c>
      <c r="AC131" s="763">
        <v>0.051663911120183731</v>
      </c>
      <c r="AD131" s="763">
        <v>0.0755745828307668</v>
      </c>
      <c r="AE131" s="763">
        <v>0.00450071158763589</v>
      </c>
      <c r="AF131" s="763">
        <v>0.0092546420944465933</v>
      </c>
      <c r="AG131" s="763">
        <v>0.014175511027867524</v>
      </c>
      <c r="AH131" s="763">
        <v>0.0074005944639083379</v>
      </c>
      <c r="AI131" s="763">
        <v>0.32951501318230236</v>
      </c>
      <c r="AJ131" s="763">
        <v>0.33845816754245989</v>
      </c>
      <c r="AK131" s="763">
        <v>0.37966998652451656</v>
      </c>
      <c r="AL131" s="763">
        <v>0.4434110528807132</v>
      </c>
      <c r="AM131" s="763">
        <v>0.16804033512102351</v>
      </c>
      <c r="AN131" s="763">
        <v>0.067624769229200035</v>
      </c>
      <c r="AO131" s="764">
        <v>0.045396618177297038</v>
      </c>
      <c r="AP131" s="394"/>
      <c r="AQ131" s="397"/>
      <c r="AR131" s="398"/>
      <c r="AS131" s="398"/>
    </row>
    <row r="132" spans="1:45">
      <c r="A132" s="396">
        <v>889</v>
      </c>
      <c r="B132" s="761" t="s">
        <v>184</v>
      </c>
      <c r="C132" s="762">
        <v>15259</v>
      </c>
      <c r="D132" s="762">
        <v>13239</v>
      </c>
      <c r="E132" s="762">
        <v>9979</v>
      </c>
      <c r="F132" s="762">
        <v>2117</v>
      </c>
      <c r="G132" s="762">
        <v>1996</v>
      </c>
      <c r="H132" s="762">
        <v>2042</v>
      </c>
      <c r="I132" s="762">
        <v>3824</v>
      </c>
      <c r="J132" s="763">
        <v>0.16678681433907855</v>
      </c>
      <c r="K132" s="763">
        <v>0.26780912614424907</v>
      </c>
      <c r="L132" s="763">
        <v>0.16815312155526607</v>
      </c>
      <c r="M132" s="763">
        <v>0.32115037195293428</v>
      </c>
      <c r="N132" s="763">
        <v>0.41732340139529972</v>
      </c>
      <c r="O132" s="763">
        <v>0.16717725747560017</v>
      </c>
      <c r="P132" s="763">
        <v>0.11777984558268301</v>
      </c>
      <c r="Q132" s="763">
        <v>0.074895010362381817</v>
      </c>
      <c r="R132" s="763">
        <v>0.055496457132244943</v>
      </c>
      <c r="S132" s="763">
        <v>0.094793531992479918</v>
      </c>
      <c r="T132" s="763">
        <v>0.072534496059310449</v>
      </c>
      <c r="U132" s="763">
        <v>0.42627060646259712</v>
      </c>
      <c r="V132" s="763">
        <v>0.16561436800212329</v>
      </c>
      <c r="W132" s="763">
        <v>0.12203008837186267</v>
      </c>
      <c r="X132" s="763">
        <v>0.080596196044051327</v>
      </c>
      <c r="Y132" s="763">
        <v>0.053050880440523376</v>
      </c>
      <c r="Z132" s="763">
        <v>0.087551822187121764</v>
      </c>
      <c r="AA132" s="763">
        <v>0.06488603849172063</v>
      </c>
      <c r="AB132" s="763">
        <v>0.076899535305346087</v>
      </c>
      <c r="AC132" s="763">
        <v>0.15074065014710775</v>
      </c>
      <c r="AD132" s="763">
        <v>0.22507496024416113</v>
      </c>
      <c r="AE132" s="763">
        <v>0.010133327872165384</v>
      </c>
      <c r="AF132" s="763">
        <v>0.021770013393564703</v>
      </c>
      <c r="AG132" s="763">
        <v>0.033611414523267692</v>
      </c>
      <c r="AH132" s="763">
        <v>0.0072797922750662139</v>
      </c>
      <c r="AI132" s="763">
        <v>0.43068472635767457</v>
      </c>
      <c r="AJ132" s="763">
        <v>0.3501626087038901</v>
      </c>
      <c r="AK132" s="763">
        <v>0.41175581866388355</v>
      </c>
      <c r="AL132" s="763">
        <v>0.48689001421212091</v>
      </c>
      <c r="AM132" s="763">
        <v>0.2056443228675976</v>
      </c>
      <c r="AN132" s="763">
        <v>0.070777901566288728</v>
      </c>
      <c r="AO132" s="764">
        <v>0.08487824431305746</v>
      </c>
      <c r="AP132" s="394"/>
      <c r="AQ132" s="397"/>
      <c r="AR132" s="398"/>
      <c r="AS132" s="398"/>
    </row>
    <row r="133" spans="1:45">
      <c r="A133" s="396">
        <v>890</v>
      </c>
      <c r="B133" s="761" t="s">
        <v>186</v>
      </c>
      <c r="C133" s="762">
        <v>11756</v>
      </c>
      <c r="D133" s="762">
        <v>10047</v>
      </c>
      <c r="E133" s="762">
        <v>6212</v>
      </c>
      <c r="F133" s="762">
        <v>1329</v>
      </c>
      <c r="G133" s="762">
        <v>1152</v>
      </c>
      <c r="H133" s="762">
        <v>1295</v>
      </c>
      <c r="I133" s="762">
        <v>2436</v>
      </c>
      <c r="J133" s="763">
        <v>0.27373256209595109</v>
      </c>
      <c r="K133" s="763">
        <v>0.40657587685004337</v>
      </c>
      <c r="L133" s="763">
        <v>0.27849323889246619</v>
      </c>
      <c r="M133" s="763">
        <v>0.4788720419950851</v>
      </c>
      <c r="N133" s="763">
        <v>0.30689888185924613</v>
      </c>
      <c r="O133" s="763">
        <v>0.12617092616024012</v>
      </c>
      <c r="P133" s="763">
        <v>0.068670630699381174</v>
      </c>
      <c r="Q133" s="763">
        <v>0.067307966374524492</v>
      </c>
      <c r="R133" s="763">
        <v>0.096066466249629376</v>
      </c>
      <c r="S133" s="763">
        <v>0.11929815792680787</v>
      </c>
      <c r="T133" s="763">
        <v>0.21558697073017075</v>
      </c>
      <c r="U133" s="763">
        <v>0.28308049127766233</v>
      </c>
      <c r="V133" s="763">
        <v>0.12882066390537783</v>
      </c>
      <c r="W133" s="763">
        <v>0.063130633364593861</v>
      </c>
      <c r="X133" s="763">
        <v>0.06618445466010893</v>
      </c>
      <c r="Y133" s="763">
        <v>0.099033595456832546</v>
      </c>
      <c r="Z133" s="763">
        <v>0.12270683599713146</v>
      </c>
      <c r="AA133" s="763">
        <v>0.23704332533829306</v>
      </c>
      <c r="AB133" s="763">
        <v>0.017711091354834778</v>
      </c>
      <c r="AC133" s="763">
        <v>0.033542239290432804</v>
      </c>
      <c r="AD133" s="763">
        <v>0.048497045648087579</v>
      </c>
      <c r="AE133" s="763">
        <v>0.0020951111185410266</v>
      </c>
      <c r="AF133" s="763">
        <v>0.00660799603866175</v>
      </c>
      <c r="AG133" s="763">
        <v>0.013378133219349013</v>
      </c>
      <c r="AH133" s="763">
        <v>0.012041534880444462</v>
      </c>
      <c r="AI133" s="763">
        <v>0.38959710501884159</v>
      </c>
      <c r="AJ133" s="763">
        <v>0.39895320436519738</v>
      </c>
      <c r="AK133" s="763">
        <v>0.41166534647392994</v>
      </c>
      <c r="AL133" s="763">
        <v>0.52973026652069277</v>
      </c>
      <c r="AM133" s="763">
        <v>0.22304188763237395</v>
      </c>
      <c r="AN133" s="763">
        <v>0.0935692412385165</v>
      </c>
      <c r="AO133" s="764">
        <v>0.12830006439150024</v>
      </c>
      <c r="AP133" s="394"/>
      <c r="AQ133" s="397"/>
      <c r="AR133" s="398"/>
      <c r="AS133" s="398"/>
    </row>
    <row r="134" spans="1:45">
      <c r="A134" s="396">
        <v>891</v>
      </c>
      <c r="B134" s="761" t="s">
        <v>272</v>
      </c>
      <c r="C134" s="762">
        <v>66713</v>
      </c>
      <c r="D134" s="762">
        <v>57449</v>
      </c>
      <c r="E134" s="762">
        <v>41814</v>
      </c>
      <c r="F134" s="762">
        <v>9009</v>
      </c>
      <c r="G134" s="762">
        <v>8689</v>
      </c>
      <c r="H134" s="762">
        <v>8273</v>
      </c>
      <c r="I134" s="762">
        <v>15843</v>
      </c>
      <c r="J134" s="763">
        <v>0.13249291742239144</v>
      </c>
      <c r="K134" s="763">
        <v>0.20422595053184503</v>
      </c>
      <c r="L134" s="763">
        <v>0.12854546324197638</v>
      </c>
      <c r="M134" s="763">
        <v>0.24525961673522578</v>
      </c>
      <c r="N134" s="763">
        <v>0.60624255357687729</v>
      </c>
      <c r="O134" s="763">
        <v>0.10332649631061262</v>
      </c>
      <c r="P134" s="763">
        <v>0.0806283978997478</v>
      </c>
      <c r="Q134" s="763">
        <v>0.067343362325698888</v>
      </c>
      <c r="R134" s="763">
        <v>0.066811502465658271</v>
      </c>
      <c r="S134" s="763">
        <v>0.058187234431356052</v>
      </c>
      <c r="T134" s="763">
        <v>0.017460452990049124</v>
      </c>
      <c r="U134" s="763">
        <v>0.6097339887181592</v>
      </c>
      <c r="V134" s="763">
        <v>0.10293653863126807</v>
      </c>
      <c r="W134" s="763">
        <v>0.079513624846198339</v>
      </c>
      <c r="X134" s="763">
        <v>0.062495890610750296</v>
      </c>
      <c r="Y134" s="763">
        <v>0.067211764895488829</v>
      </c>
      <c r="Z134" s="763">
        <v>0.059317861140657631</v>
      </c>
      <c r="AA134" s="763">
        <v>0.018790331157477646</v>
      </c>
      <c r="AB134" s="763">
        <v>0.018338377642491792</v>
      </c>
      <c r="AC134" s="763">
        <v>0.033755370257146915</v>
      </c>
      <c r="AD134" s="763">
        <v>0.048157457292547057</v>
      </c>
      <c r="AE134" s="763">
        <v>0.0036052520120872307</v>
      </c>
      <c r="AF134" s="763">
        <v>0.0062095478988831044</v>
      </c>
      <c r="AG134" s="763">
        <v>0.009851372200401701</v>
      </c>
      <c r="AH134" s="763">
        <v>0.0051781681306436889</v>
      </c>
      <c r="AI134" s="763">
        <v>0.34751047450089279</v>
      </c>
      <c r="AJ134" s="763">
        <v>0.34917763364005672</v>
      </c>
      <c r="AK134" s="763">
        <v>0.37741056050346611</v>
      </c>
      <c r="AL134" s="763">
        <v>0.45939564117373688</v>
      </c>
      <c r="AM134" s="763">
        <v>0.18601616503497867</v>
      </c>
      <c r="AN134" s="763">
        <v>0.078830213001963634</v>
      </c>
      <c r="AO134" s="764">
        <v>0.079184005357057427</v>
      </c>
      <c r="AP134" s="394"/>
      <c r="AQ134" s="397"/>
      <c r="AR134" s="398"/>
      <c r="AS134" s="398"/>
    </row>
    <row r="135" spans="1:45">
      <c r="A135" s="396">
        <v>892</v>
      </c>
      <c r="B135" s="761" t="s">
        <v>271</v>
      </c>
      <c r="C135" s="762">
        <v>26532</v>
      </c>
      <c r="D135" s="762">
        <v>22847</v>
      </c>
      <c r="E135" s="762">
        <v>14543</v>
      </c>
      <c r="F135" s="762">
        <v>3164</v>
      </c>
      <c r="G135" s="762">
        <v>2941</v>
      </c>
      <c r="H135" s="762">
        <v>2794</v>
      </c>
      <c r="I135" s="762">
        <v>5644</v>
      </c>
      <c r="J135" s="763">
        <v>0.25531433740388965</v>
      </c>
      <c r="K135" s="763">
        <v>0.37415462543482458</v>
      </c>
      <c r="L135" s="763">
        <v>0.26693254486694634</v>
      </c>
      <c r="M135" s="763">
        <v>0.44182051686204393</v>
      </c>
      <c r="N135" s="763">
        <v>0.17313243969546141</v>
      </c>
      <c r="O135" s="763">
        <v>0.073515101565602342</v>
      </c>
      <c r="P135" s="763">
        <v>0.075293699111543141</v>
      </c>
      <c r="Q135" s="763">
        <v>0.11545788292563074</v>
      </c>
      <c r="R135" s="763">
        <v>0.16736139185474119</v>
      </c>
      <c r="S135" s="763">
        <v>0.23951550958872414</v>
      </c>
      <c r="T135" s="763">
        <v>0.1557239752582969</v>
      </c>
      <c r="U135" s="763">
        <v>0.19476684608788231</v>
      </c>
      <c r="V135" s="763">
        <v>0.0738979672781207</v>
      </c>
      <c r="W135" s="763">
        <v>0.06773492158718912</v>
      </c>
      <c r="X135" s="763">
        <v>0.11277186905462584</v>
      </c>
      <c r="Y135" s="763">
        <v>0.16156373507923907</v>
      </c>
      <c r="Z135" s="763">
        <v>0.2341618054787547</v>
      </c>
      <c r="AA135" s="763">
        <v>0.15510285543418825</v>
      </c>
      <c r="AB135" s="763">
        <v>0.071691302590980277</v>
      </c>
      <c r="AC135" s="763">
        <v>0.13466568631888076</v>
      </c>
      <c r="AD135" s="763">
        <v>0.19312285936142318</v>
      </c>
      <c r="AE135" s="763">
        <v>0.015603820458243768</v>
      </c>
      <c r="AF135" s="763">
        <v>0.029988128400840232</v>
      </c>
      <c r="AG135" s="763">
        <v>0.047891777880084335</v>
      </c>
      <c r="AH135" s="763">
        <v>0.0044392465713052262</v>
      </c>
      <c r="AI135" s="763">
        <v>0.422069270990143</v>
      </c>
      <c r="AJ135" s="763">
        <v>0.39753428160587778</v>
      </c>
      <c r="AK135" s="763">
        <v>0.43523670307937129</v>
      </c>
      <c r="AL135" s="763">
        <v>0.51537066049997315</v>
      </c>
      <c r="AM135" s="763">
        <v>0.23905283245431808</v>
      </c>
      <c r="AN135" s="763">
        <v>0.12980551786521938</v>
      </c>
      <c r="AO135" s="764">
        <v>0.1716289623874028</v>
      </c>
      <c r="AP135" s="394"/>
      <c r="AQ135" s="397"/>
      <c r="AR135" s="398"/>
      <c r="AS135" s="398"/>
    </row>
    <row r="136" spans="1:45">
      <c r="A136" s="396">
        <v>893</v>
      </c>
      <c r="B136" s="761" t="s">
        <v>289</v>
      </c>
      <c r="C136" s="762">
        <v>20864</v>
      </c>
      <c r="D136" s="762">
        <v>18019</v>
      </c>
      <c r="E136" s="762">
        <v>14859</v>
      </c>
      <c r="F136" s="762">
        <v>3063</v>
      </c>
      <c r="G136" s="762">
        <v>2903</v>
      </c>
      <c r="H136" s="762">
        <v>3029</v>
      </c>
      <c r="I136" s="762">
        <v>5864</v>
      </c>
      <c r="J136" s="763">
        <v>0.10424654907975459</v>
      </c>
      <c r="K136" s="763">
        <v>0.16740341319320634</v>
      </c>
      <c r="L136" s="763">
        <v>0.089575341543845541</v>
      </c>
      <c r="M136" s="763">
        <v>0.20825218326427108</v>
      </c>
      <c r="N136" s="763">
        <v>0.805611190007995</v>
      </c>
      <c r="O136" s="763">
        <v>0.072254985200693234</v>
      </c>
      <c r="P136" s="763">
        <v>0.048763220951679627</v>
      </c>
      <c r="Q136" s="763">
        <v>0.039540491357083159</v>
      </c>
      <c r="R136" s="763">
        <v>0.017612786502491453</v>
      </c>
      <c r="S136" s="763">
        <v>0.0056170540105460612</v>
      </c>
      <c r="T136" s="763">
        <v>0.010600271969511431</v>
      </c>
      <c r="U136" s="763">
        <v>0.81298631695615364</v>
      </c>
      <c r="V136" s="763">
        <v>0.067650433322215819</v>
      </c>
      <c r="W136" s="763">
        <v>0.044488544178046256</v>
      </c>
      <c r="X136" s="763">
        <v>0.037201078544956176</v>
      </c>
      <c r="Y136" s="763">
        <v>0.021635753159525515</v>
      </c>
      <c r="Z136" s="763">
        <v>0.0052425085310443707</v>
      </c>
      <c r="AA136" s="763">
        <v>0.010795365308058224</v>
      </c>
      <c r="AB136" s="763">
        <v>0.0090527578644005</v>
      </c>
      <c r="AC136" s="763">
        <v>0.0180379444425756</v>
      </c>
      <c r="AD136" s="763">
        <v>0.025631000929671081</v>
      </c>
      <c r="AE136" s="763">
        <v>0.0036449302674745497</v>
      </c>
      <c r="AF136" s="763">
        <v>0.006274879182854306</v>
      </c>
      <c r="AG136" s="763">
        <v>0.0088394610467514966</v>
      </c>
      <c r="AH136" s="763">
        <v>0.0072039186658013239</v>
      </c>
      <c r="AI136" s="763">
        <v>0.33611106087076215</v>
      </c>
      <c r="AJ136" s="763">
        <v>0.36176406950791484</v>
      </c>
      <c r="AK136" s="763">
        <v>0.36280833493913872</v>
      </c>
      <c r="AL136" s="763">
        <v>0.48901772860972431</v>
      </c>
      <c r="AM136" s="763">
        <v>0.18946055613065924</v>
      </c>
      <c r="AN136" s="763">
        <v>0.088717407975460141</v>
      </c>
      <c r="AO136" s="764">
        <v>0.047378693047984387</v>
      </c>
      <c r="AP136" s="394"/>
      <c r="AQ136" s="397"/>
      <c r="AR136" s="398"/>
      <c r="AS136" s="398"/>
    </row>
    <row r="137" spans="1:45">
      <c r="A137" s="396">
        <v>894</v>
      </c>
      <c r="B137" s="761" t="s">
        <v>309</v>
      </c>
      <c r="C137" s="762">
        <v>16029</v>
      </c>
      <c r="D137" s="762">
        <v>13842</v>
      </c>
      <c r="E137" s="762">
        <v>9547</v>
      </c>
      <c r="F137" s="762">
        <v>2123</v>
      </c>
      <c r="G137" s="762">
        <v>1930</v>
      </c>
      <c r="H137" s="762">
        <v>1929</v>
      </c>
      <c r="I137" s="762">
        <v>3565</v>
      </c>
      <c r="J137" s="763">
        <v>0.18429097261214047</v>
      </c>
      <c r="K137" s="763">
        <v>0.26962881923137749</v>
      </c>
      <c r="L137" s="763">
        <v>0.15942180789776891</v>
      </c>
      <c r="M137" s="763">
        <v>0.31322655391919912</v>
      </c>
      <c r="N137" s="763">
        <v>0.41331026174434354</v>
      </c>
      <c r="O137" s="763">
        <v>0.12762368477347921</v>
      </c>
      <c r="P137" s="763">
        <v>0.078563240100286175</v>
      </c>
      <c r="Q137" s="763">
        <v>0.14897536951528687</v>
      </c>
      <c r="R137" s="763">
        <v>0.078279804467269676</v>
      </c>
      <c r="S137" s="763">
        <v>0.033572520862811171</v>
      </c>
      <c r="T137" s="763">
        <v>0.11967511853652341</v>
      </c>
      <c r="U137" s="763">
        <v>0.46379635857766832</v>
      </c>
      <c r="V137" s="763">
        <v>0.12643740067148049</v>
      </c>
      <c r="W137" s="763">
        <v>0.073110748439195239</v>
      </c>
      <c r="X137" s="763">
        <v>0.12798766274433457</v>
      </c>
      <c r="Y137" s="763">
        <v>0.069556989034440492</v>
      </c>
      <c r="Z137" s="763">
        <v>0.035155088371730626</v>
      </c>
      <c r="AA137" s="763">
        <v>0.10395575216115012</v>
      </c>
      <c r="AB137" s="763">
        <v>0.029425730185558979</v>
      </c>
      <c r="AC137" s="763">
        <v>0.055911798640041026</v>
      </c>
      <c r="AD137" s="763">
        <v>0.079820672897274819</v>
      </c>
      <c r="AE137" s="763">
        <v>0.0079773418009675256</v>
      </c>
      <c r="AF137" s="763">
        <v>0.013545170712088484</v>
      </c>
      <c r="AG137" s="763">
        <v>0.021731122346260935</v>
      </c>
      <c r="AH137" s="763">
        <v>0.0072135241124360386</v>
      </c>
      <c r="AI137" s="763">
        <v>0.34740221209398853</v>
      </c>
      <c r="AJ137" s="763">
        <v>0.3217131003000312</v>
      </c>
      <c r="AK137" s="763">
        <v>0.3822647533843751</v>
      </c>
      <c r="AL137" s="763">
        <v>0.42256190855411918</v>
      </c>
      <c r="AM137" s="763">
        <v>0.1838823057913245</v>
      </c>
      <c r="AN137" s="763">
        <v>0.094079480940794866</v>
      </c>
      <c r="AO137" s="764">
        <v>0.0549910966795852</v>
      </c>
      <c r="AP137" s="394"/>
      <c r="AQ137" s="397"/>
      <c r="AR137" s="398"/>
      <c r="AS137" s="398"/>
    </row>
    <row r="138" spans="1:45">
      <c r="A138" s="396">
        <v>895</v>
      </c>
      <c r="B138" s="761" t="s">
        <v>659</v>
      </c>
      <c r="C138" s="762">
        <v>29222</v>
      </c>
      <c r="D138" s="762">
        <v>25214</v>
      </c>
      <c r="E138" s="762">
        <v>19472</v>
      </c>
      <c r="F138" s="762">
        <v>4083</v>
      </c>
      <c r="G138" s="762">
        <v>3978</v>
      </c>
      <c r="H138" s="762">
        <v>3912</v>
      </c>
      <c r="I138" s="762">
        <v>7499</v>
      </c>
      <c r="J138" s="763">
        <v>0.093696530011635054</v>
      </c>
      <c r="K138" s="763">
        <v>0.1411909492178294</v>
      </c>
      <c r="L138" s="763">
        <v>0.097473294987674569</v>
      </c>
      <c r="M138" s="763">
        <v>0.17698827812411913</v>
      </c>
      <c r="N138" s="763">
        <v>0.74152255593836869</v>
      </c>
      <c r="O138" s="763">
        <v>0.066628073262689352</v>
      </c>
      <c r="P138" s="763">
        <v>0.078403384497315182</v>
      </c>
      <c r="Q138" s="763">
        <v>0.049288435552180432</v>
      </c>
      <c r="R138" s="763">
        <v>0.043699745279228354</v>
      </c>
      <c r="S138" s="763">
        <v>0.013533908647857642</v>
      </c>
      <c r="T138" s="763">
        <v>0.0069238968223603366</v>
      </c>
      <c r="U138" s="763">
        <v>0.77032300071124715</v>
      </c>
      <c r="V138" s="763">
        <v>0.06140153061204396</v>
      </c>
      <c r="W138" s="763">
        <v>0.071657460483749769</v>
      </c>
      <c r="X138" s="763">
        <v>0.040635501230211195</v>
      </c>
      <c r="Y138" s="763">
        <v>0.036157496396285939</v>
      </c>
      <c r="Z138" s="763">
        <v>0.011915826287948562</v>
      </c>
      <c r="AA138" s="763">
        <v>0.00790918427851342</v>
      </c>
      <c r="AB138" s="763">
        <v>0.016363169402550441</v>
      </c>
      <c r="AC138" s="763">
        <v>0.031026918839726622</v>
      </c>
      <c r="AD138" s="763">
        <v>0.044005247763172425</v>
      </c>
      <c r="AE138" s="763">
        <v>0.00483525431279167</v>
      </c>
      <c r="AF138" s="763">
        <v>0.00807434476225675</v>
      </c>
      <c r="AG138" s="763">
        <v>0.012139009398519182</v>
      </c>
      <c r="AH138" s="763">
        <v>0.0051103356648843868</v>
      </c>
      <c r="AI138" s="763">
        <v>0.324101077844779</v>
      </c>
      <c r="AJ138" s="763">
        <v>0.32080895273844834</v>
      </c>
      <c r="AK138" s="763">
        <v>0.36069999926501484</v>
      </c>
      <c r="AL138" s="763">
        <v>0.4676866927467464</v>
      </c>
      <c r="AM138" s="763">
        <v>0.16123949284773123</v>
      </c>
      <c r="AN138" s="763">
        <v>0.091198412155225519</v>
      </c>
      <c r="AO138" s="764">
        <v>0.049506984387838945</v>
      </c>
      <c r="AP138" s="394"/>
      <c r="AQ138" s="397"/>
      <c r="AR138" s="398"/>
      <c r="AS138" s="398"/>
    </row>
    <row r="139" spans="1:45">
      <c r="A139" s="396">
        <v>896</v>
      </c>
      <c r="B139" s="761" t="s">
        <v>574</v>
      </c>
      <c r="C139" s="762">
        <v>27380</v>
      </c>
      <c r="D139" s="762">
        <v>23570</v>
      </c>
      <c r="E139" s="762">
        <v>17845</v>
      </c>
      <c r="F139" s="762">
        <v>3716</v>
      </c>
      <c r="G139" s="762">
        <v>3609</v>
      </c>
      <c r="H139" s="762">
        <v>3639</v>
      </c>
      <c r="I139" s="762">
        <v>6881</v>
      </c>
      <c r="J139" s="763">
        <v>0.13140978816654492</v>
      </c>
      <c r="K139" s="763">
        <v>0.18966136433967623</v>
      </c>
      <c r="L139" s="763">
        <v>0.12272345194732411</v>
      </c>
      <c r="M139" s="763">
        <v>0.21209537700351352</v>
      </c>
      <c r="N139" s="763">
        <v>0.67726567903613688</v>
      </c>
      <c r="O139" s="763">
        <v>0.068515481357313959</v>
      </c>
      <c r="P139" s="763">
        <v>0.044981592789778473</v>
      </c>
      <c r="Q139" s="763">
        <v>0.05108271283064212</v>
      </c>
      <c r="R139" s="763">
        <v>0.066391812773820766</v>
      </c>
      <c r="S139" s="763">
        <v>0.067679914436467412</v>
      </c>
      <c r="T139" s="763">
        <v>0.024082806775840553</v>
      </c>
      <c r="U139" s="763">
        <v>0.72040936455343951</v>
      </c>
      <c r="V139" s="763">
        <v>0.063300629208066769</v>
      </c>
      <c r="W139" s="763">
        <v>0.036688073956386</v>
      </c>
      <c r="X139" s="763">
        <v>0.0473760566740259</v>
      </c>
      <c r="Y139" s="763">
        <v>0.055740596542857117</v>
      </c>
      <c r="Z139" s="763">
        <v>0.058811518448061532</v>
      </c>
      <c r="AA139" s="763">
        <v>0.01767376061716323</v>
      </c>
      <c r="AB139" s="763">
        <v>0.014672597098302391</v>
      </c>
      <c r="AC139" s="763">
        <v>0.025403865631050165</v>
      </c>
      <c r="AD139" s="763">
        <v>0.036123538450598479</v>
      </c>
      <c r="AE139" s="763">
        <v>0.003589105010308161</v>
      </c>
      <c r="AF139" s="763">
        <v>0.0070658787704260869</v>
      </c>
      <c r="AG139" s="763">
        <v>0.010429391967736743</v>
      </c>
      <c r="AH139" s="763">
        <v>0.0061504454947183939</v>
      </c>
      <c r="AI139" s="763">
        <v>0.32789565692622658</v>
      </c>
      <c r="AJ139" s="763">
        <v>0.36467660179372696</v>
      </c>
      <c r="AK139" s="763">
        <v>0.39965403939145894</v>
      </c>
      <c r="AL139" s="763">
        <v>0.47405437744783829</v>
      </c>
      <c r="AM139" s="763">
        <v>0.16988614011464725</v>
      </c>
      <c r="AN139" s="763">
        <v>0.0768809349890431</v>
      </c>
      <c r="AO139" s="764">
        <v>0.052843933875035033</v>
      </c>
      <c r="AP139" s="394"/>
      <c r="AQ139" s="397"/>
      <c r="AR139" s="398"/>
      <c r="AS139" s="398"/>
    </row>
    <row r="140" spans="1:45">
      <c r="A140" s="396">
        <v>908</v>
      </c>
      <c r="B140" s="761" t="s">
        <v>204</v>
      </c>
      <c r="C140" s="762">
        <v>41547</v>
      </c>
      <c r="D140" s="762">
        <v>35890</v>
      </c>
      <c r="E140" s="762">
        <v>27220</v>
      </c>
      <c r="F140" s="762">
        <v>5757</v>
      </c>
      <c r="G140" s="762">
        <v>5609</v>
      </c>
      <c r="H140" s="762">
        <v>5449</v>
      </c>
      <c r="I140" s="762">
        <v>10405</v>
      </c>
      <c r="J140" s="763">
        <v>0.12775892362866154</v>
      </c>
      <c r="K140" s="763">
        <v>0.210092807344979</v>
      </c>
      <c r="L140" s="763">
        <v>0.11998530492285087</v>
      </c>
      <c r="M140" s="763">
        <v>0.2465243561343114</v>
      </c>
      <c r="N140" s="763">
        <v>0.68962847686658524</v>
      </c>
      <c r="O140" s="763">
        <v>0.11730701304728514</v>
      </c>
      <c r="P140" s="763">
        <v>0.067818693729603571</v>
      </c>
      <c r="Q140" s="763">
        <v>0.042642960803214974</v>
      </c>
      <c r="R140" s="763">
        <v>0.0415034297146296</v>
      </c>
      <c r="S140" s="763">
        <v>0.040762458067241755</v>
      </c>
      <c r="T140" s="763">
        <v>0.00033696777143957447</v>
      </c>
      <c r="U140" s="763">
        <v>0.69459597297518993</v>
      </c>
      <c r="V140" s="763">
        <v>0.11711253958779132</v>
      </c>
      <c r="W140" s="763">
        <v>0.063868458796336292</v>
      </c>
      <c r="X140" s="763">
        <v>0.044812302496398462</v>
      </c>
      <c r="Y140" s="763">
        <v>0.040503411866833074</v>
      </c>
      <c r="Z140" s="763">
        <v>0.037931708105518672</v>
      </c>
      <c r="AA140" s="763">
        <v>0.0011756061719324035</v>
      </c>
      <c r="AB140" s="763">
        <v>0.0063274137778559269</v>
      </c>
      <c r="AC140" s="763">
        <v>0.012266668898595812</v>
      </c>
      <c r="AD140" s="763">
        <v>0.01775478714252491</v>
      </c>
      <c r="AE140" s="763">
        <v>0.0026827916940621605</v>
      </c>
      <c r="AF140" s="763">
        <v>0.0041898566303320561</v>
      </c>
      <c r="AG140" s="763">
        <v>0.005844135458240236</v>
      </c>
      <c r="AH140" s="763">
        <v>0.0043554204078311079</v>
      </c>
      <c r="AI140" s="763">
        <v>0.36350180964286366</v>
      </c>
      <c r="AJ140" s="763">
        <v>0.39499144094387123</v>
      </c>
      <c r="AK140" s="763">
        <v>0.41229755851257688</v>
      </c>
      <c r="AL140" s="763">
        <v>0.48712657205838233</v>
      </c>
      <c r="AM140" s="763">
        <v>0.20823859685284196</v>
      </c>
      <c r="AN140" s="763">
        <v>0.10048860326858738</v>
      </c>
      <c r="AO140" s="764">
        <v>0.089603232916972808</v>
      </c>
      <c r="AP140" s="394"/>
      <c r="AQ140" s="397"/>
      <c r="AR140" s="398"/>
      <c r="AS140" s="398"/>
    </row>
    <row r="141" spans="1:45">
      <c r="A141" s="396">
        <v>909</v>
      </c>
      <c r="B141" s="761" t="s">
        <v>207</v>
      </c>
      <c r="C141" s="762">
        <v>35817</v>
      </c>
      <c r="D141" s="762">
        <v>30949</v>
      </c>
      <c r="E141" s="762">
        <v>25822</v>
      </c>
      <c r="F141" s="762">
        <v>5307</v>
      </c>
      <c r="G141" s="762">
        <v>5259</v>
      </c>
      <c r="H141" s="762">
        <v>5089</v>
      </c>
      <c r="I141" s="762">
        <v>10167</v>
      </c>
      <c r="J141" s="763">
        <v>0.1226512549906469</v>
      </c>
      <c r="K141" s="763">
        <v>0.18717852931586892</v>
      </c>
      <c r="L141" s="763">
        <v>0.10816358144218106</v>
      </c>
      <c r="M141" s="763">
        <v>0.19887445267177586</v>
      </c>
      <c r="N141" s="763">
        <v>0.7007566713516965</v>
      </c>
      <c r="O141" s="763">
        <v>0.0966426759195286</v>
      </c>
      <c r="P141" s="763">
        <v>0.06127875458061275</v>
      </c>
      <c r="Q141" s="763">
        <v>0.032202089515390941</v>
      </c>
      <c r="R141" s="763">
        <v>0.021088574686665119</v>
      </c>
      <c r="S141" s="763">
        <v>0.061433838212509348</v>
      </c>
      <c r="T141" s="763">
        <v>0.026597395733596606</v>
      </c>
      <c r="U141" s="763">
        <v>0.7550543171739329</v>
      </c>
      <c r="V141" s="763">
        <v>0.080927852310074128</v>
      </c>
      <c r="W141" s="763">
        <v>0.051926589019994987</v>
      </c>
      <c r="X141" s="763">
        <v>0.025808631547529458</v>
      </c>
      <c r="Y141" s="763">
        <v>0.016675425638279243</v>
      </c>
      <c r="Z141" s="763">
        <v>0.048045385928321908</v>
      </c>
      <c r="AA141" s="763">
        <v>0.021561798381867125</v>
      </c>
      <c r="AB141" s="763">
        <v>0.008658554645516587</v>
      </c>
      <c r="AC141" s="763">
        <v>0.015541538758387459</v>
      </c>
      <c r="AD141" s="763">
        <v>0.021659122111353582</v>
      </c>
      <c r="AE141" s="763">
        <v>0.0036045589856716518</v>
      </c>
      <c r="AF141" s="763">
        <v>0.004962007706802698</v>
      </c>
      <c r="AG141" s="763">
        <v>0.0067473456462529358</v>
      </c>
      <c r="AH141" s="763">
        <v>0.0048480626618505884</v>
      </c>
      <c r="AI141" s="763">
        <v>0.3685152816563857</v>
      </c>
      <c r="AJ141" s="763">
        <v>0.34796587438592275</v>
      </c>
      <c r="AK141" s="763">
        <v>0.38114638599546513</v>
      </c>
      <c r="AL141" s="763">
        <v>0.47425768453566747</v>
      </c>
      <c r="AM141" s="763">
        <v>0.18751464235720816</v>
      </c>
      <c r="AN141" s="763">
        <v>0.059273529329647932</v>
      </c>
      <c r="AO141" s="764">
        <v>0.037061420494152272</v>
      </c>
      <c r="AP141" s="394"/>
      <c r="AQ141" s="397"/>
      <c r="AR141" s="398"/>
      <c r="AS141" s="398"/>
    </row>
    <row r="142" spans="1:45">
      <c r="A142" s="396">
        <v>916</v>
      </c>
      <c r="B142" s="761" t="s">
        <v>224</v>
      </c>
      <c r="C142" s="762">
        <v>47501</v>
      </c>
      <c r="D142" s="762">
        <v>40844</v>
      </c>
      <c r="E142" s="762">
        <v>32620</v>
      </c>
      <c r="F142" s="762">
        <v>6822</v>
      </c>
      <c r="G142" s="762">
        <v>6666</v>
      </c>
      <c r="H142" s="762">
        <v>6400</v>
      </c>
      <c r="I142" s="762">
        <v>12732</v>
      </c>
      <c r="J142" s="763">
        <v>0.1129449906317762</v>
      </c>
      <c r="K142" s="763">
        <v>0.18692103517547209</v>
      </c>
      <c r="L142" s="763">
        <v>0.0931330472103004</v>
      </c>
      <c r="M142" s="763">
        <v>0.18170215515918753</v>
      </c>
      <c r="N142" s="763">
        <v>0.69850202474979084</v>
      </c>
      <c r="O142" s="763">
        <v>0.0892241852133608</v>
      </c>
      <c r="P142" s="763">
        <v>0.079026085323018483</v>
      </c>
      <c r="Q142" s="763">
        <v>0.0401154713129455</v>
      </c>
      <c r="R142" s="763">
        <v>0.039475026549525824</v>
      </c>
      <c r="S142" s="763">
        <v>0.0468879941780152</v>
      </c>
      <c r="T142" s="763">
        <v>0.0067692126733433248</v>
      </c>
      <c r="U142" s="763">
        <v>0.74436598747763183</v>
      </c>
      <c r="V142" s="763">
        <v>0.0798154285478473</v>
      </c>
      <c r="W142" s="763">
        <v>0.0671809585922652</v>
      </c>
      <c r="X142" s="763">
        <v>0.031298537531925213</v>
      </c>
      <c r="Y142" s="763">
        <v>0.032444874276317474</v>
      </c>
      <c r="Z142" s="763">
        <v>0.038574213977478747</v>
      </c>
      <c r="AA142" s="763">
        <v>0.00631999959653418</v>
      </c>
      <c r="AB142" s="763">
        <v>0.018013546915164779</v>
      </c>
      <c r="AC142" s="763">
        <v>0.0358389134468016</v>
      </c>
      <c r="AD142" s="763">
        <v>0.049708970595968321</v>
      </c>
      <c r="AE142" s="763">
        <v>0.0027026329599851929</v>
      </c>
      <c r="AF142" s="763">
        <v>0.006080281917921624</v>
      </c>
      <c r="AG142" s="763">
        <v>0.01056472680242518</v>
      </c>
      <c r="AH142" s="763">
        <v>0.0044461637061495281</v>
      </c>
      <c r="AI142" s="763">
        <v>0.36128628542583552</v>
      </c>
      <c r="AJ142" s="763">
        <v>0.33294922160564816</v>
      </c>
      <c r="AK142" s="763">
        <v>0.35070867503019282</v>
      </c>
      <c r="AL142" s="763">
        <v>0.42322861654934429</v>
      </c>
      <c r="AM142" s="763">
        <v>0.15771451351157878</v>
      </c>
      <c r="AN142" s="763">
        <v>0.07881939327593103</v>
      </c>
      <c r="AO142" s="764">
        <v>0.049478847332924576</v>
      </c>
      <c r="AP142" s="394"/>
      <c r="AQ142" s="397"/>
      <c r="AR142" s="398"/>
      <c r="AS142" s="398"/>
    </row>
    <row r="143" spans="1:45">
      <c r="A143" s="396">
        <v>919</v>
      </c>
      <c r="B143" s="761" t="s">
        <v>235</v>
      </c>
      <c r="C143" s="762">
        <v>100022</v>
      </c>
      <c r="D143" s="762">
        <v>85968</v>
      </c>
      <c r="E143" s="762">
        <v>67699</v>
      </c>
      <c r="F143" s="762">
        <v>14489</v>
      </c>
      <c r="G143" s="762">
        <v>13832</v>
      </c>
      <c r="H143" s="762">
        <v>13346</v>
      </c>
      <c r="I143" s="762">
        <v>26032</v>
      </c>
      <c r="J143" s="763">
        <v>0.094109295954889927</v>
      </c>
      <c r="K143" s="763">
        <v>0.1543867600169869</v>
      </c>
      <c r="L143" s="763">
        <v>0.078730852745239943</v>
      </c>
      <c r="M143" s="763">
        <v>0.18394492187311426</v>
      </c>
      <c r="N143" s="763">
        <v>0.75320690094578213</v>
      </c>
      <c r="O143" s="763">
        <v>0.10302794629045472</v>
      </c>
      <c r="P143" s="763">
        <v>0.082187924276924687</v>
      </c>
      <c r="Q143" s="763">
        <v>0.032219631672206837</v>
      </c>
      <c r="R143" s="763">
        <v>0.017257395428344788</v>
      </c>
      <c r="S143" s="763">
        <v>0.012029901962371473</v>
      </c>
      <c r="T143" s="763">
        <v>7.0299423915312628E-05</v>
      </c>
      <c r="U143" s="763">
        <v>0.77154433264675126</v>
      </c>
      <c r="V143" s="763">
        <v>0.093663364009734629</v>
      </c>
      <c r="W143" s="763">
        <v>0.074254408458147236</v>
      </c>
      <c r="X143" s="763">
        <v>0.031941876274448437</v>
      </c>
      <c r="Y143" s="763">
        <v>0.016508937340881515</v>
      </c>
      <c r="Z143" s="763">
        <v>0.011421789075330421</v>
      </c>
      <c r="AA143" s="763">
        <v>0.00066529219470663347</v>
      </c>
      <c r="AB143" s="763">
        <v>0.034243010753640148</v>
      </c>
      <c r="AC143" s="763">
        <v>0.068504431031525287</v>
      </c>
      <c r="AD143" s="763">
        <v>0.098647596290477577</v>
      </c>
      <c r="AE143" s="763">
        <v>0.0051892996570166751</v>
      </c>
      <c r="AF143" s="763">
        <v>0.0099471877330920468</v>
      </c>
      <c r="AG143" s="763">
        <v>0.015844569762163772</v>
      </c>
      <c r="AH143" s="763">
        <v>0.0026235926370678925</v>
      </c>
      <c r="AI143" s="763">
        <v>0.30583068558452514</v>
      </c>
      <c r="AJ143" s="763">
        <v>0.31761912939271925</v>
      </c>
      <c r="AK143" s="763">
        <v>0.32571653469839079</v>
      </c>
      <c r="AL143" s="763">
        <v>0.38850063058955708</v>
      </c>
      <c r="AM143" s="763">
        <v>0.14467079841300298</v>
      </c>
      <c r="AN143" s="763">
        <v>0.074233668592909557</v>
      </c>
      <c r="AO143" s="764">
        <v>0.036942938595843369</v>
      </c>
      <c r="AP143" s="394"/>
      <c r="AQ143" s="397"/>
      <c r="AR143" s="398"/>
      <c r="AS143" s="398"/>
    </row>
    <row r="144" spans="1:45">
      <c r="A144" s="396">
        <v>921</v>
      </c>
      <c r="B144" s="761" t="s">
        <v>238</v>
      </c>
      <c r="C144" s="762">
        <v>9225</v>
      </c>
      <c r="D144" s="762">
        <v>7910</v>
      </c>
      <c r="E144" s="762">
        <v>6202</v>
      </c>
      <c r="F144" s="762">
        <v>1285</v>
      </c>
      <c r="G144" s="762">
        <v>1282</v>
      </c>
      <c r="H144" s="762">
        <v>1269</v>
      </c>
      <c r="I144" s="762">
        <v>2366</v>
      </c>
      <c r="J144" s="763">
        <v>0.15273712737127365</v>
      </c>
      <c r="K144" s="763">
        <v>0.24402898463749303</v>
      </c>
      <c r="L144" s="763">
        <v>0.14011609158336011</v>
      </c>
      <c r="M144" s="763">
        <v>0.27125290300689808</v>
      </c>
      <c r="N144" s="763">
        <v>0.45926199854372857</v>
      </c>
      <c r="O144" s="763">
        <v>0.25794726572291687</v>
      </c>
      <c r="P144" s="763">
        <v>0.0772590447329561</v>
      </c>
      <c r="Q144" s="763">
        <v>0.0979331127608861</v>
      </c>
      <c r="R144" s="763">
        <v>0.02094697985475636</v>
      </c>
      <c r="S144" s="763">
        <v>0.0866515983847562</v>
      </c>
      <c r="T144" s="763">
        <v>0</v>
      </c>
      <c r="U144" s="763">
        <v>0.48687022153684822</v>
      </c>
      <c r="V144" s="763">
        <v>0.24827304204856904</v>
      </c>
      <c r="W144" s="763">
        <v>0.075296058274627736</v>
      </c>
      <c r="X144" s="763">
        <v>0.09385976471087451</v>
      </c>
      <c r="Y144" s="763">
        <v>0.018405876169877732</v>
      </c>
      <c r="Z144" s="763">
        <v>0.077295037259202864</v>
      </c>
      <c r="AA144" s="763">
        <v>0</v>
      </c>
      <c r="AB144" s="763">
        <v>0.0076871538749152717</v>
      </c>
      <c r="AC144" s="763">
        <v>0.014760026815021671</v>
      </c>
      <c r="AD144" s="763">
        <v>0.020957293223840559</v>
      </c>
      <c r="AE144" s="763">
        <v>0.0024195983886406329</v>
      </c>
      <c r="AF144" s="763">
        <v>0.0043551406015127367</v>
      </c>
      <c r="AG144" s="763">
        <v>0.0066138419250318641</v>
      </c>
      <c r="AH144" s="763">
        <v>0.010215031867385441</v>
      </c>
      <c r="AI144" s="763">
        <v>0.32695339763119824</v>
      </c>
      <c r="AJ144" s="763">
        <v>0.44947282226980606</v>
      </c>
      <c r="AK144" s="763">
        <v>0.44536292399424787</v>
      </c>
      <c r="AL144" s="763">
        <v>0.50934181780112286</v>
      </c>
      <c r="AM144" s="763">
        <v>0.21396389066252638</v>
      </c>
      <c r="AN144" s="763">
        <v>0.11371273712737125</v>
      </c>
      <c r="AO144" s="764">
        <v>0.055143502096098022</v>
      </c>
      <c r="AP144" s="394"/>
      <c r="AQ144" s="397"/>
      <c r="AR144" s="398"/>
      <c r="AS144" s="398"/>
    </row>
    <row r="145" spans="1:45">
      <c r="A145" s="396">
        <v>925</v>
      </c>
      <c r="B145" s="761" t="s">
        <v>253</v>
      </c>
      <c r="C145" s="762">
        <v>56324</v>
      </c>
      <c r="D145" s="762">
        <v>48443</v>
      </c>
      <c r="E145" s="762">
        <v>39280</v>
      </c>
      <c r="F145" s="762">
        <v>8160</v>
      </c>
      <c r="G145" s="762">
        <v>8037</v>
      </c>
      <c r="H145" s="762">
        <v>7835</v>
      </c>
      <c r="I145" s="762">
        <v>15248</v>
      </c>
      <c r="J145" s="763">
        <v>0.1443434415169377</v>
      </c>
      <c r="K145" s="763">
        <v>0.23757287166000571</v>
      </c>
      <c r="L145" s="763">
        <v>0.11901731160896123</v>
      </c>
      <c r="M145" s="763">
        <v>0.22679541123926242</v>
      </c>
      <c r="N145" s="763">
        <v>0.65036079539127956</v>
      </c>
      <c r="O145" s="763">
        <v>0.099025820969083952</v>
      </c>
      <c r="P145" s="763">
        <v>0.079380681912551793</v>
      </c>
      <c r="Q145" s="763">
        <v>0.055668284677775216</v>
      </c>
      <c r="R145" s="763">
        <v>0.047557703582179457</v>
      </c>
      <c r="S145" s="763">
        <v>0.04869790690704387</v>
      </c>
      <c r="T145" s="763">
        <v>0.01930880656008601</v>
      </c>
      <c r="U145" s="763">
        <v>0.68600684777177789</v>
      </c>
      <c r="V145" s="763">
        <v>0.098399309964446888</v>
      </c>
      <c r="W145" s="763">
        <v>0.0722528982186079</v>
      </c>
      <c r="X145" s="763">
        <v>0.047422334116765039</v>
      </c>
      <c r="Y145" s="763">
        <v>0.040603663022155977</v>
      </c>
      <c r="Z145" s="763">
        <v>0.038322983831013971</v>
      </c>
      <c r="AA145" s="763">
        <v>0.01699196307523235</v>
      </c>
      <c r="AB145" s="763">
        <v>0.02457316420787747</v>
      </c>
      <c r="AC145" s="763">
        <v>0.047065569295708563</v>
      </c>
      <c r="AD145" s="763">
        <v>0.067294903452169527</v>
      </c>
      <c r="AE145" s="763">
        <v>0.0051394700048165969</v>
      </c>
      <c r="AF145" s="763">
        <v>0.0098431314072940229</v>
      </c>
      <c r="AG145" s="763">
        <v>0.015441581279777692</v>
      </c>
      <c r="AH145" s="763">
        <v>0.0047912373959880412</v>
      </c>
      <c r="AI145" s="763">
        <v>0.30805507978428637</v>
      </c>
      <c r="AJ145" s="763">
        <v>0.36063131907217433</v>
      </c>
      <c r="AK145" s="763">
        <v>0.390415121372097</v>
      </c>
      <c r="AL145" s="763">
        <v>0.44773997192825926</v>
      </c>
      <c r="AM145" s="763">
        <v>0.19108205491150054</v>
      </c>
      <c r="AN145" s="763">
        <v>0.091310986435622465</v>
      </c>
      <c r="AO145" s="764">
        <v>0.079098778004073347</v>
      </c>
      <c r="AP145" s="394"/>
      <c r="AQ145" s="397"/>
      <c r="AR145" s="398"/>
      <c r="AS145" s="398"/>
    </row>
    <row r="146" spans="1:45">
      <c r="A146" s="396">
        <v>926</v>
      </c>
      <c r="B146" s="761" t="s">
        <v>263</v>
      </c>
      <c r="C146" s="762">
        <v>64279</v>
      </c>
      <c r="D146" s="762">
        <v>55411</v>
      </c>
      <c r="E146" s="762">
        <v>40871</v>
      </c>
      <c r="F146" s="762">
        <v>8716</v>
      </c>
      <c r="G146" s="762">
        <v>8289</v>
      </c>
      <c r="H146" s="762">
        <v>8211</v>
      </c>
      <c r="I146" s="762">
        <v>15655</v>
      </c>
      <c r="J146" s="763">
        <v>0.14452620607041181</v>
      </c>
      <c r="K146" s="763">
        <v>0.21827006029161811</v>
      </c>
      <c r="L146" s="763">
        <v>0.13246556237919307</v>
      </c>
      <c r="M146" s="763">
        <v>0.251648823585826</v>
      </c>
      <c r="N146" s="763">
        <v>0.66315446930106614</v>
      </c>
      <c r="O146" s="763">
        <v>0.083931726853539612</v>
      </c>
      <c r="P146" s="763">
        <v>0.064987077284978711</v>
      </c>
      <c r="Q146" s="763">
        <v>0.059030156395869136</v>
      </c>
      <c r="R146" s="763">
        <v>0.04650591547865246</v>
      </c>
      <c r="S146" s="763">
        <v>0.061988145808276392</v>
      </c>
      <c r="T146" s="763">
        <v>0.020402508877617537</v>
      </c>
      <c r="U146" s="763">
        <v>0.68083707460816056</v>
      </c>
      <c r="V146" s="763">
        <v>0.08222251794250264</v>
      </c>
      <c r="W146" s="763">
        <v>0.062427450304192708</v>
      </c>
      <c r="X146" s="763">
        <v>0.055046759839523271</v>
      </c>
      <c r="Y146" s="763">
        <v>0.042593062306604493</v>
      </c>
      <c r="Z146" s="763">
        <v>0.057250700215585905</v>
      </c>
      <c r="AA146" s="763">
        <v>0.019622434783430454</v>
      </c>
      <c r="AB146" s="763">
        <v>0.026789169807552145</v>
      </c>
      <c r="AC146" s="763">
        <v>0.051604347812085172</v>
      </c>
      <c r="AD146" s="763">
        <v>0.071836272055031625</v>
      </c>
      <c r="AE146" s="763">
        <v>0.0057063291879351141</v>
      </c>
      <c r="AF146" s="763">
        <v>0.0098918046015961814</v>
      </c>
      <c r="AG146" s="763">
        <v>0.015989985084383884</v>
      </c>
      <c r="AH146" s="763">
        <v>0.005493666601763523</v>
      </c>
      <c r="AI146" s="763">
        <v>0.35702963161918871</v>
      </c>
      <c r="AJ146" s="763">
        <v>0.40114019255095895</v>
      </c>
      <c r="AK146" s="763">
        <v>0.428390295951133</v>
      </c>
      <c r="AL146" s="763">
        <v>0.49218592793177129</v>
      </c>
      <c r="AM146" s="763">
        <v>0.22556401003758261</v>
      </c>
      <c r="AN146" s="763">
        <v>0.075483439381446513</v>
      </c>
      <c r="AO146" s="764">
        <v>0.10834087739472981</v>
      </c>
      <c r="AP146" s="394"/>
      <c r="AQ146" s="397"/>
      <c r="AR146" s="398"/>
      <c r="AS146" s="398"/>
    </row>
    <row r="147" spans="1:45">
      <c r="A147" s="396">
        <v>928</v>
      </c>
      <c r="B147" s="761" t="s">
        <v>269</v>
      </c>
      <c r="C147" s="762">
        <v>65997</v>
      </c>
      <c r="D147" s="762">
        <v>56887</v>
      </c>
      <c r="E147" s="762">
        <v>40184</v>
      </c>
      <c r="F147" s="762">
        <v>8560</v>
      </c>
      <c r="G147" s="762">
        <v>8323</v>
      </c>
      <c r="H147" s="762">
        <v>8064</v>
      </c>
      <c r="I147" s="762">
        <v>15237</v>
      </c>
      <c r="J147" s="763">
        <v>0.10083791687500948</v>
      </c>
      <c r="K147" s="763">
        <v>0.17390449208929476</v>
      </c>
      <c r="L147" s="763">
        <v>0.098919968146526024</v>
      </c>
      <c r="M147" s="763">
        <v>0.22544260404027588</v>
      </c>
      <c r="N147" s="763">
        <v>0.6422822524549564</v>
      </c>
      <c r="O147" s="763">
        <v>0.082956896451760589</v>
      </c>
      <c r="P147" s="763">
        <v>0.0738157497554037</v>
      </c>
      <c r="Q147" s="763">
        <v>0.081255616852781029</v>
      </c>
      <c r="R147" s="763">
        <v>0.05736619756752704</v>
      </c>
      <c r="S147" s="763">
        <v>0.044732912112284751</v>
      </c>
      <c r="T147" s="763">
        <v>0.0175903748052865</v>
      </c>
      <c r="U147" s="763">
        <v>0.66229298503181555</v>
      </c>
      <c r="V147" s="763">
        <v>0.077189345431323053</v>
      </c>
      <c r="W147" s="763">
        <v>0.06788808103869029</v>
      </c>
      <c r="X147" s="763">
        <v>0.077650638922882168</v>
      </c>
      <c r="Y147" s="763">
        <v>0.052816635137079432</v>
      </c>
      <c r="Z147" s="763">
        <v>0.044900410301089627</v>
      </c>
      <c r="AA147" s="763">
        <v>0.017261904137119876</v>
      </c>
      <c r="AB147" s="763">
        <v>0.038973899276107886</v>
      </c>
      <c r="AC147" s="763">
        <v>0.073211790214200517</v>
      </c>
      <c r="AD147" s="763">
        <v>0.10497628192328953</v>
      </c>
      <c r="AE147" s="763">
        <v>0.009040802069625169</v>
      </c>
      <c r="AF147" s="763">
        <v>0.016411407753974597</v>
      </c>
      <c r="AG147" s="763">
        <v>0.026506145061761344</v>
      </c>
      <c r="AH147" s="763">
        <v>0.0049810729273109811</v>
      </c>
      <c r="AI147" s="763">
        <v>0.3558816499943504</v>
      </c>
      <c r="AJ147" s="763">
        <v>0.38753816712546757</v>
      </c>
      <c r="AK147" s="763">
        <v>0.4307731500149431</v>
      </c>
      <c r="AL147" s="763">
        <v>0.50640342016984119</v>
      </c>
      <c r="AM147" s="763">
        <v>0.21551313773405592</v>
      </c>
      <c r="AN147" s="763">
        <v>0.10073185144779308</v>
      </c>
      <c r="AO147" s="764">
        <v>0.057386024288273975</v>
      </c>
      <c r="AP147" s="394"/>
      <c r="AQ147" s="397"/>
      <c r="AR147" s="398"/>
      <c r="AS147" s="398"/>
    </row>
    <row r="148" spans="1:45">
      <c r="A148" s="396">
        <v>929</v>
      </c>
      <c r="B148" s="761" t="s">
        <v>270</v>
      </c>
      <c r="C148" s="762">
        <v>23375</v>
      </c>
      <c r="D148" s="762">
        <v>20268</v>
      </c>
      <c r="E148" s="762">
        <v>15659</v>
      </c>
      <c r="F148" s="762">
        <v>3246</v>
      </c>
      <c r="G148" s="762">
        <v>3208</v>
      </c>
      <c r="H148" s="762">
        <v>3128</v>
      </c>
      <c r="I148" s="762">
        <v>6077</v>
      </c>
      <c r="J148" s="763">
        <v>0.14887700534759354</v>
      </c>
      <c r="K148" s="763">
        <v>0.22132801146088021</v>
      </c>
      <c r="L148" s="763">
        <v>0.13576856759690908</v>
      </c>
      <c r="M148" s="763">
        <v>0.24819926200594031</v>
      </c>
      <c r="N148" s="763">
        <v>0.5913656126511444</v>
      </c>
      <c r="O148" s="763">
        <v>0.084078740926418066</v>
      </c>
      <c r="P148" s="763">
        <v>0.073404854442017817</v>
      </c>
      <c r="Q148" s="763">
        <v>0.02177233555027409</v>
      </c>
      <c r="R148" s="763">
        <v>0.098366366917219311</v>
      </c>
      <c r="S148" s="763">
        <v>0.10846948570831305</v>
      </c>
      <c r="T148" s="763">
        <v>0.022542603804613235</v>
      </c>
      <c r="U148" s="763">
        <v>0.6237081607160132</v>
      </c>
      <c r="V148" s="763">
        <v>0.085701087669692852</v>
      </c>
      <c r="W148" s="763">
        <v>0.071025288763943234</v>
      </c>
      <c r="X148" s="763">
        <v>0.022767991954882695</v>
      </c>
      <c r="Y148" s="763">
        <v>0.0820447247008845</v>
      </c>
      <c r="Z148" s="763">
        <v>0.094294928405427261</v>
      </c>
      <c r="AA148" s="763">
        <v>0.020457817789156181</v>
      </c>
      <c r="AB148" s="763">
        <v>0.0037178114084904582</v>
      </c>
      <c r="AC148" s="763">
        <v>0.0072497310202662207</v>
      </c>
      <c r="AD148" s="763">
        <v>0.011045923031034396</v>
      </c>
      <c r="AE148" s="763">
        <v>0.0015332673837578487</v>
      </c>
      <c r="AF148" s="763">
        <v>0.0026189050362260776</v>
      </c>
      <c r="AG148" s="763">
        <v>0.00370454268869431</v>
      </c>
      <c r="AH148" s="763">
        <v>0.0056189044189028361</v>
      </c>
      <c r="AI148" s="763">
        <v>0.33061851904130252</v>
      </c>
      <c r="AJ148" s="763">
        <v>0.34305882532805293</v>
      </c>
      <c r="AK148" s="763">
        <v>0.37542737768405704</v>
      </c>
      <c r="AL148" s="763">
        <v>0.42875504569787087</v>
      </c>
      <c r="AM148" s="763">
        <v>0.16804358209240086</v>
      </c>
      <c r="AN148" s="763">
        <v>0.051165775401069521</v>
      </c>
      <c r="AO148" s="764">
        <v>0.12823296506801202</v>
      </c>
      <c r="AP148" s="394"/>
      <c r="AQ148" s="397"/>
      <c r="AR148" s="398"/>
      <c r="AS148" s="398"/>
    </row>
    <row r="149" spans="1:45">
      <c r="A149" s="396">
        <v>931</v>
      </c>
      <c r="B149" s="761" t="s">
        <v>274</v>
      </c>
      <c r="C149" s="762">
        <v>52347</v>
      </c>
      <c r="D149" s="762">
        <v>45029</v>
      </c>
      <c r="E149" s="762">
        <v>32500</v>
      </c>
      <c r="F149" s="762">
        <v>6847</v>
      </c>
      <c r="G149" s="762">
        <v>6707</v>
      </c>
      <c r="H149" s="762">
        <v>6527</v>
      </c>
      <c r="I149" s="762">
        <v>12419</v>
      </c>
      <c r="J149" s="763">
        <v>0.093854471125374914</v>
      </c>
      <c r="K149" s="763">
        <v>0.14723433386296697</v>
      </c>
      <c r="L149" s="763">
        <v>0.081630769230769229</v>
      </c>
      <c r="M149" s="763">
        <v>0.18296189757656878</v>
      </c>
      <c r="N149" s="763">
        <v>0.78525166707632243</v>
      </c>
      <c r="O149" s="763">
        <v>0.087313168275508862</v>
      </c>
      <c r="P149" s="763">
        <v>0.053272105911162465</v>
      </c>
      <c r="Q149" s="763">
        <v>0.031959427314326834</v>
      </c>
      <c r="R149" s="763">
        <v>0.025313893806156978</v>
      </c>
      <c r="S149" s="763">
        <v>0.01688973761652229</v>
      </c>
      <c r="T149" s="763">
        <v>0</v>
      </c>
      <c r="U149" s="763">
        <v>0.79770142753999673</v>
      </c>
      <c r="V149" s="763">
        <v>0.083435799562969176</v>
      </c>
      <c r="W149" s="763">
        <v>0.045154213530461708</v>
      </c>
      <c r="X149" s="763">
        <v>0.03010024857481915</v>
      </c>
      <c r="Y149" s="763">
        <v>0.026957834624429966</v>
      </c>
      <c r="Z149" s="763">
        <v>0.016650476167323295</v>
      </c>
      <c r="AA149" s="763">
        <v>0</v>
      </c>
      <c r="AB149" s="763">
        <v>0.034688682024817855</v>
      </c>
      <c r="AC149" s="763">
        <v>0.063314151898836</v>
      </c>
      <c r="AD149" s="763">
        <v>0.091126758719556764</v>
      </c>
      <c r="AE149" s="763">
        <v>0.0079925755845485762</v>
      </c>
      <c r="AF149" s="763">
        <v>0.017574521214464491</v>
      </c>
      <c r="AG149" s="763">
        <v>0.024913898024526246</v>
      </c>
      <c r="AH149" s="763">
        <v>0.0029605961376353348</v>
      </c>
      <c r="AI149" s="763">
        <v>0.33880984843505307</v>
      </c>
      <c r="AJ149" s="763">
        <v>0.36399059015460344</v>
      </c>
      <c r="AK149" s="763">
        <v>0.39440915124249831</v>
      </c>
      <c r="AL149" s="763">
        <v>0.4880642054800759</v>
      </c>
      <c r="AM149" s="763">
        <v>0.19410511985110146</v>
      </c>
      <c r="AN149" s="763">
        <v>0.080520373660381672</v>
      </c>
      <c r="AO149" s="764">
        <v>0.044553846153846159</v>
      </c>
      <c r="AP149" s="394"/>
      <c r="AQ149" s="397"/>
      <c r="AR149" s="398"/>
      <c r="AS149" s="398"/>
    </row>
    <row r="150" spans="1:45">
      <c r="A150" s="396">
        <v>933</v>
      </c>
      <c r="B150" s="761" t="s">
        <v>292</v>
      </c>
      <c r="C150" s="762">
        <v>41388</v>
      </c>
      <c r="D150" s="762">
        <v>35607</v>
      </c>
      <c r="E150" s="762">
        <v>25507</v>
      </c>
      <c r="F150" s="762">
        <v>5299</v>
      </c>
      <c r="G150" s="762">
        <v>5236</v>
      </c>
      <c r="H150" s="762">
        <v>5090</v>
      </c>
      <c r="I150" s="762">
        <v>9882</v>
      </c>
      <c r="J150" s="763">
        <v>0.13600560548951388</v>
      </c>
      <c r="K150" s="763">
        <v>0.2014203628037036</v>
      </c>
      <c r="L150" s="763">
        <v>0.11777159211196926</v>
      </c>
      <c r="M150" s="763">
        <v>0.2222539871800347</v>
      </c>
      <c r="N150" s="763">
        <v>0.71217689948192164</v>
      </c>
      <c r="O150" s="763">
        <v>0.10647473419596935</v>
      </c>
      <c r="P150" s="763">
        <v>0.0916308700617596</v>
      </c>
      <c r="Q150" s="763">
        <v>0.023002979144719916</v>
      </c>
      <c r="R150" s="763">
        <v>0.02002399852193959</v>
      </c>
      <c r="S150" s="763">
        <v>0.0417373920835904</v>
      </c>
      <c r="T150" s="763">
        <v>0.0049531265100995515</v>
      </c>
      <c r="U150" s="763">
        <v>0.732520636139999</v>
      </c>
      <c r="V150" s="763">
        <v>0.099842866908782954</v>
      </c>
      <c r="W150" s="763">
        <v>0.084721181053865752</v>
      </c>
      <c r="X150" s="763">
        <v>0.021652278185193618</v>
      </c>
      <c r="Y150" s="763">
        <v>0.017802794321087809</v>
      </c>
      <c r="Z150" s="763">
        <v>0.039063717032711651</v>
      </c>
      <c r="AA150" s="763">
        <v>0.0043965263583592</v>
      </c>
      <c r="AB150" s="763">
        <v>0.015943289304047</v>
      </c>
      <c r="AC150" s="763">
        <v>0.031130442279985491</v>
      </c>
      <c r="AD150" s="763">
        <v>0.045612574461344528</v>
      </c>
      <c r="AE150" s="763">
        <v>0.0043935896915154073</v>
      </c>
      <c r="AF150" s="763">
        <v>0.0069435743768404253</v>
      </c>
      <c r="AG150" s="763">
        <v>0.010944867762852938</v>
      </c>
      <c r="AH150" s="763">
        <v>0.0038939309884409908</v>
      </c>
      <c r="AI150" s="763">
        <v>0.33708507727401721</v>
      </c>
      <c r="AJ150" s="763">
        <v>0.38740872632244533</v>
      </c>
      <c r="AK150" s="763">
        <v>0.41204069996049852</v>
      </c>
      <c r="AL150" s="763">
        <v>0.48025342847544439</v>
      </c>
      <c r="AM150" s="763">
        <v>0.20283937895356688</v>
      </c>
      <c r="AN150" s="763">
        <v>0.07229148545472118</v>
      </c>
      <c r="AO150" s="764">
        <v>0.046261810483396712</v>
      </c>
      <c r="AP150" s="394"/>
      <c r="AQ150" s="397"/>
      <c r="AR150" s="398"/>
      <c r="AS150" s="398"/>
    </row>
    <row r="151" spans="1:45">
      <c r="A151" s="396">
        <v>935</v>
      </c>
      <c r="B151" s="761" t="s">
        <v>303</v>
      </c>
      <c r="C151" s="762">
        <v>55925</v>
      </c>
      <c r="D151" s="762">
        <v>48195</v>
      </c>
      <c r="E151" s="762">
        <v>36910</v>
      </c>
      <c r="F151" s="762">
        <v>7651</v>
      </c>
      <c r="G151" s="762">
        <v>7416</v>
      </c>
      <c r="H151" s="762">
        <v>7486</v>
      </c>
      <c r="I151" s="762">
        <v>14357</v>
      </c>
      <c r="J151" s="763">
        <v>0.12688421993741619</v>
      </c>
      <c r="K151" s="763">
        <v>0.20449870168654991</v>
      </c>
      <c r="L151" s="763">
        <v>0.11958818748306689</v>
      </c>
      <c r="M151" s="763">
        <v>0.24122296974739754</v>
      </c>
      <c r="N151" s="763">
        <v>0.7051168651937253</v>
      </c>
      <c r="O151" s="763">
        <v>0.091881977399661238</v>
      </c>
      <c r="P151" s="763">
        <v>0.0561907022084958</v>
      </c>
      <c r="Q151" s="763">
        <v>0.063021475261456614</v>
      </c>
      <c r="R151" s="763">
        <v>0.042201600587302476</v>
      </c>
      <c r="S151" s="763">
        <v>0.033842782380159669</v>
      </c>
      <c r="T151" s="763">
        <v>0.0077445969691990121</v>
      </c>
      <c r="U151" s="763">
        <v>0.73319564515243918</v>
      </c>
      <c r="V151" s="763">
        <v>0.0843945541340855</v>
      </c>
      <c r="W151" s="763">
        <v>0.050806490862356016</v>
      </c>
      <c r="X151" s="763">
        <v>0.05763643999704629</v>
      </c>
      <c r="Y151" s="763">
        <v>0.035358677054377542</v>
      </c>
      <c r="Z151" s="763">
        <v>0.032863195577873275</v>
      </c>
      <c r="AA151" s="763">
        <v>0.0057449972218222263</v>
      </c>
      <c r="AB151" s="763">
        <v>0.021862322843411143</v>
      </c>
      <c r="AC151" s="763">
        <v>0.041206782397915656</v>
      </c>
      <c r="AD151" s="763">
        <v>0.059601537889321377</v>
      </c>
      <c r="AE151" s="763">
        <v>0.0050287436179032663</v>
      </c>
      <c r="AF151" s="763">
        <v>0.0096752812266270721</v>
      </c>
      <c r="AG151" s="763">
        <v>0.015190412652483751</v>
      </c>
      <c r="AH151" s="763">
        <v>0.004975062940500828</v>
      </c>
      <c r="AI151" s="763">
        <v>0.34246008535593075</v>
      </c>
      <c r="AJ151" s="763">
        <v>0.39306964688261076</v>
      </c>
      <c r="AK151" s="763">
        <v>0.42597904472879966</v>
      </c>
      <c r="AL151" s="763">
        <v>0.50740553143136147</v>
      </c>
      <c r="AM151" s="763">
        <v>0.23224324940684335</v>
      </c>
      <c r="AN151" s="763">
        <v>0.13848904783191773</v>
      </c>
      <c r="AO151" s="764">
        <v>0.059875372527770254</v>
      </c>
      <c r="AP151" s="394"/>
      <c r="AQ151" s="397"/>
      <c r="AR151" s="398"/>
      <c r="AS151" s="398"/>
    </row>
    <row r="152" spans="1:45">
      <c r="A152" s="396">
        <v>936</v>
      </c>
      <c r="B152" s="761" t="s">
        <v>305</v>
      </c>
      <c r="C152" s="762">
        <v>89468</v>
      </c>
      <c r="D152" s="762">
        <v>76670</v>
      </c>
      <c r="E152" s="762">
        <v>54329</v>
      </c>
      <c r="F152" s="762">
        <v>11716</v>
      </c>
      <c r="G152" s="762">
        <v>11005</v>
      </c>
      <c r="H152" s="762">
        <v>10727</v>
      </c>
      <c r="I152" s="762">
        <v>20881</v>
      </c>
      <c r="J152" s="763">
        <v>0.083672374480261089</v>
      </c>
      <c r="K152" s="763">
        <v>0.13037781703865159</v>
      </c>
      <c r="L152" s="763">
        <v>0.071748053525741318</v>
      </c>
      <c r="M152" s="763">
        <v>0.16359060216565888</v>
      </c>
      <c r="N152" s="763">
        <v>0.8618245106558361</v>
      </c>
      <c r="O152" s="763">
        <v>0.060833134713627134</v>
      </c>
      <c r="P152" s="763">
        <v>0.046226108568286316</v>
      </c>
      <c r="Q152" s="763">
        <v>0.019045178064095891</v>
      </c>
      <c r="R152" s="763">
        <v>0.0079345471563096685</v>
      </c>
      <c r="S152" s="763">
        <v>0.0041253436611771947</v>
      </c>
      <c r="T152" s="763">
        <v>1.1177180667948318E-05</v>
      </c>
      <c r="U152" s="763">
        <v>0.85654695812289283</v>
      </c>
      <c r="V152" s="763">
        <v>0.062253877943755247</v>
      </c>
      <c r="W152" s="763">
        <v>0.049745429995939859</v>
      </c>
      <c r="X152" s="763">
        <v>0.018838990898523977</v>
      </c>
      <c r="Y152" s="763">
        <v>0.0088946680000918047</v>
      </c>
      <c r="Z152" s="763">
        <v>0.0037016686628275172</v>
      </c>
      <c r="AA152" s="763">
        <v>1.8406375968635537E-05</v>
      </c>
      <c r="AB152" s="763">
        <v>0.030406276637070719</v>
      </c>
      <c r="AC152" s="763">
        <v>0.060214889339337024</v>
      </c>
      <c r="AD152" s="763">
        <v>0.084871897632222359</v>
      </c>
      <c r="AE152" s="763">
        <v>0.0046920192005791483</v>
      </c>
      <c r="AF152" s="763">
        <v>0.010549206861621247</v>
      </c>
      <c r="AG152" s="763">
        <v>0.016699587599582212</v>
      </c>
      <c r="AH152" s="763">
        <v>0.00252108766454529</v>
      </c>
      <c r="AI152" s="763">
        <v>0.29351430532016337</v>
      </c>
      <c r="AJ152" s="763">
        <v>0.30275024542184892</v>
      </c>
      <c r="AK152" s="763">
        <v>0.33099562010403366</v>
      </c>
      <c r="AL152" s="763">
        <v>0.40655191207764679</v>
      </c>
      <c r="AM152" s="763">
        <v>0.15909985725897544</v>
      </c>
      <c r="AN152" s="763">
        <v>0.061005052085661912</v>
      </c>
      <c r="AO152" s="764">
        <v>0.045795063409965212</v>
      </c>
      <c r="AP152" s="394"/>
      <c r="AQ152" s="397"/>
      <c r="AR152" s="398"/>
      <c r="AS152" s="398"/>
    </row>
    <row r="153" spans="1:45">
      <c r="A153" s="396">
        <v>937</v>
      </c>
      <c r="B153" s="761" t="s">
        <v>319</v>
      </c>
      <c r="C153" s="762">
        <v>44638</v>
      </c>
      <c r="D153" s="762">
        <v>38306</v>
      </c>
      <c r="E153" s="762">
        <v>30265</v>
      </c>
      <c r="F153" s="762">
        <v>6425</v>
      </c>
      <c r="G153" s="762">
        <v>6179</v>
      </c>
      <c r="H153" s="762">
        <v>6199</v>
      </c>
      <c r="I153" s="762">
        <v>11462</v>
      </c>
      <c r="J153" s="763">
        <v>0.11496930866078227</v>
      </c>
      <c r="K153" s="763">
        <v>0.16436096186709898</v>
      </c>
      <c r="L153" s="763">
        <v>0.10401453824549814</v>
      </c>
      <c r="M153" s="763">
        <v>0.18945957826626172</v>
      </c>
      <c r="N153" s="763">
        <v>0.73460995127294448</v>
      </c>
      <c r="O153" s="763">
        <v>0.12529222198097581</v>
      </c>
      <c r="P153" s="763">
        <v>0.056024866642675052</v>
      </c>
      <c r="Q153" s="763">
        <v>0.044494843769219264</v>
      </c>
      <c r="R153" s="763">
        <v>0.002086508806087533</v>
      </c>
      <c r="S153" s="763">
        <v>0.019227362625971311</v>
      </c>
      <c r="T153" s="763">
        <v>0.01826424490212666</v>
      </c>
      <c r="U153" s="763">
        <v>0.75092105142786014</v>
      </c>
      <c r="V153" s="763">
        <v>0.11097598684503764</v>
      </c>
      <c r="W153" s="763">
        <v>0.056132983462826018</v>
      </c>
      <c r="X153" s="763">
        <v>0.041150012400746193</v>
      </c>
      <c r="Y153" s="763">
        <v>0.0041052532091309553</v>
      </c>
      <c r="Z153" s="763">
        <v>0.019683699091261622</v>
      </c>
      <c r="AA153" s="763">
        <v>0.017031013563137513</v>
      </c>
      <c r="AB153" s="763">
        <v>0.026866194098469586</v>
      </c>
      <c r="AC153" s="763">
        <v>0.052232883129964644</v>
      </c>
      <c r="AD153" s="763">
        <v>0.0736565007286613</v>
      </c>
      <c r="AE153" s="763">
        <v>0.0048147545462999307</v>
      </c>
      <c r="AF153" s="763">
        <v>0.0094495530514430142</v>
      </c>
      <c r="AG153" s="763">
        <v>0.015660100648443493</v>
      </c>
      <c r="AH153" s="763">
        <v>0.0050752367345427212</v>
      </c>
      <c r="AI153" s="763">
        <v>0.33815288942261018</v>
      </c>
      <c r="AJ153" s="763">
        <v>0.31309203995064239</v>
      </c>
      <c r="AK153" s="763">
        <v>0.35613712676645226</v>
      </c>
      <c r="AL153" s="763">
        <v>0.40753201513748216</v>
      </c>
      <c r="AM153" s="763">
        <v>0.16849879670312107</v>
      </c>
      <c r="AN153" s="763">
        <v>0.0748017384291411</v>
      </c>
      <c r="AO153" s="764">
        <v>0.0654881876755328</v>
      </c>
      <c r="AP153" s="394"/>
      <c r="AQ153" s="397"/>
      <c r="AR153" s="398"/>
      <c r="AS153" s="398"/>
    </row>
    <row r="154" spans="1:45" ht="15.75" thickBot="1">
      <c r="A154" s="399">
        <v>938</v>
      </c>
      <c r="B154" s="765" t="s">
        <v>321</v>
      </c>
      <c r="C154" s="766">
        <v>65168</v>
      </c>
      <c r="D154" s="766">
        <v>56180</v>
      </c>
      <c r="E154" s="766">
        <v>41338</v>
      </c>
      <c r="F154" s="766">
        <v>8674</v>
      </c>
      <c r="G154" s="766">
        <v>8442</v>
      </c>
      <c r="H154" s="766">
        <v>8140</v>
      </c>
      <c r="I154" s="766">
        <v>16082</v>
      </c>
      <c r="J154" s="767">
        <v>0.080223422538669278</v>
      </c>
      <c r="K154" s="767">
        <v>0.14244650642514972</v>
      </c>
      <c r="L154" s="767">
        <v>0.0773864241134065</v>
      </c>
      <c r="M154" s="767">
        <v>0.17860030043679542</v>
      </c>
      <c r="N154" s="767">
        <v>0.77459216863674907</v>
      </c>
      <c r="O154" s="767">
        <v>0.09670603824578014</v>
      </c>
      <c r="P154" s="767">
        <v>0.091996258176123849</v>
      </c>
      <c r="Q154" s="767">
        <v>0.015950318530597651</v>
      </c>
      <c r="R154" s="767">
        <v>0.0073688518974194088</v>
      </c>
      <c r="S154" s="767">
        <v>0.013386364513330081</v>
      </c>
      <c r="T154" s="767">
        <v>0</v>
      </c>
      <c r="U154" s="767">
        <v>0.78629129748652848</v>
      </c>
      <c r="V154" s="767">
        <v>0.095648302438058067</v>
      </c>
      <c r="W154" s="767">
        <v>0.082823704595036615</v>
      </c>
      <c r="X154" s="767">
        <v>0.016010968935317185</v>
      </c>
      <c r="Y154" s="767">
        <v>0.0076034699720905355</v>
      </c>
      <c r="Z154" s="767">
        <v>0.011622256572969069</v>
      </c>
      <c r="AA154" s="767">
        <v>0</v>
      </c>
      <c r="AB154" s="767">
        <v>0.023863362051000252</v>
      </c>
      <c r="AC154" s="767">
        <v>0.046732337576003029</v>
      </c>
      <c r="AD154" s="767">
        <v>0.067632782314970469</v>
      </c>
      <c r="AE154" s="767">
        <v>0.0042879393025051079</v>
      </c>
      <c r="AF154" s="767">
        <v>0.0082376188411681824</v>
      </c>
      <c r="AG154" s="767">
        <v>0.013131604916716607</v>
      </c>
      <c r="AH154" s="767">
        <v>0.0036527232564207749</v>
      </c>
      <c r="AI154" s="767">
        <v>0.34652299986405022</v>
      </c>
      <c r="AJ154" s="767">
        <v>0.37787971330414838</v>
      </c>
      <c r="AK154" s="767">
        <v>0.43833525618037694</v>
      </c>
      <c r="AL154" s="767">
        <v>0.54295646515638</v>
      </c>
      <c r="AM154" s="767">
        <v>0.20797062032744087</v>
      </c>
      <c r="AN154" s="767">
        <v>0.077062361895408785</v>
      </c>
      <c r="AO154" s="768">
        <v>0.047389810827809763</v>
      </c>
      <c r="AP154" s="394"/>
      <c r="AQ154" s="397"/>
      <c r="AR154" s="398"/>
      <c r="AS154" s="398"/>
    </row>
    <row r="155"/>
    <row r="156"/>
    <row r="157"/>
    <row r="158"/>
  </sheetData>
  <sheetProtection algorithmName="SHA-512" hashValue="ZT1fBGwGcTUd/rAD7Le8XkH/CYTE1mvCcNcjsY8H+CXYpWk5zE9YappVkq6KnsUxk8IfFvryczr0dmHr5z56pA==" saltValue="eHb/dXEd47di650H2Pzneg==" spinCount="100000" sheet="1" objects="1" scenarios="1"/>
  <pageMargins left="0.7" right="0.7" top="0.75" bottom="0.75" header="0.3" footer="0.3"/>
  <pageSetup orientation="portrait"/>
  <headerFooter scaleWithDoc="1" alignWithMargins="0" differentFirst="0" differentOddEven="0"/>
  <extLst/>
</worksheet>
</file>

<file path=xl/worksheets/sheet1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2"/>
  <dimension ref="A1:WXF214"/>
  <sheetViews>
    <sheetView showGridLines="0" zoomScale="70" view="normal" workbookViewId="0">
      <selection pane="topLeft" activeCell="K36" sqref="K36"/>
    </sheetView>
  </sheetViews>
  <sheetFormatPr defaultColWidth="0" zeroHeight="true" defaultRowHeight="15"/>
  <cols>
    <col min="1" max="1" width="3.875" style="430" customWidth="1"/>
    <col min="2" max="2" width="17.75390625" style="429" customWidth="1"/>
    <col min="3" max="3" width="12.75390625" style="430" customWidth="1"/>
    <col min="4" max="4" width="45.75390625" style="430" customWidth="1"/>
    <col min="5" max="6" width="16.125" style="430" customWidth="1"/>
    <col min="7" max="7" width="15.75390625" style="430" customWidth="1"/>
    <col min="8" max="9" width="16.125" style="430" customWidth="1"/>
    <col min="10" max="10" width="5.75390625" style="430" customWidth="1"/>
    <col min="11" max="12" width="16.125" style="430" customWidth="1"/>
    <col min="13" max="13" width="5.75390625" style="430" customWidth="1"/>
    <col min="14" max="14" width="10.75390625" style="430" customWidth="1"/>
    <col min="15" max="16" width="19.00390625" style="430" customWidth="1"/>
    <col min="17" max="17" width="20.75390625" style="430" customWidth="1"/>
    <col min="18" max="18" width="7.00390625" style="430" customWidth="1"/>
    <col min="19" max="19" width="4.625" style="430" customWidth="1"/>
    <col min="20" max="20" width="16.00390625" style="430" hidden="1" customWidth="1"/>
    <col min="21" max="21" width="52.00390625" style="430" hidden="1" customWidth="1"/>
    <col min="22" max="24" width="16.25390625" style="430" hidden="1" customWidth="1"/>
    <col min="25" max="34" width="15.75390625" style="430" hidden="1" customWidth="1"/>
    <col min="35" max="35" width="38.75390625" style="430" hidden="1" customWidth="1"/>
    <col min="36" max="41" width="12.75390625" style="430" hidden="1" customWidth="1"/>
    <col min="42" max="42" width="9.125" style="430" hidden="1" customWidth="1"/>
    <col min="43" max="43" width="16.375" style="430" hidden="1" customWidth="1"/>
    <col min="44" max="44" width="38.75390625" style="430" hidden="1" customWidth="1"/>
    <col min="45" max="46" width="12.125" style="430" hidden="1" customWidth="1"/>
    <col min="47" max="47" width="13.75390625" style="430" hidden="1" customWidth="1"/>
    <col min="48" max="48" width="11.00390625" style="430" hidden="1" customWidth="1"/>
    <col min="49" max="49" width="22.625" style="430" hidden="1" customWidth="1"/>
    <col min="50" max="50" width="12.00390625" style="430" hidden="1" customWidth="1"/>
    <col min="51" max="260" width="9.125" style="430" hidden="1" customWidth="1"/>
    <col min="261" max="261" width="3.875" style="430" hidden="1" customWidth="1"/>
    <col min="262" max="262" width="17.75390625" style="430" hidden="1" customWidth="1"/>
    <col min="263" max="263" width="12.75390625" style="430" hidden="1" customWidth="1"/>
    <col min="264" max="264" width="45.75390625" style="430" hidden="1" customWidth="1"/>
    <col min="265" max="270" width="16.125" style="430" hidden="1" customWidth="1"/>
    <col min="271" max="272" width="19.00390625" style="430" hidden="1" customWidth="1"/>
    <col min="273" max="273" width="20.75390625" style="430" hidden="1" customWidth="1"/>
    <col min="274" max="274" width="7.00390625" style="430" hidden="1" customWidth="1"/>
    <col min="275" max="275" width="4.625" style="430" hidden="1" customWidth="1"/>
    <col min="276" max="276" width="16.00390625" style="430" hidden="1" customWidth="1"/>
    <col min="277" max="277" width="52.00390625" style="430" hidden="1" customWidth="1"/>
    <col min="278" max="280" width="16.25390625" style="430" hidden="1" customWidth="1"/>
    <col min="281" max="290" width="15.75390625" style="430" hidden="1" customWidth="1"/>
    <col min="291" max="291" width="38.75390625" style="430" hidden="1" customWidth="1"/>
    <col min="292" max="297" width="12.75390625" style="430" hidden="1" customWidth="1"/>
    <col min="298" max="298" width="9.125" style="430" hidden="1" customWidth="1"/>
    <col min="299" max="299" width="16.375" style="430" hidden="1" customWidth="1"/>
    <col min="300" max="300" width="38.75390625" style="430" hidden="1" customWidth="1"/>
    <col min="301" max="302" width="12.125" style="430" hidden="1" customWidth="1"/>
    <col min="303" max="303" width="13.75390625" style="430" hidden="1" customWidth="1"/>
    <col min="304" max="304" width="11.00390625" style="430" hidden="1" customWidth="1"/>
    <col min="305" max="305" width="22.625" style="430" hidden="1" customWidth="1"/>
    <col min="306" max="306" width="12.00390625" style="430" hidden="1" customWidth="1"/>
    <col min="307" max="516" width="9.125" style="430" hidden="1" customWidth="1"/>
    <col min="517" max="517" width="3.875" style="430" hidden="1" customWidth="1"/>
    <col min="518" max="518" width="17.75390625" style="430" hidden="1" customWidth="1"/>
    <col min="519" max="519" width="12.75390625" style="430" hidden="1" customWidth="1"/>
    <col min="520" max="520" width="45.75390625" style="430" hidden="1" customWidth="1"/>
    <col min="521" max="526" width="16.125" style="430" hidden="1" customWidth="1"/>
    <col min="527" max="528" width="19.00390625" style="430" hidden="1" customWidth="1"/>
    <col min="529" max="529" width="20.75390625" style="430" hidden="1" customWidth="1"/>
    <col min="530" max="530" width="7.00390625" style="430" hidden="1" customWidth="1"/>
    <col min="531" max="531" width="4.625" style="430" hidden="1" customWidth="1"/>
    <col min="532" max="532" width="16.00390625" style="430" hidden="1" customWidth="1"/>
    <col min="533" max="533" width="52.00390625" style="430" hidden="1" customWidth="1"/>
    <col min="534" max="536" width="16.25390625" style="430" hidden="1" customWidth="1"/>
    <col min="537" max="546" width="15.75390625" style="430" hidden="1" customWidth="1"/>
    <col min="547" max="547" width="38.75390625" style="430" hidden="1" customWidth="1"/>
    <col min="548" max="553" width="12.75390625" style="430" hidden="1" customWidth="1"/>
    <col min="554" max="554" width="9.125" style="430" hidden="1" customWidth="1"/>
    <col min="555" max="555" width="16.375" style="430" hidden="1" customWidth="1"/>
    <col min="556" max="556" width="38.75390625" style="430" hidden="1" customWidth="1"/>
    <col min="557" max="558" width="12.125" style="430" hidden="1" customWidth="1"/>
    <col min="559" max="559" width="13.75390625" style="430" hidden="1" customWidth="1"/>
    <col min="560" max="560" width="11.00390625" style="430" hidden="1" customWidth="1"/>
    <col min="561" max="561" width="22.625" style="430" hidden="1" customWidth="1"/>
    <col min="562" max="562" width="12.00390625" style="430" hidden="1" customWidth="1"/>
    <col min="563" max="772" width="9.125" style="430" hidden="1" customWidth="1"/>
    <col min="773" max="773" width="3.875" style="430" hidden="1" customWidth="1"/>
    <col min="774" max="774" width="17.75390625" style="430" hidden="1" customWidth="1"/>
    <col min="775" max="775" width="12.75390625" style="430" hidden="1" customWidth="1"/>
    <col min="776" max="776" width="45.75390625" style="430" hidden="1" customWidth="1"/>
    <col min="777" max="782" width="16.125" style="430" hidden="1" customWidth="1"/>
    <col min="783" max="784" width="19.00390625" style="430" hidden="1" customWidth="1"/>
    <col min="785" max="785" width="20.75390625" style="430" hidden="1" customWidth="1"/>
    <col min="786" max="786" width="7.00390625" style="430" hidden="1" customWidth="1"/>
    <col min="787" max="787" width="4.625" style="430" hidden="1" customWidth="1"/>
    <col min="788" max="788" width="16.00390625" style="430" hidden="1" customWidth="1"/>
    <col min="789" max="789" width="52.00390625" style="430" hidden="1" customWidth="1"/>
    <col min="790" max="792" width="16.25390625" style="430" hidden="1" customWidth="1"/>
    <col min="793" max="802" width="15.75390625" style="430" hidden="1" customWidth="1"/>
    <col min="803" max="803" width="38.75390625" style="430" hidden="1" customWidth="1"/>
    <col min="804" max="809" width="12.75390625" style="430" hidden="1" customWidth="1"/>
    <col min="810" max="810" width="9.125" style="430" hidden="1" customWidth="1"/>
    <col min="811" max="811" width="16.375" style="430" hidden="1" customWidth="1"/>
    <col min="812" max="812" width="38.75390625" style="430" hidden="1" customWidth="1"/>
    <col min="813" max="814" width="12.125" style="430" hidden="1" customWidth="1"/>
    <col min="815" max="815" width="13.75390625" style="430" hidden="1" customWidth="1"/>
    <col min="816" max="816" width="11.00390625" style="430" hidden="1" customWidth="1"/>
    <col min="817" max="817" width="22.625" style="430" hidden="1" customWidth="1"/>
    <col min="818" max="818" width="12.00390625" style="430" hidden="1" customWidth="1"/>
    <col min="819" max="1028" width="9.125" style="430" hidden="1" customWidth="1"/>
    <col min="1029" max="1029" width="3.875" style="430" hidden="1" customWidth="1"/>
    <col min="1030" max="1030" width="17.75390625" style="430" hidden="1" customWidth="1"/>
    <col min="1031" max="1031" width="12.75390625" style="430" hidden="1" customWidth="1"/>
    <col min="1032" max="1032" width="45.75390625" style="430" hidden="1" customWidth="1"/>
    <col min="1033" max="1038" width="16.125" style="430" hidden="1" customWidth="1"/>
    <col min="1039" max="1040" width="19.00390625" style="430" hidden="1" customWidth="1"/>
    <col min="1041" max="1041" width="20.75390625" style="430" hidden="1" customWidth="1"/>
    <col min="1042" max="1042" width="7.00390625" style="430" hidden="1" customWidth="1"/>
    <col min="1043" max="1043" width="4.625" style="430" hidden="1" customWidth="1"/>
    <col min="1044" max="1044" width="16.00390625" style="430" hidden="1" customWidth="1"/>
    <col min="1045" max="1045" width="52.00390625" style="430" hidden="1" customWidth="1"/>
    <col min="1046" max="1048" width="16.25390625" style="430" hidden="1" customWidth="1"/>
    <col min="1049" max="1058" width="15.75390625" style="430" hidden="1" customWidth="1"/>
    <col min="1059" max="1059" width="38.75390625" style="430" hidden="1" customWidth="1"/>
    <col min="1060" max="1065" width="12.75390625" style="430" hidden="1" customWidth="1"/>
    <col min="1066" max="1066" width="9.125" style="430" hidden="1" customWidth="1"/>
    <col min="1067" max="1067" width="16.375" style="430" hidden="1" customWidth="1"/>
    <col min="1068" max="1068" width="38.75390625" style="430" hidden="1" customWidth="1"/>
    <col min="1069" max="1070" width="12.125" style="430" hidden="1" customWidth="1"/>
    <col min="1071" max="1071" width="13.75390625" style="430" hidden="1" customWidth="1"/>
    <col min="1072" max="1072" width="11.00390625" style="430" hidden="1" customWidth="1"/>
    <col min="1073" max="1073" width="22.625" style="430" hidden="1" customWidth="1"/>
    <col min="1074" max="1074" width="12.00390625" style="430" hidden="1" customWidth="1"/>
    <col min="1075" max="1284" width="9.125" style="430" hidden="1" customWidth="1"/>
    <col min="1285" max="1285" width="3.875" style="430" hidden="1" customWidth="1"/>
    <col min="1286" max="1286" width="17.75390625" style="430" hidden="1" customWidth="1"/>
    <col min="1287" max="1287" width="12.75390625" style="430" hidden="1" customWidth="1"/>
    <col min="1288" max="1288" width="45.75390625" style="430" hidden="1" customWidth="1"/>
    <col min="1289" max="1294" width="16.125" style="430" hidden="1" customWidth="1"/>
    <col min="1295" max="1296" width="19.00390625" style="430" hidden="1" customWidth="1"/>
    <col min="1297" max="1297" width="20.75390625" style="430" hidden="1" customWidth="1"/>
    <col min="1298" max="1298" width="7.00390625" style="430" hidden="1" customWidth="1"/>
    <col min="1299" max="1299" width="4.625" style="430" hidden="1" customWidth="1"/>
    <col min="1300" max="1300" width="16.00390625" style="430" hidden="1" customWidth="1"/>
    <col min="1301" max="1301" width="52.00390625" style="430" hidden="1" customWidth="1"/>
    <col min="1302" max="1304" width="16.25390625" style="430" hidden="1" customWidth="1"/>
    <col min="1305" max="1314" width="15.75390625" style="430" hidden="1" customWidth="1"/>
    <col min="1315" max="1315" width="38.75390625" style="430" hidden="1" customWidth="1"/>
    <col min="1316" max="1321" width="12.75390625" style="430" hidden="1" customWidth="1"/>
    <col min="1322" max="1322" width="9.125" style="430" hidden="1" customWidth="1"/>
    <col min="1323" max="1323" width="16.375" style="430" hidden="1" customWidth="1"/>
    <col min="1324" max="1324" width="38.75390625" style="430" hidden="1" customWidth="1"/>
    <col min="1325" max="1326" width="12.125" style="430" hidden="1" customWidth="1"/>
    <col min="1327" max="1327" width="13.75390625" style="430" hidden="1" customWidth="1"/>
    <col min="1328" max="1328" width="11.00390625" style="430" hidden="1" customWidth="1"/>
    <col min="1329" max="1329" width="22.625" style="430" hidden="1" customWidth="1"/>
    <col min="1330" max="1330" width="12.00390625" style="430" hidden="1" customWidth="1"/>
    <col min="1331" max="1540" width="9.125" style="430" hidden="1" customWidth="1"/>
    <col min="1541" max="1541" width="3.875" style="430" hidden="1" customWidth="1"/>
    <col min="1542" max="1542" width="17.75390625" style="430" hidden="1" customWidth="1"/>
    <col min="1543" max="1543" width="12.75390625" style="430" hidden="1" customWidth="1"/>
    <col min="1544" max="1544" width="45.75390625" style="430" hidden="1" customWidth="1"/>
    <col min="1545" max="1550" width="16.125" style="430" hidden="1" customWidth="1"/>
    <col min="1551" max="1552" width="19.00390625" style="430" hidden="1" customWidth="1"/>
    <col min="1553" max="1553" width="20.75390625" style="430" hidden="1" customWidth="1"/>
    <col min="1554" max="1554" width="7.00390625" style="430" hidden="1" customWidth="1"/>
    <col min="1555" max="1555" width="4.625" style="430" hidden="1" customWidth="1"/>
    <col min="1556" max="1556" width="16.00390625" style="430" hidden="1" customWidth="1"/>
    <col min="1557" max="1557" width="52.00390625" style="430" hidden="1" customWidth="1"/>
    <col min="1558" max="1560" width="16.25390625" style="430" hidden="1" customWidth="1"/>
    <col min="1561" max="1570" width="15.75390625" style="430" hidden="1" customWidth="1"/>
    <col min="1571" max="1571" width="38.75390625" style="430" hidden="1" customWidth="1"/>
    <col min="1572" max="1577" width="12.75390625" style="430" hidden="1" customWidth="1"/>
    <col min="1578" max="1578" width="9.125" style="430" hidden="1" customWidth="1"/>
    <col min="1579" max="1579" width="16.375" style="430" hidden="1" customWidth="1"/>
    <col min="1580" max="1580" width="38.75390625" style="430" hidden="1" customWidth="1"/>
    <col min="1581" max="1582" width="12.125" style="430" hidden="1" customWidth="1"/>
    <col min="1583" max="1583" width="13.75390625" style="430" hidden="1" customWidth="1"/>
    <col min="1584" max="1584" width="11.00390625" style="430" hidden="1" customWidth="1"/>
    <col min="1585" max="1585" width="22.625" style="430" hidden="1" customWidth="1"/>
    <col min="1586" max="1586" width="12.00390625" style="430" hidden="1" customWidth="1"/>
    <col min="1587" max="1796" width="9.125" style="430" hidden="1" customWidth="1"/>
    <col min="1797" max="1797" width="3.875" style="430" hidden="1" customWidth="1"/>
    <col min="1798" max="1798" width="17.75390625" style="430" hidden="1" customWidth="1"/>
    <col min="1799" max="1799" width="12.75390625" style="430" hidden="1" customWidth="1"/>
    <col min="1800" max="1800" width="45.75390625" style="430" hidden="1" customWidth="1"/>
    <col min="1801" max="1806" width="16.125" style="430" hidden="1" customWidth="1"/>
    <col min="1807" max="1808" width="19.00390625" style="430" hidden="1" customWidth="1"/>
    <col min="1809" max="1809" width="20.75390625" style="430" hidden="1" customWidth="1"/>
    <col min="1810" max="1810" width="7.00390625" style="430" hidden="1" customWidth="1"/>
    <col min="1811" max="1811" width="4.625" style="430" hidden="1" customWidth="1"/>
    <col min="1812" max="1812" width="16.00390625" style="430" hidden="1" customWidth="1"/>
    <col min="1813" max="1813" width="52.00390625" style="430" hidden="1" customWidth="1"/>
    <col min="1814" max="1816" width="16.25390625" style="430" hidden="1" customWidth="1"/>
    <col min="1817" max="1826" width="15.75390625" style="430" hidden="1" customWidth="1"/>
    <col min="1827" max="1827" width="38.75390625" style="430" hidden="1" customWidth="1"/>
    <col min="1828" max="1833" width="12.75390625" style="430" hidden="1" customWidth="1"/>
    <col min="1834" max="1834" width="9.125" style="430" hidden="1" customWidth="1"/>
    <col min="1835" max="1835" width="16.375" style="430" hidden="1" customWidth="1"/>
    <col min="1836" max="1836" width="38.75390625" style="430" hidden="1" customWidth="1"/>
    <col min="1837" max="1838" width="12.125" style="430" hidden="1" customWidth="1"/>
    <col min="1839" max="1839" width="13.75390625" style="430" hidden="1" customWidth="1"/>
    <col min="1840" max="1840" width="11.00390625" style="430" hidden="1" customWidth="1"/>
    <col min="1841" max="1841" width="22.625" style="430" hidden="1" customWidth="1"/>
    <col min="1842" max="1842" width="12.00390625" style="430" hidden="1" customWidth="1"/>
    <col min="1843" max="2052" width="9.125" style="430" hidden="1" customWidth="1"/>
    <col min="2053" max="2053" width="3.875" style="430" hidden="1" customWidth="1"/>
    <col min="2054" max="2054" width="17.75390625" style="430" hidden="1" customWidth="1"/>
    <col min="2055" max="2055" width="12.75390625" style="430" hidden="1" customWidth="1"/>
    <col min="2056" max="2056" width="45.75390625" style="430" hidden="1" customWidth="1"/>
    <col min="2057" max="2062" width="16.125" style="430" hidden="1" customWidth="1"/>
    <col min="2063" max="2064" width="19.00390625" style="430" hidden="1" customWidth="1"/>
    <col min="2065" max="2065" width="20.75390625" style="430" hidden="1" customWidth="1"/>
    <col min="2066" max="2066" width="7.00390625" style="430" hidden="1" customWidth="1"/>
    <col min="2067" max="2067" width="4.625" style="430" hidden="1" customWidth="1"/>
    <col min="2068" max="2068" width="16.00390625" style="430" hidden="1" customWidth="1"/>
    <col min="2069" max="2069" width="52.00390625" style="430" hidden="1" customWidth="1"/>
    <col min="2070" max="2072" width="16.25390625" style="430" hidden="1" customWidth="1"/>
    <col min="2073" max="2082" width="15.75390625" style="430" hidden="1" customWidth="1"/>
    <col min="2083" max="2083" width="38.75390625" style="430" hidden="1" customWidth="1"/>
    <col min="2084" max="2089" width="12.75390625" style="430" hidden="1" customWidth="1"/>
    <col min="2090" max="2090" width="9.125" style="430" hidden="1" customWidth="1"/>
    <col min="2091" max="2091" width="16.375" style="430" hidden="1" customWidth="1"/>
    <col min="2092" max="2092" width="38.75390625" style="430" hidden="1" customWidth="1"/>
    <col min="2093" max="2094" width="12.125" style="430" hidden="1" customWidth="1"/>
    <col min="2095" max="2095" width="13.75390625" style="430" hidden="1" customWidth="1"/>
    <col min="2096" max="2096" width="11.00390625" style="430" hidden="1" customWidth="1"/>
    <col min="2097" max="2097" width="22.625" style="430" hidden="1" customWidth="1"/>
    <col min="2098" max="2098" width="12.00390625" style="430" hidden="1" customWidth="1"/>
    <col min="2099" max="2308" width="9.125" style="430" hidden="1" customWidth="1"/>
    <col min="2309" max="2309" width="3.875" style="430" hidden="1" customWidth="1"/>
    <col min="2310" max="2310" width="17.75390625" style="430" hidden="1" customWidth="1"/>
    <col min="2311" max="2311" width="12.75390625" style="430" hidden="1" customWidth="1"/>
    <col min="2312" max="2312" width="45.75390625" style="430" hidden="1" customWidth="1"/>
    <col min="2313" max="2318" width="16.125" style="430" hidden="1" customWidth="1"/>
    <col min="2319" max="2320" width="19.00390625" style="430" hidden="1" customWidth="1"/>
    <col min="2321" max="2321" width="20.75390625" style="430" hidden="1" customWidth="1"/>
    <col min="2322" max="2322" width="7.00390625" style="430" hidden="1" customWidth="1"/>
    <col min="2323" max="2323" width="4.625" style="430" hidden="1" customWidth="1"/>
    <col min="2324" max="2324" width="16.00390625" style="430" hidden="1" customWidth="1"/>
    <col min="2325" max="2325" width="52.00390625" style="430" hidden="1" customWidth="1"/>
    <col min="2326" max="2328" width="16.25390625" style="430" hidden="1" customWidth="1"/>
    <col min="2329" max="2338" width="15.75390625" style="430" hidden="1" customWidth="1"/>
    <col min="2339" max="2339" width="38.75390625" style="430" hidden="1" customWidth="1"/>
    <col min="2340" max="2345" width="12.75390625" style="430" hidden="1" customWidth="1"/>
    <col min="2346" max="2346" width="9.125" style="430" hidden="1" customWidth="1"/>
    <col min="2347" max="2347" width="16.375" style="430" hidden="1" customWidth="1"/>
    <col min="2348" max="2348" width="38.75390625" style="430" hidden="1" customWidth="1"/>
    <col min="2349" max="2350" width="12.125" style="430" hidden="1" customWidth="1"/>
    <col min="2351" max="2351" width="13.75390625" style="430" hidden="1" customWidth="1"/>
    <col min="2352" max="2352" width="11.00390625" style="430" hidden="1" customWidth="1"/>
    <col min="2353" max="2353" width="22.625" style="430" hidden="1" customWidth="1"/>
    <col min="2354" max="2354" width="12.00390625" style="430" hidden="1" customWidth="1"/>
    <col min="2355" max="2564" width="9.125" style="430" hidden="1" customWidth="1"/>
    <col min="2565" max="2565" width="3.875" style="430" hidden="1" customWidth="1"/>
    <col min="2566" max="2566" width="17.75390625" style="430" hidden="1" customWidth="1"/>
    <col min="2567" max="2567" width="12.75390625" style="430" hidden="1" customWidth="1"/>
    <col min="2568" max="2568" width="45.75390625" style="430" hidden="1" customWidth="1"/>
    <col min="2569" max="2574" width="16.125" style="430" hidden="1" customWidth="1"/>
    <col min="2575" max="2576" width="19.00390625" style="430" hidden="1" customWidth="1"/>
    <col min="2577" max="2577" width="20.75390625" style="430" hidden="1" customWidth="1"/>
    <col min="2578" max="2578" width="7.00390625" style="430" hidden="1" customWidth="1"/>
    <col min="2579" max="2579" width="4.625" style="430" hidden="1" customWidth="1"/>
    <col min="2580" max="2580" width="16.00390625" style="430" hidden="1" customWidth="1"/>
    <col min="2581" max="2581" width="52.00390625" style="430" hidden="1" customWidth="1"/>
    <col min="2582" max="2584" width="16.25390625" style="430" hidden="1" customWidth="1"/>
    <col min="2585" max="2594" width="15.75390625" style="430" hidden="1" customWidth="1"/>
    <col min="2595" max="2595" width="38.75390625" style="430" hidden="1" customWidth="1"/>
    <col min="2596" max="2601" width="12.75390625" style="430" hidden="1" customWidth="1"/>
    <col min="2602" max="2602" width="9.125" style="430" hidden="1" customWidth="1"/>
    <col min="2603" max="2603" width="16.375" style="430" hidden="1" customWidth="1"/>
    <col min="2604" max="2604" width="38.75390625" style="430" hidden="1" customWidth="1"/>
    <col min="2605" max="2606" width="12.125" style="430" hidden="1" customWidth="1"/>
    <col min="2607" max="2607" width="13.75390625" style="430" hidden="1" customWidth="1"/>
    <col min="2608" max="2608" width="11.00390625" style="430" hidden="1" customWidth="1"/>
    <col min="2609" max="2609" width="22.625" style="430" hidden="1" customWidth="1"/>
    <col min="2610" max="2610" width="12.00390625" style="430" hidden="1" customWidth="1"/>
    <col min="2611" max="2820" width="9.125" style="430" hidden="1" customWidth="1"/>
    <col min="2821" max="2821" width="3.875" style="430" hidden="1" customWidth="1"/>
    <col min="2822" max="2822" width="17.75390625" style="430" hidden="1" customWidth="1"/>
    <col min="2823" max="2823" width="12.75390625" style="430" hidden="1" customWidth="1"/>
    <col min="2824" max="2824" width="45.75390625" style="430" hidden="1" customWidth="1"/>
    <col min="2825" max="2830" width="16.125" style="430" hidden="1" customWidth="1"/>
    <col min="2831" max="2832" width="19.00390625" style="430" hidden="1" customWidth="1"/>
    <col min="2833" max="2833" width="20.75390625" style="430" hidden="1" customWidth="1"/>
    <col min="2834" max="2834" width="7.00390625" style="430" hidden="1" customWidth="1"/>
    <col min="2835" max="2835" width="4.625" style="430" hidden="1" customWidth="1"/>
    <col min="2836" max="2836" width="16.00390625" style="430" hidden="1" customWidth="1"/>
    <col min="2837" max="2837" width="52.00390625" style="430" hidden="1" customWidth="1"/>
    <col min="2838" max="2840" width="16.25390625" style="430" hidden="1" customWidth="1"/>
    <col min="2841" max="2850" width="15.75390625" style="430" hidden="1" customWidth="1"/>
    <col min="2851" max="2851" width="38.75390625" style="430" hidden="1" customWidth="1"/>
    <col min="2852" max="2857" width="12.75390625" style="430" hidden="1" customWidth="1"/>
    <col min="2858" max="2858" width="9.125" style="430" hidden="1" customWidth="1"/>
    <col min="2859" max="2859" width="16.375" style="430" hidden="1" customWidth="1"/>
    <col min="2860" max="2860" width="38.75390625" style="430" hidden="1" customWidth="1"/>
    <col min="2861" max="2862" width="12.125" style="430" hidden="1" customWidth="1"/>
    <col min="2863" max="2863" width="13.75390625" style="430" hidden="1" customWidth="1"/>
    <col min="2864" max="2864" width="11.00390625" style="430" hidden="1" customWidth="1"/>
    <col min="2865" max="2865" width="22.625" style="430" hidden="1" customWidth="1"/>
    <col min="2866" max="2866" width="12.00390625" style="430" hidden="1" customWidth="1"/>
    <col min="2867" max="3076" width="9.125" style="430" hidden="1" customWidth="1"/>
    <col min="3077" max="3077" width="3.875" style="430" hidden="1" customWidth="1"/>
    <col min="3078" max="3078" width="17.75390625" style="430" hidden="1" customWidth="1"/>
    <col min="3079" max="3079" width="12.75390625" style="430" hidden="1" customWidth="1"/>
    <col min="3080" max="3080" width="45.75390625" style="430" hidden="1" customWidth="1"/>
    <col min="3081" max="3086" width="16.125" style="430" hidden="1" customWidth="1"/>
    <col min="3087" max="3088" width="19.00390625" style="430" hidden="1" customWidth="1"/>
    <col min="3089" max="3089" width="20.75390625" style="430" hidden="1" customWidth="1"/>
    <col min="3090" max="3090" width="7.00390625" style="430" hidden="1" customWidth="1"/>
    <col min="3091" max="3091" width="4.625" style="430" hidden="1" customWidth="1"/>
    <col min="3092" max="3092" width="16.00390625" style="430" hidden="1" customWidth="1"/>
    <col min="3093" max="3093" width="52.00390625" style="430" hidden="1" customWidth="1"/>
    <col min="3094" max="3096" width="16.25390625" style="430" hidden="1" customWidth="1"/>
    <col min="3097" max="3106" width="15.75390625" style="430" hidden="1" customWidth="1"/>
    <col min="3107" max="3107" width="38.75390625" style="430" hidden="1" customWidth="1"/>
    <col min="3108" max="3113" width="12.75390625" style="430" hidden="1" customWidth="1"/>
    <col min="3114" max="3114" width="9.125" style="430" hidden="1" customWidth="1"/>
    <col min="3115" max="3115" width="16.375" style="430" hidden="1" customWidth="1"/>
    <col min="3116" max="3116" width="38.75390625" style="430" hidden="1" customWidth="1"/>
    <col min="3117" max="3118" width="12.125" style="430" hidden="1" customWidth="1"/>
    <col min="3119" max="3119" width="13.75390625" style="430" hidden="1" customWidth="1"/>
    <col min="3120" max="3120" width="11.00390625" style="430" hidden="1" customWidth="1"/>
    <col min="3121" max="3121" width="22.625" style="430" hidden="1" customWidth="1"/>
    <col min="3122" max="3122" width="12.00390625" style="430" hidden="1" customWidth="1"/>
    <col min="3123" max="3332" width="9.125" style="430" hidden="1" customWidth="1"/>
    <col min="3333" max="3333" width="3.875" style="430" hidden="1" customWidth="1"/>
    <col min="3334" max="3334" width="17.75390625" style="430" hidden="1" customWidth="1"/>
    <col min="3335" max="3335" width="12.75390625" style="430" hidden="1" customWidth="1"/>
    <col min="3336" max="3336" width="45.75390625" style="430" hidden="1" customWidth="1"/>
    <col min="3337" max="3342" width="16.125" style="430" hidden="1" customWidth="1"/>
    <col min="3343" max="3344" width="19.00390625" style="430" hidden="1" customWidth="1"/>
    <col min="3345" max="3345" width="20.75390625" style="430" hidden="1" customWidth="1"/>
    <col min="3346" max="3346" width="7.00390625" style="430" hidden="1" customWidth="1"/>
    <col min="3347" max="3347" width="4.625" style="430" hidden="1" customWidth="1"/>
    <col min="3348" max="3348" width="16.00390625" style="430" hidden="1" customWidth="1"/>
    <col min="3349" max="3349" width="52.00390625" style="430" hidden="1" customWidth="1"/>
    <col min="3350" max="3352" width="16.25390625" style="430" hidden="1" customWidth="1"/>
    <col min="3353" max="3362" width="15.75390625" style="430" hidden="1" customWidth="1"/>
    <col min="3363" max="3363" width="38.75390625" style="430" hidden="1" customWidth="1"/>
    <col min="3364" max="3369" width="12.75390625" style="430" hidden="1" customWidth="1"/>
    <col min="3370" max="3370" width="9.125" style="430" hidden="1" customWidth="1"/>
    <col min="3371" max="3371" width="16.375" style="430" hidden="1" customWidth="1"/>
    <col min="3372" max="3372" width="38.75390625" style="430" hidden="1" customWidth="1"/>
    <col min="3373" max="3374" width="12.125" style="430" hidden="1" customWidth="1"/>
    <col min="3375" max="3375" width="13.75390625" style="430" hidden="1" customWidth="1"/>
    <col min="3376" max="3376" width="11.00390625" style="430" hidden="1" customWidth="1"/>
    <col min="3377" max="3377" width="22.625" style="430" hidden="1" customWidth="1"/>
    <col min="3378" max="3378" width="12.00390625" style="430" hidden="1" customWidth="1"/>
    <col min="3379" max="3588" width="9.125" style="430" hidden="1" customWidth="1"/>
    <col min="3589" max="3589" width="3.875" style="430" hidden="1" customWidth="1"/>
    <col min="3590" max="3590" width="17.75390625" style="430" hidden="1" customWidth="1"/>
    <col min="3591" max="3591" width="12.75390625" style="430" hidden="1" customWidth="1"/>
    <col min="3592" max="3592" width="45.75390625" style="430" hidden="1" customWidth="1"/>
    <col min="3593" max="3598" width="16.125" style="430" hidden="1" customWidth="1"/>
    <col min="3599" max="3600" width="19.00390625" style="430" hidden="1" customWidth="1"/>
    <col min="3601" max="3601" width="20.75390625" style="430" hidden="1" customWidth="1"/>
    <col min="3602" max="3602" width="7.00390625" style="430" hidden="1" customWidth="1"/>
    <col min="3603" max="3603" width="4.625" style="430" hidden="1" customWidth="1"/>
    <col min="3604" max="3604" width="16.00390625" style="430" hidden="1" customWidth="1"/>
    <col min="3605" max="3605" width="52.00390625" style="430" hidden="1" customWidth="1"/>
    <col min="3606" max="3608" width="16.25390625" style="430" hidden="1" customWidth="1"/>
    <col min="3609" max="3618" width="15.75390625" style="430" hidden="1" customWidth="1"/>
    <col min="3619" max="3619" width="38.75390625" style="430" hidden="1" customWidth="1"/>
    <col min="3620" max="3625" width="12.75390625" style="430" hidden="1" customWidth="1"/>
    <col min="3626" max="3626" width="9.125" style="430" hidden="1" customWidth="1"/>
    <col min="3627" max="3627" width="16.375" style="430" hidden="1" customWidth="1"/>
    <col min="3628" max="3628" width="38.75390625" style="430" hidden="1" customWidth="1"/>
    <col min="3629" max="3630" width="12.125" style="430" hidden="1" customWidth="1"/>
    <col min="3631" max="3631" width="13.75390625" style="430" hidden="1" customWidth="1"/>
    <col min="3632" max="3632" width="11.00390625" style="430" hidden="1" customWidth="1"/>
    <col min="3633" max="3633" width="22.625" style="430" hidden="1" customWidth="1"/>
    <col min="3634" max="3634" width="12.00390625" style="430" hidden="1" customWidth="1"/>
    <col min="3635" max="3844" width="9.125" style="430" hidden="1" customWidth="1"/>
    <col min="3845" max="3845" width="3.875" style="430" hidden="1" customWidth="1"/>
    <col min="3846" max="3846" width="17.75390625" style="430" hidden="1" customWidth="1"/>
    <col min="3847" max="3847" width="12.75390625" style="430" hidden="1" customWidth="1"/>
    <col min="3848" max="3848" width="45.75390625" style="430" hidden="1" customWidth="1"/>
    <col min="3849" max="3854" width="16.125" style="430" hidden="1" customWidth="1"/>
    <col min="3855" max="3856" width="19.00390625" style="430" hidden="1" customWidth="1"/>
    <col min="3857" max="3857" width="20.75390625" style="430" hidden="1" customWidth="1"/>
    <col min="3858" max="3858" width="7.00390625" style="430" hidden="1" customWidth="1"/>
    <col min="3859" max="3859" width="4.625" style="430" hidden="1" customWidth="1"/>
    <col min="3860" max="3860" width="16.00390625" style="430" hidden="1" customWidth="1"/>
    <col min="3861" max="3861" width="52.00390625" style="430" hidden="1" customWidth="1"/>
    <col min="3862" max="3864" width="16.25390625" style="430" hidden="1" customWidth="1"/>
    <col min="3865" max="3874" width="15.75390625" style="430" hidden="1" customWidth="1"/>
    <col min="3875" max="3875" width="38.75390625" style="430" hidden="1" customWidth="1"/>
    <col min="3876" max="3881" width="12.75390625" style="430" hidden="1" customWidth="1"/>
    <col min="3882" max="3882" width="9.125" style="430" hidden="1" customWidth="1"/>
    <col min="3883" max="3883" width="16.375" style="430" hidden="1" customWidth="1"/>
    <col min="3884" max="3884" width="38.75390625" style="430" hidden="1" customWidth="1"/>
    <col min="3885" max="3886" width="12.125" style="430" hidden="1" customWidth="1"/>
    <col min="3887" max="3887" width="13.75390625" style="430" hidden="1" customWidth="1"/>
    <col min="3888" max="3888" width="11.00390625" style="430" hidden="1" customWidth="1"/>
    <col min="3889" max="3889" width="22.625" style="430" hidden="1" customWidth="1"/>
    <col min="3890" max="3890" width="12.00390625" style="430" hidden="1" customWidth="1"/>
    <col min="3891" max="4100" width="9.125" style="430" hidden="1" customWidth="1"/>
    <col min="4101" max="4101" width="3.875" style="430" hidden="1" customWidth="1"/>
    <col min="4102" max="4102" width="17.75390625" style="430" hidden="1" customWidth="1"/>
    <col min="4103" max="4103" width="12.75390625" style="430" hidden="1" customWidth="1"/>
    <col min="4104" max="4104" width="45.75390625" style="430" hidden="1" customWidth="1"/>
    <col min="4105" max="4110" width="16.125" style="430" hidden="1" customWidth="1"/>
    <col min="4111" max="4112" width="19.00390625" style="430" hidden="1" customWidth="1"/>
    <col min="4113" max="4113" width="20.75390625" style="430" hidden="1" customWidth="1"/>
    <col min="4114" max="4114" width="7.00390625" style="430" hidden="1" customWidth="1"/>
    <col min="4115" max="4115" width="4.625" style="430" hidden="1" customWidth="1"/>
    <col min="4116" max="4116" width="16.00390625" style="430" hidden="1" customWidth="1"/>
    <col min="4117" max="4117" width="52.00390625" style="430" hidden="1" customWidth="1"/>
    <col min="4118" max="4120" width="16.25390625" style="430" hidden="1" customWidth="1"/>
    <col min="4121" max="4130" width="15.75390625" style="430" hidden="1" customWidth="1"/>
    <col min="4131" max="4131" width="38.75390625" style="430" hidden="1" customWidth="1"/>
    <col min="4132" max="4137" width="12.75390625" style="430" hidden="1" customWidth="1"/>
    <col min="4138" max="4138" width="9.125" style="430" hidden="1" customWidth="1"/>
    <col min="4139" max="4139" width="16.375" style="430" hidden="1" customWidth="1"/>
    <col min="4140" max="4140" width="38.75390625" style="430" hidden="1" customWidth="1"/>
    <col min="4141" max="4142" width="12.125" style="430" hidden="1" customWidth="1"/>
    <col min="4143" max="4143" width="13.75390625" style="430" hidden="1" customWidth="1"/>
    <col min="4144" max="4144" width="11.00390625" style="430" hidden="1" customWidth="1"/>
    <col min="4145" max="4145" width="22.625" style="430" hidden="1" customWidth="1"/>
    <col min="4146" max="4146" width="12.00390625" style="430" hidden="1" customWidth="1"/>
    <col min="4147" max="4356" width="9.125" style="430" hidden="1" customWidth="1"/>
    <col min="4357" max="4357" width="3.875" style="430" hidden="1" customWidth="1"/>
    <col min="4358" max="4358" width="17.75390625" style="430" hidden="1" customWidth="1"/>
    <col min="4359" max="4359" width="12.75390625" style="430" hidden="1" customWidth="1"/>
    <col min="4360" max="4360" width="45.75390625" style="430" hidden="1" customWidth="1"/>
    <col min="4361" max="4366" width="16.125" style="430" hidden="1" customWidth="1"/>
    <col min="4367" max="4368" width="19.00390625" style="430" hidden="1" customWidth="1"/>
    <col min="4369" max="4369" width="20.75390625" style="430" hidden="1" customWidth="1"/>
    <col min="4370" max="4370" width="7.00390625" style="430" hidden="1" customWidth="1"/>
    <col min="4371" max="4371" width="4.625" style="430" hidden="1" customWidth="1"/>
    <col min="4372" max="4372" width="16.00390625" style="430" hidden="1" customWidth="1"/>
    <col min="4373" max="4373" width="52.00390625" style="430" hidden="1" customWidth="1"/>
    <col min="4374" max="4376" width="16.25390625" style="430" hidden="1" customWidth="1"/>
    <col min="4377" max="4386" width="15.75390625" style="430" hidden="1" customWidth="1"/>
    <col min="4387" max="4387" width="38.75390625" style="430" hidden="1" customWidth="1"/>
    <col min="4388" max="4393" width="12.75390625" style="430" hidden="1" customWidth="1"/>
    <col min="4394" max="4394" width="9.125" style="430" hidden="1" customWidth="1"/>
    <col min="4395" max="4395" width="16.375" style="430" hidden="1" customWidth="1"/>
    <col min="4396" max="4396" width="38.75390625" style="430" hidden="1" customWidth="1"/>
    <col min="4397" max="4398" width="12.125" style="430" hidden="1" customWidth="1"/>
    <col min="4399" max="4399" width="13.75390625" style="430" hidden="1" customWidth="1"/>
    <col min="4400" max="4400" width="11.00390625" style="430" hidden="1" customWidth="1"/>
    <col min="4401" max="4401" width="22.625" style="430" hidden="1" customWidth="1"/>
    <col min="4402" max="4402" width="12.00390625" style="430" hidden="1" customWidth="1"/>
    <col min="4403" max="4612" width="9.125" style="430" hidden="1" customWidth="1"/>
    <col min="4613" max="4613" width="3.875" style="430" hidden="1" customWidth="1"/>
    <col min="4614" max="4614" width="17.75390625" style="430" hidden="1" customWidth="1"/>
    <col min="4615" max="4615" width="12.75390625" style="430" hidden="1" customWidth="1"/>
    <col min="4616" max="4616" width="45.75390625" style="430" hidden="1" customWidth="1"/>
    <col min="4617" max="4622" width="16.125" style="430" hidden="1" customWidth="1"/>
    <col min="4623" max="4624" width="19.00390625" style="430" hidden="1" customWidth="1"/>
    <col min="4625" max="4625" width="20.75390625" style="430" hidden="1" customWidth="1"/>
    <col min="4626" max="4626" width="7.00390625" style="430" hidden="1" customWidth="1"/>
    <col min="4627" max="4627" width="4.625" style="430" hidden="1" customWidth="1"/>
    <col min="4628" max="4628" width="16.00390625" style="430" hidden="1" customWidth="1"/>
    <col min="4629" max="4629" width="52.00390625" style="430" hidden="1" customWidth="1"/>
    <col min="4630" max="4632" width="16.25390625" style="430" hidden="1" customWidth="1"/>
    <col min="4633" max="4642" width="15.75390625" style="430" hidden="1" customWidth="1"/>
    <col min="4643" max="4643" width="38.75390625" style="430" hidden="1" customWidth="1"/>
    <col min="4644" max="4649" width="12.75390625" style="430" hidden="1" customWidth="1"/>
    <col min="4650" max="4650" width="9.125" style="430" hidden="1" customWidth="1"/>
    <col min="4651" max="4651" width="16.375" style="430" hidden="1" customWidth="1"/>
    <col min="4652" max="4652" width="38.75390625" style="430" hidden="1" customWidth="1"/>
    <col min="4653" max="4654" width="12.125" style="430" hidden="1" customWidth="1"/>
    <col min="4655" max="4655" width="13.75390625" style="430" hidden="1" customWidth="1"/>
    <col min="4656" max="4656" width="11.00390625" style="430" hidden="1" customWidth="1"/>
    <col min="4657" max="4657" width="22.625" style="430" hidden="1" customWidth="1"/>
    <col min="4658" max="4658" width="12.00390625" style="430" hidden="1" customWidth="1"/>
    <col min="4659" max="4868" width="9.125" style="430" hidden="1" customWidth="1"/>
    <col min="4869" max="4869" width="3.875" style="430" hidden="1" customWidth="1"/>
    <col min="4870" max="4870" width="17.75390625" style="430" hidden="1" customWidth="1"/>
    <col min="4871" max="4871" width="12.75390625" style="430" hidden="1" customWidth="1"/>
    <col min="4872" max="4872" width="45.75390625" style="430" hidden="1" customWidth="1"/>
    <col min="4873" max="4878" width="16.125" style="430" hidden="1" customWidth="1"/>
    <col min="4879" max="4880" width="19.00390625" style="430" hidden="1" customWidth="1"/>
    <col min="4881" max="4881" width="20.75390625" style="430" hidden="1" customWidth="1"/>
    <col min="4882" max="4882" width="7.00390625" style="430" hidden="1" customWidth="1"/>
    <col min="4883" max="4883" width="4.625" style="430" hidden="1" customWidth="1"/>
    <col min="4884" max="4884" width="16.00390625" style="430" hidden="1" customWidth="1"/>
    <col min="4885" max="4885" width="52.00390625" style="430" hidden="1" customWidth="1"/>
    <col min="4886" max="4888" width="16.25390625" style="430" hidden="1" customWidth="1"/>
    <col min="4889" max="4898" width="15.75390625" style="430" hidden="1" customWidth="1"/>
    <col min="4899" max="4899" width="38.75390625" style="430" hidden="1" customWidth="1"/>
    <col min="4900" max="4905" width="12.75390625" style="430" hidden="1" customWidth="1"/>
    <col min="4906" max="4906" width="9.125" style="430" hidden="1" customWidth="1"/>
    <col min="4907" max="4907" width="16.375" style="430" hidden="1" customWidth="1"/>
    <col min="4908" max="4908" width="38.75390625" style="430" hidden="1" customWidth="1"/>
    <col min="4909" max="4910" width="12.125" style="430" hidden="1" customWidth="1"/>
    <col min="4911" max="4911" width="13.75390625" style="430" hidden="1" customWidth="1"/>
    <col min="4912" max="4912" width="11.00390625" style="430" hidden="1" customWidth="1"/>
    <col min="4913" max="4913" width="22.625" style="430" hidden="1" customWidth="1"/>
    <col min="4914" max="4914" width="12.00390625" style="430" hidden="1" customWidth="1"/>
    <col min="4915" max="5124" width="9.125" style="430" hidden="1" customWidth="1"/>
    <col min="5125" max="5125" width="3.875" style="430" hidden="1" customWidth="1"/>
    <col min="5126" max="5126" width="17.75390625" style="430" hidden="1" customWidth="1"/>
    <col min="5127" max="5127" width="12.75390625" style="430" hidden="1" customWidth="1"/>
    <col min="5128" max="5128" width="45.75390625" style="430" hidden="1" customWidth="1"/>
    <col min="5129" max="5134" width="16.125" style="430" hidden="1" customWidth="1"/>
    <col min="5135" max="5136" width="19.00390625" style="430" hidden="1" customWidth="1"/>
    <col min="5137" max="5137" width="20.75390625" style="430" hidden="1" customWidth="1"/>
    <col min="5138" max="5138" width="7.00390625" style="430" hidden="1" customWidth="1"/>
    <col min="5139" max="5139" width="4.625" style="430" hidden="1" customWidth="1"/>
    <col min="5140" max="5140" width="16.00390625" style="430" hidden="1" customWidth="1"/>
    <col min="5141" max="5141" width="52.00390625" style="430" hidden="1" customWidth="1"/>
    <col min="5142" max="5144" width="16.25390625" style="430" hidden="1" customWidth="1"/>
    <col min="5145" max="5154" width="15.75390625" style="430" hidden="1" customWidth="1"/>
    <col min="5155" max="5155" width="38.75390625" style="430" hidden="1" customWidth="1"/>
    <col min="5156" max="5161" width="12.75390625" style="430" hidden="1" customWidth="1"/>
    <col min="5162" max="5162" width="9.125" style="430" hidden="1" customWidth="1"/>
    <col min="5163" max="5163" width="16.375" style="430" hidden="1" customWidth="1"/>
    <col min="5164" max="5164" width="38.75390625" style="430" hidden="1" customWidth="1"/>
    <col min="5165" max="5166" width="12.125" style="430" hidden="1" customWidth="1"/>
    <col min="5167" max="5167" width="13.75390625" style="430" hidden="1" customWidth="1"/>
    <col min="5168" max="5168" width="11.00390625" style="430" hidden="1" customWidth="1"/>
    <col min="5169" max="5169" width="22.625" style="430" hidden="1" customWidth="1"/>
    <col min="5170" max="5170" width="12.00390625" style="430" hidden="1" customWidth="1"/>
    <col min="5171" max="5380" width="9.125" style="430" hidden="1" customWidth="1"/>
    <col min="5381" max="5381" width="3.875" style="430" hidden="1" customWidth="1"/>
    <col min="5382" max="5382" width="17.75390625" style="430" hidden="1" customWidth="1"/>
    <col min="5383" max="5383" width="12.75390625" style="430" hidden="1" customWidth="1"/>
    <col min="5384" max="5384" width="45.75390625" style="430" hidden="1" customWidth="1"/>
    <col min="5385" max="5390" width="16.125" style="430" hidden="1" customWidth="1"/>
    <col min="5391" max="5392" width="19.00390625" style="430" hidden="1" customWidth="1"/>
    <col min="5393" max="5393" width="20.75390625" style="430" hidden="1" customWidth="1"/>
    <col min="5394" max="5394" width="7.00390625" style="430" hidden="1" customWidth="1"/>
    <col min="5395" max="5395" width="4.625" style="430" hidden="1" customWidth="1"/>
    <col min="5396" max="5396" width="16.00390625" style="430" hidden="1" customWidth="1"/>
    <col min="5397" max="5397" width="52.00390625" style="430" hidden="1" customWidth="1"/>
    <col min="5398" max="5400" width="16.25390625" style="430" hidden="1" customWidth="1"/>
    <col min="5401" max="5410" width="15.75390625" style="430" hidden="1" customWidth="1"/>
    <col min="5411" max="5411" width="38.75390625" style="430" hidden="1" customWidth="1"/>
    <col min="5412" max="5417" width="12.75390625" style="430" hidden="1" customWidth="1"/>
    <col min="5418" max="5418" width="9.125" style="430" hidden="1" customWidth="1"/>
    <col min="5419" max="5419" width="16.375" style="430" hidden="1" customWidth="1"/>
    <col min="5420" max="5420" width="38.75390625" style="430" hidden="1" customWidth="1"/>
    <col min="5421" max="5422" width="12.125" style="430" hidden="1" customWidth="1"/>
    <col min="5423" max="5423" width="13.75390625" style="430" hidden="1" customWidth="1"/>
    <col min="5424" max="5424" width="11.00390625" style="430" hidden="1" customWidth="1"/>
    <col min="5425" max="5425" width="22.625" style="430" hidden="1" customWidth="1"/>
    <col min="5426" max="5426" width="12.00390625" style="430" hidden="1" customWidth="1"/>
    <col min="5427" max="5636" width="9.125" style="430" hidden="1" customWidth="1"/>
    <col min="5637" max="5637" width="3.875" style="430" hidden="1" customWidth="1"/>
    <col min="5638" max="5638" width="17.75390625" style="430" hidden="1" customWidth="1"/>
    <col min="5639" max="5639" width="12.75390625" style="430" hidden="1" customWidth="1"/>
    <col min="5640" max="5640" width="45.75390625" style="430" hidden="1" customWidth="1"/>
    <col min="5641" max="5646" width="16.125" style="430" hidden="1" customWidth="1"/>
    <col min="5647" max="5648" width="19.00390625" style="430" hidden="1" customWidth="1"/>
    <col min="5649" max="5649" width="20.75390625" style="430" hidden="1" customWidth="1"/>
    <col min="5650" max="5650" width="7.00390625" style="430" hidden="1" customWidth="1"/>
    <col min="5651" max="5651" width="4.625" style="430" hidden="1" customWidth="1"/>
    <col min="5652" max="5652" width="16.00390625" style="430" hidden="1" customWidth="1"/>
    <col min="5653" max="5653" width="52.00390625" style="430" hidden="1" customWidth="1"/>
    <col min="5654" max="5656" width="16.25390625" style="430" hidden="1" customWidth="1"/>
    <col min="5657" max="5666" width="15.75390625" style="430" hidden="1" customWidth="1"/>
    <col min="5667" max="5667" width="38.75390625" style="430" hidden="1" customWidth="1"/>
    <col min="5668" max="5673" width="12.75390625" style="430" hidden="1" customWidth="1"/>
    <col min="5674" max="5674" width="9.125" style="430" hidden="1" customWidth="1"/>
    <col min="5675" max="5675" width="16.375" style="430" hidden="1" customWidth="1"/>
    <col min="5676" max="5676" width="38.75390625" style="430" hidden="1" customWidth="1"/>
    <col min="5677" max="5678" width="12.125" style="430" hidden="1" customWidth="1"/>
    <col min="5679" max="5679" width="13.75390625" style="430" hidden="1" customWidth="1"/>
    <col min="5680" max="5680" width="11.00390625" style="430" hidden="1" customWidth="1"/>
    <col min="5681" max="5681" width="22.625" style="430" hidden="1" customWidth="1"/>
    <col min="5682" max="5682" width="12.00390625" style="430" hidden="1" customWidth="1"/>
    <col min="5683" max="5892" width="9.125" style="430" hidden="1" customWidth="1"/>
    <col min="5893" max="5893" width="3.875" style="430" hidden="1" customWidth="1"/>
    <col min="5894" max="5894" width="17.75390625" style="430" hidden="1" customWidth="1"/>
    <col min="5895" max="5895" width="12.75390625" style="430" hidden="1" customWidth="1"/>
    <col min="5896" max="5896" width="45.75390625" style="430" hidden="1" customWidth="1"/>
    <col min="5897" max="5902" width="16.125" style="430" hidden="1" customWidth="1"/>
    <col min="5903" max="5904" width="19.00390625" style="430" hidden="1" customWidth="1"/>
    <col min="5905" max="5905" width="20.75390625" style="430" hidden="1" customWidth="1"/>
    <col min="5906" max="5906" width="7.00390625" style="430" hidden="1" customWidth="1"/>
    <col min="5907" max="5907" width="4.625" style="430" hidden="1" customWidth="1"/>
    <col min="5908" max="5908" width="16.00390625" style="430" hidden="1" customWidth="1"/>
    <col min="5909" max="5909" width="52.00390625" style="430" hidden="1" customWidth="1"/>
    <col min="5910" max="5912" width="16.25390625" style="430" hidden="1" customWidth="1"/>
    <col min="5913" max="5922" width="15.75390625" style="430" hidden="1" customWidth="1"/>
    <col min="5923" max="5923" width="38.75390625" style="430" hidden="1" customWidth="1"/>
    <col min="5924" max="5929" width="12.75390625" style="430" hidden="1" customWidth="1"/>
    <col min="5930" max="5930" width="9.125" style="430" hidden="1" customWidth="1"/>
    <col min="5931" max="5931" width="16.375" style="430" hidden="1" customWidth="1"/>
    <col min="5932" max="5932" width="38.75390625" style="430" hidden="1" customWidth="1"/>
    <col min="5933" max="5934" width="12.125" style="430" hidden="1" customWidth="1"/>
    <col min="5935" max="5935" width="13.75390625" style="430" hidden="1" customWidth="1"/>
    <col min="5936" max="5936" width="11.00390625" style="430" hidden="1" customWidth="1"/>
    <col min="5937" max="5937" width="22.625" style="430" hidden="1" customWidth="1"/>
    <col min="5938" max="5938" width="12.00390625" style="430" hidden="1" customWidth="1"/>
    <col min="5939" max="6148" width="9.125" style="430" hidden="1" customWidth="1"/>
    <col min="6149" max="6149" width="3.875" style="430" hidden="1" customWidth="1"/>
    <col min="6150" max="6150" width="17.75390625" style="430" hidden="1" customWidth="1"/>
    <col min="6151" max="6151" width="12.75390625" style="430" hidden="1" customWidth="1"/>
    <col min="6152" max="6152" width="45.75390625" style="430" hidden="1" customWidth="1"/>
    <col min="6153" max="6158" width="16.125" style="430" hidden="1" customWidth="1"/>
    <col min="6159" max="6160" width="19.00390625" style="430" hidden="1" customWidth="1"/>
    <col min="6161" max="6161" width="20.75390625" style="430" hidden="1" customWidth="1"/>
    <col min="6162" max="6162" width="7.00390625" style="430" hidden="1" customWidth="1"/>
    <col min="6163" max="6163" width="4.625" style="430" hidden="1" customWidth="1"/>
    <col min="6164" max="6164" width="16.00390625" style="430" hidden="1" customWidth="1"/>
    <col min="6165" max="6165" width="52.00390625" style="430" hidden="1" customWidth="1"/>
    <col min="6166" max="6168" width="16.25390625" style="430" hidden="1" customWidth="1"/>
    <col min="6169" max="6178" width="15.75390625" style="430" hidden="1" customWidth="1"/>
    <col min="6179" max="6179" width="38.75390625" style="430" hidden="1" customWidth="1"/>
    <col min="6180" max="6185" width="12.75390625" style="430" hidden="1" customWidth="1"/>
    <col min="6186" max="6186" width="9.125" style="430" hidden="1" customWidth="1"/>
    <col min="6187" max="6187" width="16.375" style="430" hidden="1" customWidth="1"/>
    <col min="6188" max="6188" width="38.75390625" style="430" hidden="1" customWidth="1"/>
    <col min="6189" max="6190" width="12.125" style="430" hidden="1" customWidth="1"/>
    <col min="6191" max="6191" width="13.75390625" style="430" hidden="1" customWidth="1"/>
    <col min="6192" max="6192" width="11.00390625" style="430" hidden="1" customWidth="1"/>
    <col min="6193" max="6193" width="22.625" style="430" hidden="1" customWidth="1"/>
    <col min="6194" max="6194" width="12.00390625" style="430" hidden="1" customWidth="1"/>
    <col min="6195" max="6404" width="9.125" style="430" hidden="1" customWidth="1"/>
    <col min="6405" max="6405" width="3.875" style="430" hidden="1" customWidth="1"/>
    <col min="6406" max="6406" width="17.75390625" style="430" hidden="1" customWidth="1"/>
    <col min="6407" max="6407" width="12.75390625" style="430" hidden="1" customWidth="1"/>
    <col min="6408" max="6408" width="45.75390625" style="430" hidden="1" customWidth="1"/>
    <col min="6409" max="6414" width="16.125" style="430" hidden="1" customWidth="1"/>
    <col min="6415" max="6416" width="19.00390625" style="430" hidden="1" customWidth="1"/>
    <col min="6417" max="6417" width="20.75390625" style="430" hidden="1" customWidth="1"/>
    <col min="6418" max="6418" width="7.00390625" style="430" hidden="1" customWidth="1"/>
    <col min="6419" max="6419" width="4.625" style="430" hidden="1" customWidth="1"/>
    <col min="6420" max="6420" width="16.00390625" style="430" hidden="1" customWidth="1"/>
    <col min="6421" max="6421" width="52.00390625" style="430" hidden="1" customWidth="1"/>
    <col min="6422" max="6424" width="16.25390625" style="430" hidden="1" customWidth="1"/>
    <col min="6425" max="6434" width="15.75390625" style="430" hidden="1" customWidth="1"/>
    <col min="6435" max="6435" width="38.75390625" style="430" hidden="1" customWidth="1"/>
    <col min="6436" max="6441" width="12.75390625" style="430" hidden="1" customWidth="1"/>
    <col min="6442" max="6442" width="9.125" style="430" hidden="1" customWidth="1"/>
    <col min="6443" max="6443" width="16.375" style="430" hidden="1" customWidth="1"/>
    <col min="6444" max="6444" width="38.75390625" style="430" hidden="1" customWidth="1"/>
    <col min="6445" max="6446" width="12.125" style="430" hidden="1" customWidth="1"/>
    <col min="6447" max="6447" width="13.75390625" style="430" hidden="1" customWidth="1"/>
    <col min="6448" max="6448" width="11.00390625" style="430" hidden="1" customWidth="1"/>
    <col min="6449" max="6449" width="22.625" style="430" hidden="1" customWidth="1"/>
    <col min="6450" max="6450" width="12.00390625" style="430" hidden="1" customWidth="1"/>
    <col min="6451" max="6660" width="9.125" style="430" hidden="1" customWidth="1"/>
    <col min="6661" max="6661" width="3.875" style="430" hidden="1" customWidth="1"/>
    <col min="6662" max="6662" width="17.75390625" style="430" hidden="1" customWidth="1"/>
    <col min="6663" max="6663" width="12.75390625" style="430" hidden="1" customWidth="1"/>
    <col min="6664" max="6664" width="45.75390625" style="430" hidden="1" customWidth="1"/>
    <col min="6665" max="6670" width="16.125" style="430" hidden="1" customWidth="1"/>
    <col min="6671" max="6672" width="19.00390625" style="430" hidden="1" customWidth="1"/>
    <col min="6673" max="6673" width="20.75390625" style="430" hidden="1" customWidth="1"/>
    <col min="6674" max="6674" width="7.00390625" style="430" hidden="1" customWidth="1"/>
    <col min="6675" max="6675" width="4.625" style="430" hidden="1" customWidth="1"/>
    <col min="6676" max="6676" width="16.00390625" style="430" hidden="1" customWidth="1"/>
    <col min="6677" max="6677" width="52.00390625" style="430" hidden="1" customWidth="1"/>
    <col min="6678" max="6680" width="16.25390625" style="430" hidden="1" customWidth="1"/>
    <col min="6681" max="6690" width="15.75390625" style="430" hidden="1" customWidth="1"/>
    <col min="6691" max="6691" width="38.75390625" style="430" hidden="1" customWidth="1"/>
    <col min="6692" max="6697" width="12.75390625" style="430" hidden="1" customWidth="1"/>
    <col min="6698" max="6698" width="9.125" style="430" hidden="1" customWidth="1"/>
    <col min="6699" max="6699" width="16.375" style="430" hidden="1" customWidth="1"/>
    <col min="6700" max="6700" width="38.75390625" style="430" hidden="1" customWidth="1"/>
    <col min="6701" max="6702" width="12.125" style="430" hidden="1" customWidth="1"/>
    <col min="6703" max="6703" width="13.75390625" style="430" hidden="1" customWidth="1"/>
    <col min="6704" max="6704" width="11.00390625" style="430" hidden="1" customWidth="1"/>
    <col min="6705" max="6705" width="22.625" style="430" hidden="1" customWidth="1"/>
    <col min="6706" max="6706" width="12.00390625" style="430" hidden="1" customWidth="1"/>
    <col min="6707" max="6916" width="9.125" style="430" hidden="1" customWidth="1"/>
    <col min="6917" max="6917" width="3.875" style="430" hidden="1" customWidth="1"/>
    <col min="6918" max="6918" width="17.75390625" style="430" hidden="1" customWidth="1"/>
    <col min="6919" max="6919" width="12.75390625" style="430" hidden="1" customWidth="1"/>
    <col min="6920" max="6920" width="45.75390625" style="430" hidden="1" customWidth="1"/>
    <col min="6921" max="6926" width="16.125" style="430" hidden="1" customWidth="1"/>
    <col min="6927" max="6928" width="19.00390625" style="430" hidden="1" customWidth="1"/>
    <col min="6929" max="6929" width="20.75390625" style="430" hidden="1" customWidth="1"/>
    <col min="6930" max="6930" width="7.00390625" style="430" hidden="1" customWidth="1"/>
    <col min="6931" max="6931" width="4.625" style="430" hidden="1" customWidth="1"/>
    <col min="6932" max="6932" width="16.00390625" style="430" hidden="1" customWidth="1"/>
    <col min="6933" max="6933" width="52.00390625" style="430" hidden="1" customWidth="1"/>
    <col min="6934" max="6936" width="16.25390625" style="430" hidden="1" customWidth="1"/>
    <col min="6937" max="6946" width="15.75390625" style="430" hidden="1" customWidth="1"/>
    <col min="6947" max="6947" width="38.75390625" style="430" hidden="1" customWidth="1"/>
    <col min="6948" max="6953" width="12.75390625" style="430" hidden="1" customWidth="1"/>
    <col min="6954" max="6954" width="9.125" style="430" hidden="1" customWidth="1"/>
    <col min="6955" max="6955" width="16.375" style="430" hidden="1" customWidth="1"/>
    <col min="6956" max="6956" width="38.75390625" style="430" hidden="1" customWidth="1"/>
    <col min="6957" max="6958" width="12.125" style="430" hidden="1" customWidth="1"/>
    <col min="6959" max="6959" width="13.75390625" style="430" hidden="1" customWidth="1"/>
    <col min="6960" max="6960" width="11.00390625" style="430" hidden="1" customWidth="1"/>
    <col min="6961" max="6961" width="22.625" style="430" hidden="1" customWidth="1"/>
    <col min="6962" max="6962" width="12.00390625" style="430" hidden="1" customWidth="1"/>
    <col min="6963" max="7172" width="9.125" style="430" hidden="1" customWidth="1"/>
    <col min="7173" max="7173" width="3.875" style="430" hidden="1" customWidth="1"/>
    <col min="7174" max="7174" width="17.75390625" style="430" hidden="1" customWidth="1"/>
    <col min="7175" max="7175" width="12.75390625" style="430" hidden="1" customWidth="1"/>
    <col min="7176" max="7176" width="45.75390625" style="430" hidden="1" customWidth="1"/>
    <col min="7177" max="7182" width="16.125" style="430" hidden="1" customWidth="1"/>
    <col min="7183" max="7184" width="19.00390625" style="430" hidden="1" customWidth="1"/>
    <col min="7185" max="7185" width="20.75390625" style="430" hidden="1" customWidth="1"/>
    <col min="7186" max="7186" width="7.00390625" style="430" hidden="1" customWidth="1"/>
    <col min="7187" max="7187" width="4.625" style="430" hidden="1" customWidth="1"/>
    <col min="7188" max="7188" width="16.00390625" style="430" hidden="1" customWidth="1"/>
    <col min="7189" max="7189" width="52.00390625" style="430" hidden="1" customWidth="1"/>
    <col min="7190" max="7192" width="16.25390625" style="430" hidden="1" customWidth="1"/>
    <col min="7193" max="7202" width="15.75390625" style="430" hidden="1" customWidth="1"/>
    <col min="7203" max="7203" width="38.75390625" style="430" hidden="1" customWidth="1"/>
    <col min="7204" max="7209" width="12.75390625" style="430" hidden="1" customWidth="1"/>
    <col min="7210" max="7210" width="9.125" style="430" hidden="1" customWidth="1"/>
    <col min="7211" max="7211" width="16.375" style="430" hidden="1" customWidth="1"/>
    <col min="7212" max="7212" width="38.75390625" style="430" hidden="1" customWidth="1"/>
    <col min="7213" max="7214" width="12.125" style="430" hidden="1" customWidth="1"/>
    <col min="7215" max="7215" width="13.75390625" style="430" hidden="1" customWidth="1"/>
    <col min="7216" max="7216" width="11.00390625" style="430" hidden="1" customWidth="1"/>
    <col min="7217" max="7217" width="22.625" style="430" hidden="1" customWidth="1"/>
    <col min="7218" max="7218" width="12.00390625" style="430" hidden="1" customWidth="1"/>
    <col min="7219" max="7428" width="9.125" style="430" hidden="1" customWidth="1"/>
    <col min="7429" max="7429" width="3.875" style="430" hidden="1" customWidth="1"/>
    <col min="7430" max="7430" width="17.75390625" style="430" hidden="1" customWidth="1"/>
    <col min="7431" max="7431" width="12.75390625" style="430" hidden="1" customWidth="1"/>
    <col min="7432" max="7432" width="45.75390625" style="430" hidden="1" customWidth="1"/>
    <col min="7433" max="7438" width="16.125" style="430" hidden="1" customWidth="1"/>
    <col min="7439" max="7440" width="19.00390625" style="430" hidden="1" customWidth="1"/>
    <col min="7441" max="7441" width="20.75390625" style="430" hidden="1" customWidth="1"/>
    <col min="7442" max="7442" width="7.00390625" style="430" hidden="1" customWidth="1"/>
    <col min="7443" max="7443" width="4.625" style="430" hidden="1" customWidth="1"/>
    <col min="7444" max="7444" width="16.00390625" style="430" hidden="1" customWidth="1"/>
    <col min="7445" max="7445" width="52.00390625" style="430" hidden="1" customWidth="1"/>
    <col min="7446" max="7448" width="16.25390625" style="430" hidden="1" customWidth="1"/>
    <col min="7449" max="7458" width="15.75390625" style="430" hidden="1" customWidth="1"/>
    <col min="7459" max="7459" width="38.75390625" style="430" hidden="1" customWidth="1"/>
    <col min="7460" max="7465" width="12.75390625" style="430" hidden="1" customWidth="1"/>
    <col min="7466" max="7466" width="9.125" style="430" hidden="1" customWidth="1"/>
    <col min="7467" max="7467" width="16.375" style="430" hidden="1" customWidth="1"/>
    <col min="7468" max="7468" width="38.75390625" style="430" hidden="1" customWidth="1"/>
    <col min="7469" max="7470" width="12.125" style="430" hidden="1" customWidth="1"/>
    <col min="7471" max="7471" width="13.75390625" style="430" hidden="1" customWidth="1"/>
    <col min="7472" max="7472" width="11.00390625" style="430" hidden="1" customWidth="1"/>
    <col min="7473" max="7473" width="22.625" style="430" hidden="1" customWidth="1"/>
    <col min="7474" max="7474" width="12.00390625" style="430" hidden="1" customWidth="1"/>
    <col min="7475" max="7684" width="9.125" style="430" hidden="1" customWidth="1"/>
    <col min="7685" max="7685" width="3.875" style="430" hidden="1" customWidth="1"/>
    <col min="7686" max="7686" width="17.75390625" style="430" hidden="1" customWidth="1"/>
    <col min="7687" max="7687" width="12.75390625" style="430" hidden="1" customWidth="1"/>
    <col min="7688" max="7688" width="45.75390625" style="430" hidden="1" customWidth="1"/>
    <col min="7689" max="7694" width="16.125" style="430" hidden="1" customWidth="1"/>
    <col min="7695" max="7696" width="19.00390625" style="430" hidden="1" customWidth="1"/>
    <col min="7697" max="7697" width="20.75390625" style="430" hidden="1" customWidth="1"/>
    <col min="7698" max="7698" width="7.00390625" style="430" hidden="1" customWidth="1"/>
    <col min="7699" max="7699" width="4.625" style="430" hidden="1" customWidth="1"/>
    <col min="7700" max="7700" width="16.00390625" style="430" hidden="1" customWidth="1"/>
    <col min="7701" max="7701" width="52.00390625" style="430" hidden="1" customWidth="1"/>
    <col min="7702" max="7704" width="16.25390625" style="430" hidden="1" customWidth="1"/>
    <col min="7705" max="7714" width="15.75390625" style="430" hidden="1" customWidth="1"/>
    <col min="7715" max="7715" width="38.75390625" style="430" hidden="1" customWidth="1"/>
    <col min="7716" max="7721" width="12.75390625" style="430" hidden="1" customWidth="1"/>
    <col min="7722" max="7722" width="9.125" style="430" hidden="1" customWidth="1"/>
    <col min="7723" max="7723" width="16.375" style="430" hidden="1" customWidth="1"/>
    <col min="7724" max="7724" width="38.75390625" style="430" hidden="1" customWidth="1"/>
    <col min="7725" max="7726" width="12.125" style="430" hidden="1" customWidth="1"/>
    <col min="7727" max="7727" width="13.75390625" style="430" hidden="1" customWidth="1"/>
    <col min="7728" max="7728" width="11.00390625" style="430" hidden="1" customWidth="1"/>
    <col min="7729" max="7729" width="22.625" style="430" hidden="1" customWidth="1"/>
    <col min="7730" max="7730" width="12.00390625" style="430" hidden="1" customWidth="1"/>
    <col min="7731" max="7940" width="9.125" style="430" hidden="1" customWidth="1"/>
    <col min="7941" max="7941" width="3.875" style="430" hidden="1" customWidth="1"/>
    <col min="7942" max="7942" width="17.75390625" style="430" hidden="1" customWidth="1"/>
    <col min="7943" max="7943" width="12.75390625" style="430" hidden="1" customWidth="1"/>
    <col min="7944" max="7944" width="45.75390625" style="430" hidden="1" customWidth="1"/>
    <col min="7945" max="7950" width="16.125" style="430" hidden="1" customWidth="1"/>
    <col min="7951" max="7952" width="19.00390625" style="430" hidden="1" customWidth="1"/>
    <col min="7953" max="7953" width="20.75390625" style="430" hidden="1" customWidth="1"/>
    <col min="7954" max="7954" width="7.00390625" style="430" hidden="1" customWidth="1"/>
    <col min="7955" max="7955" width="4.625" style="430" hidden="1" customWidth="1"/>
    <col min="7956" max="7956" width="16.00390625" style="430" hidden="1" customWidth="1"/>
    <col min="7957" max="7957" width="52.00390625" style="430" hidden="1" customWidth="1"/>
    <col min="7958" max="7960" width="16.25390625" style="430" hidden="1" customWidth="1"/>
    <col min="7961" max="7970" width="15.75390625" style="430" hidden="1" customWidth="1"/>
    <col min="7971" max="7971" width="38.75390625" style="430" hidden="1" customWidth="1"/>
    <col min="7972" max="7977" width="12.75390625" style="430" hidden="1" customWidth="1"/>
    <col min="7978" max="7978" width="9.125" style="430" hidden="1" customWidth="1"/>
    <col min="7979" max="7979" width="16.375" style="430" hidden="1" customWidth="1"/>
    <col min="7980" max="7980" width="38.75390625" style="430" hidden="1" customWidth="1"/>
    <col min="7981" max="7982" width="12.125" style="430" hidden="1" customWidth="1"/>
    <col min="7983" max="7983" width="13.75390625" style="430" hidden="1" customWidth="1"/>
    <col min="7984" max="7984" width="11.00390625" style="430" hidden="1" customWidth="1"/>
    <col min="7985" max="7985" width="22.625" style="430" hidden="1" customWidth="1"/>
    <col min="7986" max="7986" width="12.00390625" style="430" hidden="1" customWidth="1"/>
    <col min="7987" max="8196" width="9.125" style="430" hidden="1" customWidth="1"/>
    <col min="8197" max="8197" width="3.875" style="430" hidden="1" customWidth="1"/>
    <col min="8198" max="8198" width="17.75390625" style="430" hidden="1" customWidth="1"/>
    <col min="8199" max="8199" width="12.75390625" style="430" hidden="1" customWidth="1"/>
    <col min="8200" max="8200" width="45.75390625" style="430" hidden="1" customWidth="1"/>
    <col min="8201" max="8206" width="16.125" style="430" hidden="1" customWidth="1"/>
    <col min="8207" max="8208" width="19.00390625" style="430" hidden="1" customWidth="1"/>
    <col min="8209" max="8209" width="20.75390625" style="430" hidden="1" customWidth="1"/>
    <col min="8210" max="8210" width="7.00390625" style="430" hidden="1" customWidth="1"/>
    <col min="8211" max="8211" width="4.625" style="430" hidden="1" customWidth="1"/>
    <col min="8212" max="8212" width="16.00390625" style="430" hidden="1" customWidth="1"/>
    <col min="8213" max="8213" width="52.00390625" style="430" hidden="1" customWidth="1"/>
    <col min="8214" max="8216" width="16.25390625" style="430" hidden="1" customWidth="1"/>
    <col min="8217" max="8226" width="15.75390625" style="430" hidden="1" customWidth="1"/>
    <col min="8227" max="8227" width="38.75390625" style="430" hidden="1" customWidth="1"/>
    <col min="8228" max="8233" width="12.75390625" style="430" hidden="1" customWidth="1"/>
    <col min="8234" max="8234" width="9.125" style="430" hidden="1" customWidth="1"/>
    <col min="8235" max="8235" width="16.375" style="430" hidden="1" customWidth="1"/>
    <col min="8236" max="8236" width="38.75390625" style="430" hidden="1" customWidth="1"/>
    <col min="8237" max="8238" width="12.125" style="430" hidden="1" customWidth="1"/>
    <col min="8239" max="8239" width="13.75390625" style="430" hidden="1" customWidth="1"/>
    <col min="8240" max="8240" width="11.00390625" style="430" hidden="1" customWidth="1"/>
    <col min="8241" max="8241" width="22.625" style="430" hidden="1" customWidth="1"/>
    <col min="8242" max="8242" width="12.00390625" style="430" hidden="1" customWidth="1"/>
    <col min="8243" max="8452" width="9.125" style="430" hidden="1" customWidth="1"/>
    <col min="8453" max="8453" width="3.875" style="430" hidden="1" customWidth="1"/>
    <col min="8454" max="8454" width="17.75390625" style="430" hidden="1" customWidth="1"/>
    <col min="8455" max="8455" width="12.75390625" style="430" hidden="1" customWidth="1"/>
    <col min="8456" max="8456" width="45.75390625" style="430" hidden="1" customWidth="1"/>
    <col min="8457" max="8462" width="16.125" style="430" hidden="1" customWidth="1"/>
    <col min="8463" max="8464" width="19.00390625" style="430" hidden="1" customWidth="1"/>
    <col min="8465" max="8465" width="20.75390625" style="430" hidden="1" customWidth="1"/>
    <col min="8466" max="8466" width="7.00390625" style="430" hidden="1" customWidth="1"/>
    <col min="8467" max="8467" width="4.625" style="430" hidden="1" customWidth="1"/>
    <col min="8468" max="8468" width="16.00390625" style="430" hidden="1" customWidth="1"/>
    <col min="8469" max="8469" width="52.00390625" style="430" hidden="1" customWidth="1"/>
    <col min="8470" max="8472" width="16.25390625" style="430" hidden="1" customWidth="1"/>
    <col min="8473" max="8482" width="15.75390625" style="430" hidden="1" customWidth="1"/>
    <col min="8483" max="8483" width="38.75390625" style="430" hidden="1" customWidth="1"/>
    <col min="8484" max="8489" width="12.75390625" style="430" hidden="1" customWidth="1"/>
    <col min="8490" max="8490" width="9.125" style="430" hidden="1" customWidth="1"/>
    <col min="8491" max="8491" width="16.375" style="430" hidden="1" customWidth="1"/>
    <col min="8492" max="8492" width="38.75390625" style="430" hidden="1" customWidth="1"/>
    <col min="8493" max="8494" width="12.125" style="430" hidden="1" customWidth="1"/>
    <col min="8495" max="8495" width="13.75390625" style="430" hidden="1" customWidth="1"/>
    <col min="8496" max="8496" width="11.00390625" style="430" hidden="1" customWidth="1"/>
    <col min="8497" max="8497" width="22.625" style="430" hidden="1" customWidth="1"/>
    <col min="8498" max="8498" width="12.00390625" style="430" hidden="1" customWidth="1"/>
    <col min="8499" max="8708" width="9.125" style="430" hidden="1" customWidth="1"/>
    <col min="8709" max="8709" width="3.875" style="430" hidden="1" customWidth="1"/>
    <col min="8710" max="8710" width="17.75390625" style="430" hidden="1" customWidth="1"/>
    <col min="8711" max="8711" width="12.75390625" style="430" hidden="1" customWidth="1"/>
    <col min="8712" max="8712" width="45.75390625" style="430" hidden="1" customWidth="1"/>
    <col min="8713" max="8718" width="16.125" style="430" hidden="1" customWidth="1"/>
    <col min="8719" max="8720" width="19.00390625" style="430" hidden="1" customWidth="1"/>
    <col min="8721" max="8721" width="20.75390625" style="430" hidden="1" customWidth="1"/>
    <col min="8722" max="8722" width="7.00390625" style="430" hidden="1" customWidth="1"/>
    <col min="8723" max="8723" width="4.625" style="430" hidden="1" customWidth="1"/>
    <col min="8724" max="8724" width="16.00390625" style="430" hidden="1" customWidth="1"/>
    <col min="8725" max="8725" width="52.00390625" style="430" hidden="1" customWidth="1"/>
    <col min="8726" max="8728" width="16.25390625" style="430" hidden="1" customWidth="1"/>
    <col min="8729" max="8738" width="15.75390625" style="430" hidden="1" customWidth="1"/>
    <col min="8739" max="8739" width="38.75390625" style="430" hidden="1" customWidth="1"/>
    <col min="8740" max="8745" width="12.75390625" style="430" hidden="1" customWidth="1"/>
    <col min="8746" max="8746" width="9.125" style="430" hidden="1" customWidth="1"/>
    <col min="8747" max="8747" width="16.375" style="430" hidden="1" customWidth="1"/>
    <col min="8748" max="8748" width="38.75390625" style="430" hidden="1" customWidth="1"/>
    <col min="8749" max="8750" width="12.125" style="430" hidden="1" customWidth="1"/>
    <col min="8751" max="8751" width="13.75390625" style="430" hidden="1" customWidth="1"/>
    <col min="8752" max="8752" width="11.00390625" style="430" hidden="1" customWidth="1"/>
    <col min="8753" max="8753" width="22.625" style="430" hidden="1" customWidth="1"/>
    <col min="8754" max="8754" width="12.00390625" style="430" hidden="1" customWidth="1"/>
    <col min="8755" max="8964" width="9.125" style="430" hidden="1" customWidth="1"/>
    <col min="8965" max="8965" width="3.875" style="430" hidden="1" customWidth="1"/>
    <col min="8966" max="8966" width="17.75390625" style="430" hidden="1" customWidth="1"/>
    <col min="8967" max="8967" width="12.75390625" style="430" hidden="1" customWidth="1"/>
    <col min="8968" max="8968" width="45.75390625" style="430" hidden="1" customWidth="1"/>
    <col min="8969" max="8974" width="16.125" style="430" hidden="1" customWidth="1"/>
    <col min="8975" max="8976" width="19.00390625" style="430" hidden="1" customWidth="1"/>
    <col min="8977" max="8977" width="20.75390625" style="430" hidden="1" customWidth="1"/>
    <col min="8978" max="8978" width="7.00390625" style="430" hidden="1" customWidth="1"/>
    <col min="8979" max="8979" width="4.625" style="430" hidden="1" customWidth="1"/>
    <col min="8980" max="8980" width="16.00390625" style="430" hidden="1" customWidth="1"/>
    <col min="8981" max="8981" width="52.00390625" style="430" hidden="1" customWidth="1"/>
    <col min="8982" max="8984" width="16.25390625" style="430" hidden="1" customWidth="1"/>
    <col min="8985" max="8994" width="15.75390625" style="430" hidden="1" customWidth="1"/>
    <col min="8995" max="8995" width="38.75390625" style="430" hidden="1" customWidth="1"/>
    <col min="8996" max="9001" width="12.75390625" style="430" hidden="1" customWidth="1"/>
    <col min="9002" max="9002" width="9.125" style="430" hidden="1" customWidth="1"/>
    <col min="9003" max="9003" width="16.375" style="430" hidden="1" customWidth="1"/>
    <col min="9004" max="9004" width="38.75390625" style="430" hidden="1" customWidth="1"/>
    <col min="9005" max="9006" width="12.125" style="430" hidden="1" customWidth="1"/>
    <col min="9007" max="9007" width="13.75390625" style="430" hidden="1" customWidth="1"/>
    <col min="9008" max="9008" width="11.00390625" style="430" hidden="1" customWidth="1"/>
    <col min="9009" max="9009" width="22.625" style="430" hidden="1" customWidth="1"/>
    <col min="9010" max="9010" width="12.00390625" style="430" hidden="1" customWidth="1"/>
    <col min="9011" max="9220" width="9.125" style="430" hidden="1" customWidth="1"/>
    <col min="9221" max="9221" width="3.875" style="430" hidden="1" customWidth="1"/>
    <col min="9222" max="9222" width="17.75390625" style="430" hidden="1" customWidth="1"/>
    <col min="9223" max="9223" width="12.75390625" style="430" hidden="1" customWidth="1"/>
    <col min="9224" max="9224" width="45.75390625" style="430" hidden="1" customWidth="1"/>
    <col min="9225" max="9230" width="16.125" style="430" hidden="1" customWidth="1"/>
    <col min="9231" max="9232" width="19.00390625" style="430" hidden="1" customWidth="1"/>
    <col min="9233" max="9233" width="20.75390625" style="430" hidden="1" customWidth="1"/>
    <col min="9234" max="9234" width="7.00390625" style="430" hidden="1" customWidth="1"/>
    <col min="9235" max="9235" width="4.625" style="430" hidden="1" customWidth="1"/>
    <col min="9236" max="9236" width="16.00390625" style="430" hidden="1" customWidth="1"/>
    <col min="9237" max="9237" width="52.00390625" style="430" hidden="1" customWidth="1"/>
    <col min="9238" max="9240" width="16.25390625" style="430" hidden="1" customWidth="1"/>
    <col min="9241" max="9250" width="15.75390625" style="430" hidden="1" customWidth="1"/>
    <col min="9251" max="9251" width="38.75390625" style="430" hidden="1" customWidth="1"/>
    <col min="9252" max="9257" width="12.75390625" style="430" hidden="1" customWidth="1"/>
    <col min="9258" max="9258" width="9.125" style="430" hidden="1" customWidth="1"/>
    <col min="9259" max="9259" width="16.375" style="430" hidden="1" customWidth="1"/>
    <col min="9260" max="9260" width="38.75390625" style="430" hidden="1" customWidth="1"/>
    <col min="9261" max="9262" width="12.125" style="430" hidden="1" customWidth="1"/>
    <col min="9263" max="9263" width="13.75390625" style="430" hidden="1" customWidth="1"/>
    <col min="9264" max="9264" width="11.00390625" style="430" hidden="1" customWidth="1"/>
    <col min="9265" max="9265" width="22.625" style="430" hidden="1" customWidth="1"/>
    <col min="9266" max="9266" width="12.00390625" style="430" hidden="1" customWidth="1"/>
    <col min="9267" max="9476" width="9.125" style="430" hidden="1" customWidth="1"/>
    <col min="9477" max="9477" width="3.875" style="430" hidden="1" customWidth="1"/>
    <col min="9478" max="9478" width="17.75390625" style="430" hidden="1" customWidth="1"/>
    <col min="9479" max="9479" width="12.75390625" style="430" hidden="1" customWidth="1"/>
    <col min="9480" max="9480" width="45.75390625" style="430" hidden="1" customWidth="1"/>
    <col min="9481" max="9486" width="16.125" style="430" hidden="1" customWidth="1"/>
    <col min="9487" max="9488" width="19.00390625" style="430" hidden="1" customWidth="1"/>
    <col min="9489" max="9489" width="20.75390625" style="430" hidden="1" customWidth="1"/>
    <col min="9490" max="9490" width="7.00390625" style="430" hidden="1" customWidth="1"/>
    <col min="9491" max="9491" width="4.625" style="430" hidden="1" customWidth="1"/>
    <col min="9492" max="9492" width="16.00390625" style="430" hidden="1" customWidth="1"/>
    <col min="9493" max="9493" width="52.00390625" style="430" hidden="1" customWidth="1"/>
    <col min="9494" max="9496" width="16.25390625" style="430" hidden="1" customWidth="1"/>
    <col min="9497" max="9506" width="15.75390625" style="430" hidden="1" customWidth="1"/>
    <col min="9507" max="9507" width="38.75390625" style="430" hidden="1" customWidth="1"/>
    <col min="9508" max="9513" width="12.75390625" style="430" hidden="1" customWidth="1"/>
    <col min="9514" max="9514" width="9.125" style="430" hidden="1" customWidth="1"/>
    <col min="9515" max="9515" width="16.375" style="430" hidden="1" customWidth="1"/>
    <col min="9516" max="9516" width="38.75390625" style="430" hidden="1" customWidth="1"/>
    <col min="9517" max="9518" width="12.125" style="430" hidden="1" customWidth="1"/>
    <col min="9519" max="9519" width="13.75390625" style="430" hidden="1" customWidth="1"/>
    <col min="9520" max="9520" width="11.00390625" style="430" hidden="1" customWidth="1"/>
    <col min="9521" max="9521" width="22.625" style="430" hidden="1" customWidth="1"/>
    <col min="9522" max="9522" width="12.00390625" style="430" hidden="1" customWidth="1"/>
    <col min="9523" max="9732" width="9.125" style="430" hidden="1" customWidth="1"/>
    <col min="9733" max="9733" width="3.875" style="430" hidden="1" customWidth="1"/>
    <col min="9734" max="9734" width="17.75390625" style="430" hidden="1" customWidth="1"/>
    <col min="9735" max="9735" width="12.75390625" style="430" hidden="1" customWidth="1"/>
    <col min="9736" max="9736" width="45.75390625" style="430" hidden="1" customWidth="1"/>
    <col min="9737" max="9742" width="16.125" style="430" hidden="1" customWidth="1"/>
    <col min="9743" max="9744" width="19.00390625" style="430" hidden="1" customWidth="1"/>
    <col min="9745" max="9745" width="20.75390625" style="430" hidden="1" customWidth="1"/>
    <col min="9746" max="9746" width="7.00390625" style="430" hidden="1" customWidth="1"/>
    <col min="9747" max="9747" width="4.625" style="430" hidden="1" customWidth="1"/>
    <col min="9748" max="9748" width="16.00390625" style="430" hidden="1" customWidth="1"/>
    <col min="9749" max="9749" width="52.00390625" style="430" hidden="1" customWidth="1"/>
    <col min="9750" max="9752" width="16.25390625" style="430" hidden="1" customWidth="1"/>
    <col min="9753" max="9762" width="15.75390625" style="430" hidden="1" customWidth="1"/>
    <col min="9763" max="9763" width="38.75390625" style="430" hidden="1" customWidth="1"/>
    <col min="9764" max="9769" width="12.75390625" style="430" hidden="1" customWidth="1"/>
    <col min="9770" max="9770" width="9.125" style="430" hidden="1" customWidth="1"/>
    <col min="9771" max="9771" width="16.375" style="430" hidden="1" customWidth="1"/>
    <col min="9772" max="9772" width="38.75390625" style="430" hidden="1" customWidth="1"/>
    <col min="9773" max="9774" width="12.125" style="430" hidden="1" customWidth="1"/>
    <col min="9775" max="9775" width="13.75390625" style="430" hidden="1" customWidth="1"/>
    <col min="9776" max="9776" width="11.00390625" style="430" hidden="1" customWidth="1"/>
    <col min="9777" max="9777" width="22.625" style="430" hidden="1" customWidth="1"/>
    <col min="9778" max="9778" width="12.00390625" style="430" hidden="1" customWidth="1"/>
    <col min="9779" max="9988" width="9.125" style="430" hidden="1" customWidth="1"/>
    <col min="9989" max="9989" width="3.875" style="430" hidden="1" customWidth="1"/>
    <col min="9990" max="9990" width="17.75390625" style="430" hidden="1" customWidth="1"/>
    <col min="9991" max="9991" width="12.75390625" style="430" hidden="1" customWidth="1"/>
    <col min="9992" max="9992" width="45.75390625" style="430" hidden="1" customWidth="1"/>
    <col min="9993" max="9998" width="16.125" style="430" hidden="1" customWidth="1"/>
    <col min="9999" max="10000" width="19.00390625" style="430" hidden="1" customWidth="1"/>
    <col min="10001" max="10001" width="20.75390625" style="430" hidden="1" customWidth="1"/>
    <col min="10002" max="10002" width="7.00390625" style="430" hidden="1" customWidth="1"/>
    <col min="10003" max="10003" width="4.625" style="430" hidden="1" customWidth="1"/>
    <col min="10004" max="10004" width="16.00390625" style="430" hidden="1" customWidth="1"/>
    <col min="10005" max="10005" width="52.00390625" style="430" hidden="1" customWidth="1"/>
    <col min="10006" max="10008" width="16.25390625" style="430" hidden="1" customWidth="1"/>
    <col min="10009" max="10018" width="15.75390625" style="430" hidden="1" customWidth="1"/>
    <col min="10019" max="10019" width="38.75390625" style="430" hidden="1" customWidth="1"/>
    <col min="10020" max="10025" width="12.75390625" style="430" hidden="1" customWidth="1"/>
    <col min="10026" max="10026" width="9.125" style="430" hidden="1" customWidth="1"/>
    <col min="10027" max="10027" width="16.375" style="430" hidden="1" customWidth="1"/>
    <col min="10028" max="10028" width="38.75390625" style="430" hidden="1" customWidth="1"/>
    <col min="10029" max="10030" width="12.125" style="430" hidden="1" customWidth="1"/>
    <col min="10031" max="10031" width="13.75390625" style="430" hidden="1" customWidth="1"/>
    <col min="10032" max="10032" width="11.00390625" style="430" hidden="1" customWidth="1"/>
    <col min="10033" max="10033" width="22.625" style="430" hidden="1" customWidth="1"/>
    <col min="10034" max="10034" width="12.00390625" style="430" hidden="1" customWidth="1"/>
    <col min="10035" max="10244" width="9.125" style="430" hidden="1" customWidth="1"/>
    <col min="10245" max="10245" width="3.875" style="430" hidden="1" customWidth="1"/>
    <col min="10246" max="10246" width="17.75390625" style="430" hidden="1" customWidth="1"/>
    <col min="10247" max="10247" width="12.75390625" style="430" hidden="1" customWidth="1"/>
    <col min="10248" max="10248" width="45.75390625" style="430" hidden="1" customWidth="1"/>
    <col min="10249" max="10254" width="16.125" style="430" hidden="1" customWidth="1"/>
    <col min="10255" max="10256" width="19.00390625" style="430" hidden="1" customWidth="1"/>
    <col min="10257" max="10257" width="20.75390625" style="430" hidden="1" customWidth="1"/>
    <col min="10258" max="10258" width="7.00390625" style="430" hidden="1" customWidth="1"/>
    <col min="10259" max="10259" width="4.625" style="430" hidden="1" customWidth="1"/>
    <col min="10260" max="10260" width="16.00390625" style="430" hidden="1" customWidth="1"/>
    <col min="10261" max="10261" width="52.00390625" style="430" hidden="1" customWidth="1"/>
    <col min="10262" max="10264" width="16.25390625" style="430" hidden="1" customWidth="1"/>
    <col min="10265" max="10274" width="15.75390625" style="430" hidden="1" customWidth="1"/>
    <col min="10275" max="10275" width="38.75390625" style="430" hidden="1" customWidth="1"/>
    <col min="10276" max="10281" width="12.75390625" style="430" hidden="1" customWidth="1"/>
    <col min="10282" max="10282" width="9.125" style="430" hidden="1" customWidth="1"/>
    <col min="10283" max="10283" width="16.375" style="430" hidden="1" customWidth="1"/>
    <col min="10284" max="10284" width="38.75390625" style="430" hidden="1" customWidth="1"/>
    <col min="10285" max="10286" width="12.125" style="430" hidden="1" customWidth="1"/>
    <col min="10287" max="10287" width="13.75390625" style="430" hidden="1" customWidth="1"/>
    <col min="10288" max="10288" width="11.00390625" style="430" hidden="1" customWidth="1"/>
    <col min="10289" max="10289" width="22.625" style="430" hidden="1" customWidth="1"/>
    <col min="10290" max="10290" width="12.00390625" style="430" hidden="1" customWidth="1"/>
    <col min="10291" max="10500" width="9.125" style="430" hidden="1" customWidth="1"/>
    <col min="10501" max="10501" width="3.875" style="430" hidden="1" customWidth="1"/>
    <col min="10502" max="10502" width="17.75390625" style="430" hidden="1" customWidth="1"/>
    <col min="10503" max="10503" width="12.75390625" style="430" hidden="1" customWidth="1"/>
    <col min="10504" max="10504" width="45.75390625" style="430" hidden="1" customWidth="1"/>
    <col min="10505" max="10510" width="16.125" style="430" hidden="1" customWidth="1"/>
    <col min="10511" max="10512" width="19.00390625" style="430" hidden="1" customWidth="1"/>
    <col min="10513" max="10513" width="20.75390625" style="430" hidden="1" customWidth="1"/>
    <col min="10514" max="10514" width="7.00390625" style="430" hidden="1" customWidth="1"/>
    <col min="10515" max="10515" width="4.625" style="430" hidden="1" customWidth="1"/>
    <col min="10516" max="10516" width="16.00390625" style="430" hidden="1" customWidth="1"/>
    <col min="10517" max="10517" width="52.00390625" style="430" hidden="1" customWidth="1"/>
    <col min="10518" max="10520" width="16.25390625" style="430" hidden="1" customWidth="1"/>
    <col min="10521" max="10530" width="15.75390625" style="430" hidden="1" customWidth="1"/>
    <col min="10531" max="10531" width="38.75390625" style="430" hidden="1" customWidth="1"/>
    <col min="10532" max="10537" width="12.75390625" style="430" hidden="1" customWidth="1"/>
    <col min="10538" max="10538" width="9.125" style="430" hidden="1" customWidth="1"/>
    <col min="10539" max="10539" width="16.375" style="430" hidden="1" customWidth="1"/>
    <col min="10540" max="10540" width="38.75390625" style="430" hidden="1" customWidth="1"/>
    <col min="10541" max="10542" width="12.125" style="430" hidden="1" customWidth="1"/>
    <col min="10543" max="10543" width="13.75390625" style="430" hidden="1" customWidth="1"/>
    <col min="10544" max="10544" width="11.00390625" style="430" hidden="1" customWidth="1"/>
    <col min="10545" max="10545" width="22.625" style="430" hidden="1" customWidth="1"/>
    <col min="10546" max="10546" width="12.00390625" style="430" hidden="1" customWidth="1"/>
    <col min="10547" max="10756" width="9.125" style="430" hidden="1" customWidth="1"/>
    <col min="10757" max="10757" width="3.875" style="430" hidden="1" customWidth="1"/>
    <col min="10758" max="10758" width="17.75390625" style="430" hidden="1" customWidth="1"/>
    <col min="10759" max="10759" width="12.75390625" style="430" hidden="1" customWidth="1"/>
    <col min="10760" max="10760" width="45.75390625" style="430" hidden="1" customWidth="1"/>
    <col min="10761" max="10766" width="16.125" style="430" hidden="1" customWidth="1"/>
    <col min="10767" max="10768" width="19.00390625" style="430" hidden="1" customWidth="1"/>
    <col min="10769" max="10769" width="20.75390625" style="430" hidden="1" customWidth="1"/>
    <col min="10770" max="10770" width="7.00390625" style="430" hidden="1" customWidth="1"/>
    <col min="10771" max="10771" width="4.625" style="430" hidden="1" customWidth="1"/>
    <col min="10772" max="10772" width="16.00390625" style="430" hidden="1" customWidth="1"/>
    <col min="10773" max="10773" width="52.00390625" style="430" hidden="1" customWidth="1"/>
    <col min="10774" max="10776" width="16.25390625" style="430" hidden="1" customWidth="1"/>
    <col min="10777" max="10786" width="15.75390625" style="430" hidden="1" customWidth="1"/>
    <col min="10787" max="10787" width="38.75390625" style="430" hidden="1" customWidth="1"/>
    <col min="10788" max="10793" width="12.75390625" style="430" hidden="1" customWidth="1"/>
    <col min="10794" max="10794" width="9.125" style="430" hidden="1" customWidth="1"/>
    <col min="10795" max="10795" width="16.375" style="430" hidden="1" customWidth="1"/>
    <col min="10796" max="10796" width="38.75390625" style="430" hidden="1" customWidth="1"/>
    <col min="10797" max="10798" width="12.125" style="430" hidden="1" customWidth="1"/>
    <col min="10799" max="10799" width="13.75390625" style="430" hidden="1" customWidth="1"/>
    <col min="10800" max="10800" width="11.00390625" style="430" hidden="1" customWidth="1"/>
    <col min="10801" max="10801" width="22.625" style="430" hidden="1" customWidth="1"/>
    <col min="10802" max="10802" width="12.00390625" style="430" hidden="1" customWidth="1"/>
    <col min="10803" max="11012" width="9.125" style="430" hidden="1" customWidth="1"/>
    <col min="11013" max="11013" width="3.875" style="430" hidden="1" customWidth="1"/>
    <col min="11014" max="11014" width="17.75390625" style="430" hidden="1" customWidth="1"/>
    <col min="11015" max="11015" width="12.75390625" style="430" hidden="1" customWidth="1"/>
    <col min="11016" max="11016" width="45.75390625" style="430" hidden="1" customWidth="1"/>
    <col min="11017" max="11022" width="16.125" style="430" hidden="1" customWidth="1"/>
    <col min="11023" max="11024" width="19.00390625" style="430" hidden="1" customWidth="1"/>
    <col min="11025" max="11025" width="20.75390625" style="430" hidden="1" customWidth="1"/>
    <col min="11026" max="11026" width="7.00390625" style="430" hidden="1" customWidth="1"/>
    <col min="11027" max="11027" width="4.625" style="430" hidden="1" customWidth="1"/>
    <col min="11028" max="11028" width="16.00390625" style="430" hidden="1" customWidth="1"/>
    <col min="11029" max="11029" width="52.00390625" style="430" hidden="1" customWidth="1"/>
    <col min="11030" max="11032" width="16.25390625" style="430" hidden="1" customWidth="1"/>
    <col min="11033" max="11042" width="15.75390625" style="430" hidden="1" customWidth="1"/>
    <col min="11043" max="11043" width="38.75390625" style="430" hidden="1" customWidth="1"/>
    <col min="11044" max="11049" width="12.75390625" style="430" hidden="1" customWidth="1"/>
    <col min="11050" max="11050" width="9.125" style="430" hidden="1" customWidth="1"/>
    <col min="11051" max="11051" width="16.375" style="430" hidden="1" customWidth="1"/>
    <col min="11052" max="11052" width="38.75390625" style="430" hidden="1" customWidth="1"/>
    <col min="11053" max="11054" width="12.125" style="430" hidden="1" customWidth="1"/>
    <col min="11055" max="11055" width="13.75390625" style="430" hidden="1" customWidth="1"/>
    <col min="11056" max="11056" width="11.00390625" style="430" hidden="1" customWidth="1"/>
    <col min="11057" max="11057" width="22.625" style="430" hidden="1" customWidth="1"/>
    <col min="11058" max="11058" width="12.00390625" style="430" hidden="1" customWidth="1"/>
    <col min="11059" max="11268" width="9.125" style="430" hidden="1" customWidth="1"/>
    <col min="11269" max="11269" width="3.875" style="430" hidden="1" customWidth="1"/>
    <col min="11270" max="11270" width="17.75390625" style="430" hidden="1" customWidth="1"/>
    <col min="11271" max="11271" width="12.75390625" style="430" hidden="1" customWidth="1"/>
    <col min="11272" max="11272" width="45.75390625" style="430" hidden="1" customWidth="1"/>
    <col min="11273" max="11278" width="16.125" style="430" hidden="1" customWidth="1"/>
    <col min="11279" max="11280" width="19.00390625" style="430" hidden="1" customWidth="1"/>
    <col min="11281" max="11281" width="20.75390625" style="430" hidden="1" customWidth="1"/>
    <col min="11282" max="11282" width="7.00390625" style="430" hidden="1" customWidth="1"/>
    <col min="11283" max="11283" width="4.625" style="430" hidden="1" customWidth="1"/>
    <col min="11284" max="11284" width="16.00390625" style="430" hidden="1" customWidth="1"/>
    <col min="11285" max="11285" width="52.00390625" style="430" hidden="1" customWidth="1"/>
    <col min="11286" max="11288" width="16.25390625" style="430" hidden="1" customWidth="1"/>
    <col min="11289" max="11298" width="15.75390625" style="430" hidden="1" customWidth="1"/>
    <col min="11299" max="11299" width="38.75390625" style="430" hidden="1" customWidth="1"/>
    <col min="11300" max="11305" width="12.75390625" style="430" hidden="1" customWidth="1"/>
    <col min="11306" max="11306" width="9.125" style="430" hidden="1" customWidth="1"/>
    <col min="11307" max="11307" width="16.375" style="430" hidden="1" customWidth="1"/>
    <col min="11308" max="11308" width="38.75390625" style="430" hidden="1" customWidth="1"/>
    <col min="11309" max="11310" width="12.125" style="430" hidden="1" customWidth="1"/>
    <col min="11311" max="11311" width="13.75390625" style="430" hidden="1" customWidth="1"/>
    <col min="11312" max="11312" width="11.00390625" style="430" hidden="1" customWidth="1"/>
    <col min="11313" max="11313" width="22.625" style="430" hidden="1" customWidth="1"/>
    <col min="11314" max="11314" width="12.00390625" style="430" hidden="1" customWidth="1"/>
    <col min="11315" max="11524" width="9.125" style="430" hidden="1" customWidth="1"/>
    <col min="11525" max="11525" width="3.875" style="430" hidden="1" customWidth="1"/>
    <col min="11526" max="11526" width="17.75390625" style="430" hidden="1" customWidth="1"/>
    <col min="11527" max="11527" width="12.75390625" style="430" hidden="1" customWidth="1"/>
    <col min="11528" max="11528" width="45.75390625" style="430" hidden="1" customWidth="1"/>
    <col min="11529" max="11534" width="16.125" style="430" hidden="1" customWidth="1"/>
    <col min="11535" max="11536" width="19.00390625" style="430" hidden="1" customWidth="1"/>
    <col min="11537" max="11537" width="20.75390625" style="430" hidden="1" customWidth="1"/>
    <col min="11538" max="11538" width="7.00390625" style="430" hidden="1" customWidth="1"/>
    <col min="11539" max="11539" width="4.625" style="430" hidden="1" customWidth="1"/>
    <col min="11540" max="11540" width="16.00390625" style="430" hidden="1" customWidth="1"/>
    <col min="11541" max="11541" width="52.00390625" style="430" hidden="1" customWidth="1"/>
    <col min="11542" max="11544" width="16.25390625" style="430" hidden="1" customWidth="1"/>
    <col min="11545" max="11554" width="15.75390625" style="430" hidden="1" customWidth="1"/>
    <col min="11555" max="11555" width="38.75390625" style="430" hidden="1" customWidth="1"/>
    <col min="11556" max="11561" width="12.75390625" style="430" hidden="1" customWidth="1"/>
    <col min="11562" max="11562" width="9.125" style="430" hidden="1" customWidth="1"/>
    <col min="11563" max="11563" width="16.375" style="430" hidden="1" customWidth="1"/>
    <col min="11564" max="11564" width="38.75390625" style="430" hidden="1" customWidth="1"/>
    <col min="11565" max="11566" width="12.125" style="430" hidden="1" customWidth="1"/>
    <col min="11567" max="11567" width="13.75390625" style="430" hidden="1" customWidth="1"/>
    <col min="11568" max="11568" width="11.00390625" style="430" hidden="1" customWidth="1"/>
    <col min="11569" max="11569" width="22.625" style="430" hidden="1" customWidth="1"/>
    <col min="11570" max="11570" width="12.00390625" style="430" hidden="1" customWidth="1"/>
    <col min="11571" max="11780" width="9.125" style="430" hidden="1" customWidth="1"/>
    <col min="11781" max="11781" width="3.875" style="430" hidden="1" customWidth="1"/>
    <col min="11782" max="11782" width="17.75390625" style="430" hidden="1" customWidth="1"/>
    <col min="11783" max="11783" width="12.75390625" style="430" hidden="1" customWidth="1"/>
    <col min="11784" max="11784" width="45.75390625" style="430" hidden="1" customWidth="1"/>
    <col min="11785" max="11790" width="16.125" style="430" hidden="1" customWidth="1"/>
    <col min="11791" max="11792" width="19.00390625" style="430" hidden="1" customWidth="1"/>
    <col min="11793" max="11793" width="20.75390625" style="430" hidden="1" customWidth="1"/>
    <col min="11794" max="11794" width="7.00390625" style="430" hidden="1" customWidth="1"/>
    <col min="11795" max="11795" width="4.625" style="430" hidden="1" customWidth="1"/>
    <col min="11796" max="11796" width="16.00390625" style="430" hidden="1" customWidth="1"/>
    <col min="11797" max="11797" width="52.00390625" style="430" hidden="1" customWidth="1"/>
    <col min="11798" max="11800" width="16.25390625" style="430" hidden="1" customWidth="1"/>
    <col min="11801" max="11810" width="15.75390625" style="430" hidden="1" customWidth="1"/>
    <col min="11811" max="11811" width="38.75390625" style="430" hidden="1" customWidth="1"/>
    <col min="11812" max="11817" width="12.75390625" style="430" hidden="1" customWidth="1"/>
    <col min="11818" max="11818" width="9.125" style="430" hidden="1" customWidth="1"/>
    <col min="11819" max="11819" width="16.375" style="430" hidden="1" customWidth="1"/>
    <col min="11820" max="11820" width="38.75390625" style="430" hidden="1" customWidth="1"/>
    <col min="11821" max="11822" width="12.125" style="430" hidden="1" customWidth="1"/>
    <col min="11823" max="11823" width="13.75390625" style="430" hidden="1" customWidth="1"/>
    <col min="11824" max="11824" width="11.00390625" style="430" hidden="1" customWidth="1"/>
    <col min="11825" max="11825" width="22.625" style="430" hidden="1" customWidth="1"/>
    <col min="11826" max="11826" width="12.00390625" style="430" hidden="1" customWidth="1"/>
    <col min="11827" max="12036" width="9.125" style="430" hidden="1" customWidth="1"/>
    <col min="12037" max="12037" width="3.875" style="430" hidden="1" customWidth="1"/>
    <col min="12038" max="12038" width="17.75390625" style="430" hidden="1" customWidth="1"/>
    <col min="12039" max="12039" width="12.75390625" style="430" hidden="1" customWidth="1"/>
    <col min="12040" max="12040" width="45.75390625" style="430" hidden="1" customWidth="1"/>
    <col min="12041" max="12046" width="16.125" style="430" hidden="1" customWidth="1"/>
    <col min="12047" max="12048" width="19.00390625" style="430" hidden="1" customWidth="1"/>
    <col min="12049" max="12049" width="20.75390625" style="430" hidden="1" customWidth="1"/>
    <col min="12050" max="12050" width="7.00390625" style="430" hidden="1" customWidth="1"/>
    <col min="12051" max="12051" width="4.625" style="430" hidden="1" customWidth="1"/>
    <col min="12052" max="12052" width="16.00390625" style="430" hidden="1" customWidth="1"/>
    <col min="12053" max="12053" width="52.00390625" style="430" hidden="1" customWidth="1"/>
    <col min="12054" max="12056" width="16.25390625" style="430" hidden="1" customWidth="1"/>
    <col min="12057" max="12066" width="15.75390625" style="430" hidden="1" customWidth="1"/>
    <col min="12067" max="12067" width="38.75390625" style="430" hidden="1" customWidth="1"/>
    <col min="12068" max="12073" width="12.75390625" style="430" hidden="1" customWidth="1"/>
    <col min="12074" max="12074" width="9.125" style="430" hidden="1" customWidth="1"/>
    <col min="12075" max="12075" width="16.375" style="430" hidden="1" customWidth="1"/>
    <col min="12076" max="12076" width="38.75390625" style="430" hidden="1" customWidth="1"/>
    <col min="12077" max="12078" width="12.125" style="430" hidden="1" customWidth="1"/>
    <col min="12079" max="12079" width="13.75390625" style="430" hidden="1" customWidth="1"/>
    <col min="12080" max="12080" width="11.00390625" style="430" hidden="1" customWidth="1"/>
    <col min="12081" max="12081" width="22.625" style="430" hidden="1" customWidth="1"/>
    <col min="12082" max="12082" width="12.00390625" style="430" hidden="1" customWidth="1"/>
    <col min="12083" max="12292" width="9.125" style="430" hidden="1" customWidth="1"/>
    <col min="12293" max="12293" width="3.875" style="430" hidden="1" customWidth="1"/>
    <col min="12294" max="12294" width="17.75390625" style="430" hidden="1" customWidth="1"/>
    <col min="12295" max="12295" width="12.75390625" style="430" hidden="1" customWidth="1"/>
    <col min="12296" max="12296" width="45.75390625" style="430" hidden="1" customWidth="1"/>
    <col min="12297" max="12302" width="16.125" style="430" hidden="1" customWidth="1"/>
    <col min="12303" max="12304" width="19.00390625" style="430" hidden="1" customWidth="1"/>
    <col min="12305" max="12305" width="20.75390625" style="430" hidden="1" customWidth="1"/>
    <col min="12306" max="12306" width="7.00390625" style="430" hidden="1" customWidth="1"/>
    <col min="12307" max="12307" width="4.625" style="430" hidden="1" customWidth="1"/>
    <col min="12308" max="12308" width="16.00390625" style="430" hidden="1" customWidth="1"/>
    <col min="12309" max="12309" width="52.00390625" style="430" hidden="1" customWidth="1"/>
    <col min="12310" max="12312" width="16.25390625" style="430" hidden="1" customWidth="1"/>
    <col min="12313" max="12322" width="15.75390625" style="430" hidden="1" customWidth="1"/>
    <col min="12323" max="12323" width="38.75390625" style="430" hidden="1" customWidth="1"/>
    <col min="12324" max="12329" width="12.75390625" style="430" hidden="1" customWidth="1"/>
    <col min="12330" max="12330" width="9.125" style="430" hidden="1" customWidth="1"/>
    <col min="12331" max="12331" width="16.375" style="430" hidden="1" customWidth="1"/>
    <col min="12332" max="12332" width="38.75390625" style="430" hidden="1" customWidth="1"/>
    <col min="12333" max="12334" width="12.125" style="430" hidden="1" customWidth="1"/>
    <col min="12335" max="12335" width="13.75390625" style="430" hidden="1" customWidth="1"/>
    <col min="12336" max="12336" width="11.00390625" style="430" hidden="1" customWidth="1"/>
    <col min="12337" max="12337" width="22.625" style="430" hidden="1" customWidth="1"/>
    <col min="12338" max="12338" width="12.00390625" style="430" hidden="1" customWidth="1"/>
    <col min="12339" max="12548" width="9.125" style="430" hidden="1" customWidth="1"/>
    <col min="12549" max="12549" width="3.875" style="430" hidden="1" customWidth="1"/>
    <col min="12550" max="12550" width="17.75390625" style="430" hidden="1" customWidth="1"/>
    <col min="12551" max="12551" width="12.75390625" style="430" hidden="1" customWidth="1"/>
    <col min="12552" max="12552" width="45.75390625" style="430" hidden="1" customWidth="1"/>
    <col min="12553" max="12558" width="16.125" style="430" hidden="1" customWidth="1"/>
    <col min="12559" max="12560" width="19.00390625" style="430" hidden="1" customWidth="1"/>
    <col min="12561" max="12561" width="20.75390625" style="430" hidden="1" customWidth="1"/>
    <col min="12562" max="12562" width="7.00390625" style="430" hidden="1" customWidth="1"/>
    <col min="12563" max="12563" width="4.625" style="430" hidden="1" customWidth="1"/>
    <col min="12564" max="12564" width="16.00390625" style="430" hidden="1" customWidth="1"/>
    <col min="12565" max="12565" width="52.00390625" style="430" hidden="1" customWidth="1"/>
    <col min="12566" max="12568" width="16.25390625" style="430" hidden="1" customWidth="1"/>
    <col min="12569" max="12578" width="15.75390625" style="430" hidden="1" customWidth="1"/>
    <col min="12579" max="12579" width="38.75390625" style="430" hidden="1" customWidth="1"/>
    <col min="12580" max="12585" width="12.75390625" style="430" hidden="1" customWidth="1"/>
    <col min="12586" max="12586" width="9.125" style="430" hidden="1" customWidth="1"/>
    <col min="12587" max="12587" width="16.375" style="430" hidden="1" customWidth="1"/>
    <col min="12588" max="12588" width="38.75390625" style="430" hidden="1" customWidth="1"/>
    <col min="12589" max="12590" width="12.125" style="430" hidden="1" customWidth="1"/>
    <col min="12591" max="12591" width="13.75390625" style="430" hidden="1" customWidth="1"/>
    <col min="12592" max="12592" width="11.00390625" style="430" hidden="1" customWidth="1"/>
    <col min="12593" max="12593" width="22.625" style="430" hidden="1" customWidth="1"/>
    <col min="12594" max="12594" width="12.00390625" style="430" hidden="1" customWidth="1"/>
    <col min="12595" max="12804" width="9.125" style="430" hidden="1" customWidth="1"/>
    <col min="12805" max="12805" width="3.875" style="430" hidden="1" customWidth="1"/>
    <col min="12806" max="12806" width="17.75390625" style="430" hidden="1" customWidth="1"/>
    <col min="12807" max="12807" width="12.75390625" style="430" hidden="1" customWidth="1"/>
    <col min="12808" max="12808" width="45.75390625" style="430" hidden="1" customWidth="1"/>
    <col min="12809" max="12814" width="16.125" style="430" hidden="1" customWidth="1"/>
    <col min="12815" max="12816" width="19.00390625" style="430" hidden="1" customWidth="1"/>
    <col min="12817" max="12817" width="20.75390625" style="430" hidden="1" customWidth="1"/>
    <col min="12818" max="12818" width="7.00390625" style="430" hidden="1" customWidth="1"/>
    <col min="12819" max="12819" width="4.625" style="430" hidden="1" customWidth="1"/>
    <col min="12820" max="12820" width="16.00390625" style="430" hidden="1" customWidth="1"/>
    <col min="12821" max="12821" width="52.00390625" style="430" hidden="1" customWidth="1"/>
    <col min="12822" max="12824" width="16.25390625" style="430" hidden="1" customWidth="1"/>
    <col min="12825" max="12834" width="15.75390625" style="430" hidden="1" customWidth="1"/>
    <col min="12835" max="12835" width="38.75390625" style="430" hidden="1" customWidth="1"/>
    <col min="12836" max="12841" width="12.75390625" style="430" hidden="1" customWidth="1"/>
    <col min="12842" max="12842" width="9.125" style="430" hidden="1" customWidth="1"/>
    <col min="12843" max="12843" width="16.375" style="430" hidden="1" customWidth="1"/>
    <col min="12844" max="12844" width="38.75390625" style="430" hidden="1" customWidth="1"/>
    <col min="12845" max="12846" width="12.125" style="430" hidden="1" customWidth="1"/>
    <col min="12847" max="12847" width="13.75390625" style="430" hidden="1" customWidth="1"/>
    <col min="12848" max="12848" width="11.00390625" style="430" hidden="1" customWidth="1"/>
    <col min="12849" max="12849" width="22.625" style="430" hidden="1" customWidth="1"/>
    <col min="12850" max="12850" width="12.00390625" style="430" hidden="1" customWidth="1"/>
    <col min="12851" max="13060" width="9.125" style="430" hidden="1" customWidth="1"/>
    <col min="13061" max="13061" width="3.875" style="430" hidden="1" customWidth="1"/>
    <col min="13062" max="13062" width="17.75390625" style="430" hidden="1" customWidth="1"/>
    <col min="13063" max="13063" width="12.75390625" style="430" hidden="1" customWidth="1"/>
    <col min="13064" max="13064" width="45.75390625" style="430" hidden="1" customWidth="1"/>
    <col min="13065" max="13070" width="16.125" style="430" hidden="1" customWidth="1"/>
    <col min="13071" max="13072" width="19.00390625" style="430" hidden="1" customWidth="1"/>
    <col min="13073" max="13073" width="20.75390625" style="430" hidden="1" customWidth="1"/>
    <col min="13074" max="13074" width="7.00390625" style="430" hidden="1" customWidth="1"/>
    <col min="13075" max="13075" width="4.625" style="430" hidden="1" customWidth="1"/>
    <col min="13076" max="13076" width="16.00390625" style="430" hidden="1" customWidth="1"/>
    <col min="13077" max="13077" width="52.00390625" style="430" hidden="1" customWidth="1"/>
    <col min="13078" max="13080" width="16.25390625" style="430" hidden="1" customWidth="1"/>
    <col min="13081" max="13090" width="15.75390625" style="430" hidden="1" customWidth="1"/>
    <col min="13091" max="13091" width="38.75390625" style="430" hidden="1" customWidth="1"/>
    <col min="13092" max="13097" width="12.75390625" style="430" hidden="1" customWidth="1"/>
    <col min="13098" max="13098" width="9.125" style="430" hidden="1" customWidth="1"/>
    <col min="13099" max="13099" width="16.375" style="430" hidden="1" customWidth="1"/>
    <col min="13100" max="13100" width="38.75390625" style="430" hidden="1" customWidth="1"/>
    <col min="13101" max="13102" width="12.125" style="430" hidden="1" customWidth="1"/>
    <col min="13103" max="13103" width="13.75390625" style="430" hidden="1" customWidth="1"/>
    <col min="13104" max="13104" width="11.00390625" style="430" hidden="1" customWidth="1"/>
    <col min="13105" max="13105" width="22.625" style="430" hidden="1" customWidth="1"/>
    <col min="13106" max="13106" width="12.00390625" style="430" hidden="1" customWidth="1"/>
    <col min="13107" max="13316" width="9.125" style="430" hidden="1" customWidth="1"/>
    <col min="13317" max="13317" width="3.875" style="430" hidden="1" customWidth="1"/>
    <col min="13318" max="13318" width="17.75390625" style="430" hidden="1" customWidth="1"/>
    <col min="13319" max="13319" width="12.75390625" style="430" hidden="1" customWidth="1"/>
    <col min="13320" max="13320" width="45.75390625" style="430" hidden="1" customWidth="1"/>
    <col min="13321" max="13326" width="16.125" style="430" hidden="1" customWidth="1"/>
    <col min="13327" max="13328" width="19.00390625" style="430" hidden="1" customWidth="1"/>
    <col min="13329" max="13329" width="20.75390625" style="430" hidden="1" customWidth="1"/>
    <col min="13330" max="13330" width="7.00390625" style="430" hidden="1" customWidth="1"/>
    <col min="13331" max="13331" width="4.625" style="430" hidden="1" customWidth="1"/>
    <col min="13332" max="13332" width="16.00390625" style="430" hidden="1" customWidth="1"/>
    <col min="13333" max="13333" width="52.00390625" style="430" hidden="1" customWidth="1"/>
    <col min="13334" max="13336" width="16.25390625" style="430" hidden="1" customWidth="1"/>
    <col min="13337" max="13346" width="15.75390625" style="430" hidden="1" customWidth="1"/>
    <col min="13347" max="13347" width="38.75390625" style="430" hidden="1" customWidth="1"/>
    <col min="13348" max="13353" width="12.75390625" style="430" hidden="1" customWidth="1"/>
    <col min="13354" max="13354" width="9.125" style="430" hidden="1" customWidth="1"/>
    <col min="13355" max="13355" width="16.375" style="430" hidden="1" customWidth="1"/>
    <col min="13356" max="13356" width="38.75390625" style="430" hidden="1" customWidth="1"/>
    <col min="13357" max="13358" width="12.125" style="430" hidden="1" customWidth="1"/>
    <col min="13359" max="13359" width="13.75390625" style="430" hidden="1" customWidth="1"/>
    <col min="13360" max="13360" width="11.00390625" style="430" hidden="1" customWidth="1"/>
    <col min="13361" max="13361" width="22.625" style="430" hidden="1" customWidth="1"/>
    <col min="13362" max="13362" width="12.00390625" style="430" hidden="1" customWidth="1"/>
    <col min="13363" max="13572" width="9.125" style="430" hidden="1" customWidth="1"/>
    <col min="13573" max="13573" width="3.875" style="430" hidden="1" customWidth="1"/>
    <col min="13574" max="13574" width="17.75390625" style="430" hidden="1" customWidth="1"/>
    <col min="13575" max="13575" width="12.75390625" style="430" hidden="1" customWidth="1"/>
    <col min="13576" max="13576" width="45.75390625" style="430" hidden="1" customWidth="1"/>
    <col min="13577" max="13582" width="16.125" style="430" hidden="1" customWidth="1"/>
    <col min="13583" max="13584" width="19.00390625" style="430" hidden="1" customWidth="1"/>
    <col min="13585" max="13585" width="20.75390625" style="430" hidden="1" customWidth="1"/>
    <col min="13586" max="13586" width="7.00390625" style="430" hidden="1" customWidth="1"/>
    <col min="13587" max="13587" width="4.625" style="430" hidden="1" customWidth="1"/>
    <col min="13588" max="13588" width="16.00390625" style="430" hidden="1" customWidth="1"/>
    <col min="13589" max="13589" width="52.00390625" style="430" hidden="1" customWidth="1"/>
    <col min="13590" max="13592" width="16.25390625" style="430" hidden="1" customWidth="1"/>
    <col min="13593" max="13602" width="15.75390625" style="430" hidden="1" customWidth="1"/>
    <col min="13603" max="13603" width="38.75390625" style="430" hidden="1" customWidth="1"/>
    <col min="13604" max="13609" width="12.75390625" style="430" hidden="1" customWidth="1"/>
    <col min="13610" max="13610" width="9.125" style="430" hidden="1" customWidth="1"/>
    <col min="13611" max="13611" width="16.375" style="430" hidden="1" customWidth="1"/>
    <col min="13612" max="13612" width="38.75390625" style="430" hidden="1" customWidth="1"/>
    <col min="13613" max="13614" width="12.125" style="430" hidden="1" customWidth="1"/>
    <col min="13615" max="13615" width="13.75390625" style="430" hidden="1" customWidth="1"/>
    <col min="13616" max="13616" width="11.00390625" style="430" hidden="1" customWidth="1"/>
    <col min="13617" max="13617" width="22.625" style="430" hidden="1" customWidth="1"/>
    <col min="13618" max="13618" width="12.00390625" style="430" hidden="1" customWidth="1"/>
    <col min="13619" max="13828" width="9.125" style="430" hidden="1" customWidth="1"/>
    <col min="13829" max="13829" width="3.875" style="430" hidden="1" customWidth="1"/>
    <col min="13830" max="13830" width="17.75390625" style="430" hidden="1" customWidth="1"/>
    <col min="13831" max="13831" width="12.75390625" style="430" hidden="1" customWidth="1"/>
    <col min="13832" max="13832" width="45.75390625" style="430" hidden="1" customWidth="1"/>
    <col min="13833" max="13838" width="16.125" style="430" hidden="1" customWidth="1"/>
    <col min="13839" max="13840" width="19.00390625" style="430" hidden="1" customWidth="1"/>
    <col min="13841" max="13841" width="20.75390625" style="430" hidden="1" customWidth="1"/>
    <col min="13842" max="13842" width="7.00390625" style="430" hidden="1" customWidth="1"/>
    <col min="13843" max="13843" width="4.625" style="430" hidden="1" customWidth="1"/>
    <col min="13844" max="13844" width="16.00390625" style="430" hidden="1" customWidth="1"/>
    <col min="13845" max="13845" width="52.00390625" style="430" hidden="1" customWidth="1"/>
    <col min="13846" max="13848" width="16.25390625" style="430" hidden="1" customWidth="1"/>
    <col min="13849" max="13858" width="15.75390625" style="430" hidden="1" customWidth="1"/>
    <col min="13859" max="13859" width="38.75390625" style="430" hidden="1" customWidth="1"/>
    <col min="13860" max="13865" width="12.75390625" style="430" hidden="1" customWidth="1"/>
    <col min="13866" max="13866" width="9.125" style="430" hidden="1" customWidth="1"/>
    <col min="13867" max="13867" width="16.375" style="430" hidden="1" customWidth="1"/>
    <col min="13868" max="13868" width="38.75390625" style="430" hidden="1" customWidth="1"/>
    <col min="13869" max="13870" width="12.125" style="430" hidden="1" customWidth="1"/>
    <col min="13871" max="13871" width="13.75390625" style="430" hidden="1" customWidth="1"/>
    <col min="13872" max="13872" width="11.00390625" style="430" hidden="1" customWidth="1"/>
    <col min="13873" max="13873" width="22.625" style="430" hidden="1" customWidth="1"/>
    <col min="13874" max="13874" width="12.00390625" style="430" hidden="1" customWidth="1"/>
    <col min="13875" max="14084" width="9.125" style="430" hidden="1" customWidth="1"/>
    <col min="14085" max="14085" width="3.875" style="430" hidden="1" customWidth="1"/>
    <col min="14086" max="14086" width="17.75390625" style="430" hidden="1" customWidth="1"/>
    <col min="14087" max="14087" width="12.75390625" style="430" hidden="1" customWidth="1"/>
    <col min="14088" max="14088" width="45.75390625" style="430" hidden="1" customWidth="1"/>
    <col min="14089" max="14094" width="16.125" style="430" hidden="1" customWidth="1"/>
    <col min="14095" max="14096" width="19.00390625" style="430" hidden="1" customWidth="1"/>
    <col min="14097" max="14097" width="20.75390625" style="430" hidden="1" customWidth="1"/>
    <col min="14098" max="14098" width="7.00390625" style="430" hidden="1" customWidth="1"/>
    <col min="14099" max="14099" width="4.625" style="430" hidden="1" customWidth="1"/>
    <col min="14100" max="14100" width="16.00390625" style="430" hidden="1" customWidth="1"/>
    <col min="14101" max="14101" width="52.00390625" style="430" hidden="1" customWidth="1"/>
    <col min="14102" max="14104" width="16.25390625" style="430" hidden="1" customWidth="1"/>
    <col min="14105" max="14114" width="15.75390625" style="430" hidden="1" customWidth="1"/>
    <col min="14115" max="14115" width="38.75390625" style="430" hidden="1" customWidth="1"/>
    <col min="14116" max="14121" width="12.75390625" style="430" hidden="1" customWidth="1"/>
    <col min="14122" max="14122" width="9.125" style="430" hidden="1" customWidth="1"/>
    <col min="14123" max="14123" width="16.375" style="430" hidden="1" customWidth="1"/>
    <col min="14124" max="14124" width="38.75390625" style="430" hidden="1" customWidth="1"/>
    <col min="14125" max="14126" width="12.125" style="430" hidden="1" customWidth="1"/>
    <col min="14127" max="14127" width="13.75390625" style="430" hidden="1" customWidth="1"/>
    <col min="14128" max="14128" width="11.00390625" style="430" hidden="1" customWidth="1"/>
    <col min="14129" max="14129" width="22.625" style="430" hidden="1" customWidth="1"/>
    <col min="14130" max="14130" width="12.00390625" style="430" hidden="1" customWidth="1"/>
    <col min="14131" max="14340" width="9.125" style="430" hidden="1" customWidth="1"/>
    <col min="14341" max="14341" width="3.875" style="430" hidden="1" customWidth="1"/>
    <col min="14342" max="14342" width="17.75390625" style="430" hidden="1" customWidth="1"/>
    <col min="14343" max="14343" width="12.75390625" style="430" hidden="1" customWidth="1"/>
    <col min="14344" max="14344" width="45.75390625" style="430" hidden="1" customWidth="1"/>
    <col min="14345" max="14350" width="16.125" style="430" hidden="1" customWidth="1"/>
    <col min="14351" max="14352" width="19.00390625" style="430" hidden="1" customWidth="1"/>
    <col min="14353" max="14353" width="20.75390625" style="430" hidden="1" customWidth="1"/>
    <col min="14354" max="14354" width="7.00390625" style="430" hidden="1" customWidth="1"/>
    <col min="14355" max="14355" width="4.625" style="430" hidden="1" customWidth="1"/>
    <col min="14356" max="14356" width="16.00390625" style="430" hidden="1" customWidth="1"/>
    <col min="14357" max="14357" width="52.00390625" style="430" hidden="1" customWidth="1"/>
    <col min="14358" max="14360" width="16.25390625" style="430" hidden="1" customWidth="1"/>
    <col min="14361" max="14370" width="15.75390625" style="430" hidden="1" customWidth="1"/>
    <col min="14371" max="14371" width="38.75390625" style="430" hidden="1" customWidth="1"/>
    <col min="14372" max="14377" width="12.75390625" style="430" hidden="1" customWidth="1"/>
    <col min="14378" max="14378" width="9.125" style="430" hidden="1" customWidth="1"/>
    <col min="14379" max="14379" width="16.375" style="430" hidden="1" customWidth="1"/>
    <col min="14380" max="14380" width="38.75390625" style="430" hidden="1" customWidth="1"/>
    <col min="14381" max="14382" width="12.125" style="430" hidden="1" customWidth="1"/>
    <col min="14383" max="14383" width="13.75390625" style="430" hidden="1" customWidth="1"/>
    <col min="14384" max="14384" width="11.00390625" style="430" hidden="1" customWidth="1"/>
    <col min="14385" max="14385" width="22.625" style="430" hidden="1" customWidth="1"/>
    <col min="14386" max="14386" width="12.00390625" style="430" hidden="1" customWidth="1"/>
    <col min="14387" max="14596" width="9.125" style="430" hidden="1" customWidth="1"/>
    <col min="14597" max="14597" width="3.875" style="430" hidden="1" customWidth="1"/>
    <col min="14598" max="14598" width="17.75390625" style="430" hidden="1" customWidth="1"/>
    <col min="14599" max="14599" width="12.75390625" style="430" hidden="1" customWidth="1"/>
    <col min="14600" max="14600" width="45.75390625" style="430" hidden="1" customWidth="1"/>
    <col min="14601" max="14606" width="16.125" style="430" hidden="1" customWidth="1"/>
    <col min="14607" max="14608" width="19.00390625" style="430" hidden="1" customWidth="1"/>
    <col min="14609" max="14609" width="20.75390625" style="430" hidden="1" customWidth="1"/>
    <col min="14610" max="14610" width="7.00390625" style="430" hidden="1" customWidth="1"/>
    <col min="14611" max="14611" width="4.625" style="430" hidden="1" customWidth="1"/>
    <col min="14612" max="14612" width="16.00390625" style="430" hidden="1" customWidth="1"/>
    <col min="14613" max="14613" width="52.00390625" style="430" hidden="1" customWidth="1"/>
    <col min="14614" max="14616" width="16.25390625" style="430" hidden="1" customWidth="1"/>
    <col min="14617" max="14626" width="15.75390625" style="430" hidden="1" customWidth="1"/>
    <col min="14627" max="14627" width="38.75390625" style="430" hidden="1" customWidth="1"/>
    <col min="14628" max="14633" width="12.75390625" style="430" hidden="1" customWidth="1"/>
    <col min="14634" max="14634" width="9.125" style="430" hidden="1" customWidth="1"/>
    <col min="14635" max="14635" width="16.375" style="430" hidden="1" customWidth="1"/>
    <col min="14636" max="14636" width="38.75390625" style="430" hidden="1" customWidth="1"/>
    <col min="14637" max="14638" width="12.125" style="430" hidden="1" customWidth="1"/>
    <col min="14639" max="14639" width="13.75390625" style="430" hidden="1" customWidth="1"/>
    <col min="14640" max="14640" width="11.00390625" style="430" hidden="1" customWidth="1"/>
    <col min="14641" max="14641" width="22.625" style="430" hidden="1" customWidth="1"/>
    <col min="14642" max="14642" width="12.00390625" style="430" hidden="1" customWidth="1"/>
    <col min="14643" max="14852" width="9.125" style="430" hidden="1" customWidth="1"/>
    <col min="14853" max="14853" width="3.875" style="430" hidden="1" customWidth="1"/>
    <col min="14854" max="14854" width="17.75390625" style="430" hidden="1" customWidth="1"/>
    <col min="14855" max="14855" width="12.75390625" style="430" hidden="1" customWidth="1"/>
    <col min="14856" max="14856" width="45.75390625" style="430" hidden="1" customWidth="1"/>
    <col min="14857" max="14862" width="16.125" style="430" hidden="1" customWidth="1"/>
    <col min="14863" max="14864" width="19.00390625" style="430" hidden="1" customWidth="1"/>
    <col min="14865" max="14865" width="20.75390625" style="430" hidden="1" customWidth="1"/>
    <col min="14866" max="14866" width="7.00390625" style="430" hidden="1" customWidth="1"/>
    <col min="14867" max="14867" width="4.625" style="430" hidden="1" customWidth="1"/>
    <col min="14868" max="14868" width="16.00390625" style="430" hidden="1" customWidth="1"/>
    <col min="14869" max="14869" width="52.00390625" style="430" hidden="1" customWidth="1"/>
    <col min="14870" max="14872" width="16.25390625" style="430" hidden="1" customWidth="1"/>
    <col min="14873" max="14882" width="15.75390625" style="430" hidden="1" customWidth="1"/>
    <col min="14883" max="14883" width="38.75390625" style="430" hidden="1" customWidth="1"/>
    <col min="14884" max="14889" width="12.75390625" style="430" hidden="1" customWidth="1"/>
    <col min="14890" max="14890" width="9.125" style="430" hidden="1" customWidth="1"/>
    <col min="14891" max="14891" width="16.375" style="430" hidden="1" customWidth="1"/>
    <col min="14892" max="14892" width="38.75390625" style="430" hidden="1" customWidth="1"/>
    <col min="14893" max="14894" width="12.125" style="430" hidden="1" customWidth="1"/>
    <col min="14895" max="14895" width="13.75390625" style="430" hidden="1" customWidth="1"/>
    <col min="14896" max="14896" width="11.00390625" style="430" hidden="1" customWidth="1"/>
    <col min="14897" max="14897" width="22.625" style="430" hidden="1" customWidth="1"/>
    <col min="14898" max="14898" width="12.00390625" style="430" hidden="1" customWidth="1"/>
    <col min="14899" max="15108" width="9.125" style="430" hidden="1" customWidth="1"/>
    <col min="15109" max="15109" width="3.875" style="430" hidden="1" customWidth="1"/>
    <col min="15110" max="15110" width="17.75390625" style="430" hidden="1" customWidth="1"/>
    <col min="15111" max="15111" width="12.75390625" style="430" hidden="1" customWidth="1"/>
    <col min="15112" max="15112" width="45.75390625" style="430" hidden="1" customWidth="1"/>
    <col min="15113" max="15118" width="16.125" style="430" hidden="1" customWidth="1"/>
    <col min="15119" max="15120" width="19.00390625" style="430" hidden="1" customWidth="1"/>
    <col min="15121" max="15121" width="20.75390625" style="430" hidden="1" customWidth="1"/>
    <col min="15122" max="15122" width="7.00390625" style="430" hidden="1" customWidth="1"/>
    <col min="15123" max="15123" width="4.625" style="430" hidden="1" customWidth="1"/>
    <col min="15124" max="15124" width="16.00390625" style="430" hidden="1" customWidth="1"/>
    <col min="15125" max="15125" width="52.00390625" style="430" hidden="1" customWidth="1"/>
    <col min="15126" max="15128" width="16.25390625" style="430" hidden="1" customWidth="1"/>
    <col min="15129" max="15138" width="15.75390625" style="430" hidden="1" customWidth="1"/>
    <col min="15139" max="15139" width="38.75390625" style="430" hidden="1" customWidth="1"/>
    <col min="15140" max="15145" width="12.75390625" style="430" hidden="1" customWidth="1"/>
    <col min="15146" max="15146" width="9.125" style="430" hidden="1" customWidth="1"/>
    <col min="15147" max="15147" width="16.375" style="430" hidden="1" customWidth="1"/>
    <col min="15148" max="15148" width="38.75390625" style="430" hidden="1" customWidth="1"/>
    <col min="15149" max="15150" width="12.125" style="430" hidden="1" customWidth="1"/>
    <col min="15151" max="15151" width="13.75390625" style="430" hidden="1" customWidth="1"/>
    <col min="15152" max="15152" width="11.00390625" style="430" hidden="1" customWidth="1"/>
    <col min="15153" max="15153" width="22.625" style="430" hidden="1" customWidth="1"/>
    <col min="15154" max="15154" width="12.00390625" style="430" hidden="1" customWidth="1"/>
    <col min="15155" max="15364" width="9.125" style="430" hidden="1" customWidth="1"/>
    <col min="15365" max="15365" width="3.875" style="430" hidden="1" customWidth="1"/>
    <col min="15366" max="15366" width="17.75390625" style="430" hidden="1" customWidth="1"/>
    <col min="15367" max="15367" width="12.75390625" style="430" hidden="1" customWidth="1"/>
    <col min="15368" max="15368" width="45.75390625" style="430" hidden="1" customWidth="1"/>
    <col min="15369" max="15374" width="16.125" style="430" hidden="1" customWidth="1"/>
    <col min="15375" max="15376" width="19.00390625" style="430" hidden="1" customWidth="1"/>
    <col min="15377" max="15377" width="20.75390625" style="430" hidden="1" customWidth="1"/>
    <col min="15378" max="15378" width="7.00390625" style="430" hidden="1" customWidth="1"/>
    <col min="15379" max="15379" width="4.625" style="430" hidden="1" customWidth="1"/>
    <col min="15380" max="15380" width="16.00390625" style="430" hidden="1" customWidth="1"/>
    <col min="15381" max="15381" width="52.00390625" style="430" hidden="1" customWidth="1"/>
    <col min="15382" max="15384" width="16.25390625" style="430" hidden="1" customWidth="1"/>
    <col min="15385" max="15394" width="15.75390625" style="430" hidden="1" customWidth="1"/>
    <col min="15395" max="15395" width="38.75390625" style="430" hidden="1" customWidth="1"/>
    <col min="15396" max="15401" width="12.75390625" style="430" hidden="1" customWidth="1"/>
    <col min="15402" max="15402" width="9.125" style="430" hidden="1" customWidth="1"/>
    <col min="15403" max="15403" width="16.375" style="430" hidden="1" customWidth="1"/>
    <col min="15404" max="15404" width="38.75390625" style="430" hidden="1" customWidth="1"/>
    <col min="15405" max="15406" width="12.125" style="430" hidden="1" customWidth="1"/>
    <col min="15407" max="15407" width="13.75390625" style="430" hidden="1" customWidth="1"/>
    <col min="15408" max="15408" width="11.00390625" style="430" hidden="1" customWidth="1"/>
    <col min="15409" max="15409" width="22.625" style="430" hidden="1" customWidth="1"/>
    <col min="15410" max="15410" width="12.00390625" style="430" hidden="1" customWidth="1"/>
    <col min="15411" max="15620" width="9.125" style="430" hidden="1" customWidth="1"/>
    <col min="15621" max="15621" width="3.875" style="430" hidden="1" customWidth="1"/>
    <col min="15622" max="15622" width="17.75390625" style="430" hidden="1" customWidth="1"/>
    <col min="15623" max="15623" width="12.75390625" style="430" hidden="1" customWidth="1"/>
    <col min="15624" max="15624" width="45.75390625" style="430" hidden="1" customWidth="1"/>
    <col min="15625" max="15630" width="16.125" style="430" hidden="1" customWidth="1"/>
    <col min="15631" max="15632" width="19.00390625" style="430" hidden="1" customWidth="1"/>
    <col min="15633" max="15633" width="20.75390625" style="430" hidden="1" customWidth="1"/>
    <col min="15634" max="15634" width="7.00390625" style="430" hidden="1" customWidth="1"/>
    <col min="15635" max="15635" width="4.625" style="430" hidden="1" customWidth="1"/>
    <col min="15636" max="15636" width="16.00390625" style="430" hidden="1" customWidth="1"/>
    <col min="15637" max="15637" width="52.00390625" style="430" hidden="1" customWidth="1"/>
    <col min="15638" max="15640" width="16.25390625" style="430" hidden="1" customWidth="1"/>
    <col min="15641" max="15650" width="15.75390625" style="430" hidden="1" customWidth="1"/>
    <col min="15651" max="15651" width="38.75390625" style="430" hidden="1" customWidth="1"/>
    <col min="15652" max="15657" width="12.75390625" style="430" hidden="1" customWidth="1"/>
    <col min="15658" max="15658" width="9.125" style="430" hidden="1" customWidth="1"/>
    <col min="15659" max="15659" width="16.375" style="430" hidden="1" customWidth="1"/>
    <col min="15660" max="15660" width="38.75390625" style="430" hidden="1" customWidth="1"/>
    <col min="15661" max="15662" width="12.125" style="430" hidden="1" customWidth="1"/>
    <col min="15663" max="15663" width="13.75390625" style="430" hidden="1" customWidth="1"/>
    <col min="15664" max="15664" width="11.00390625" style="430" hidden="1" customWidth="1"/>
    <col min="15665" max="15665" width="22.625" style="430" hidden="1" customWidth="1"/>
    <col min="15666" max="15666" width="12.00390625" style="430" hidden="1" customWidth="1"/>
    <col min="15667" max="15876" width="9.125" style="430" hidden="1" customWidth="1"/>
    <col min="15877" max="15877" width="3.875" style="430" hidden="1" customWidth="1"/>
    <col min="15878" max="15878" width="17.75390625" style="430" hidden="1" customWidth="1"/>
    <col min="15879" max="15879" width="12.75390625" style="430" hidden="1" customWidth="1"/>
    <col min="15880" max="15880" width="45.75390625" style="430" hidden="1" customWidth="1"/>
    <col min="15881" max="15886" width="16.125" style="430" hidden="1" customWidth="1"/>
    <col min="15887" max="15888" width="19.00390625" style="430" hidden="1" customWidth="1"/>
    <col min="15889" max="15889" width="20.75390625" style="430" hidden="1" customWidth="1"/>
    <col min="15890" max="15890" width="7.00390625" style="430" hidden="1" customWidth="1"/>
    <col min="15891" max="15891" width="4.625" style="430" hidden="1" customWidth="1"/>
    <col min="15892" max="15892" width="16.00390625" style="430" hidden="1" customWidth="1"/>
    <col min="15893" max="15893" width="52.00390625" style="430" hidden="1" customWidth="1"/>
    <col min="15894" max="15896" width="16.25390625" style="430" hidden="1" customWidth="1"/>
    <col min="15897" max="15906" width="15.75390625" style="430" hidden="1" customWidth="1"/>
    <col min="15907" max="15907" width="38.75390625" style="430" hidden="1" customWidth="1"/>
    <col min="15908" max="15913" width="12.75390625" style="430" hidden="1" customWidth="1"/>
    <col min="15914" max="15914" width="9.125" style="430" hidden="1" customWidth="1"/>
    <col min="15915" max="15915" width="16.375" style="430" hidden="1" customWidth="1"/>
    <col min="15916" max="15916" width="38.75390625" style="430" hidden="1" customWidth="1"/>
    <col min="15917" max="15918" width="12.125" style="430" hidden="1" customWidth="1"/>
    <col min="15919" max="15919" width="13.75390625" style="430" hidden="1" customWidth="1"/>
    <col min="15920" max="15920" width="11.00390625" style="430" hidden="1" customWidth="1"/>
    <col min="15921" max="15921" width="22.625" style="430" hidden="1" customWidth="1"/>
    <col min="15922" max="15922" width="12.00390625" style="430" hidden="1" customWidth="1"/>
    <col min="15923" max="16132" width="9.125" style="430" hidden="1" customWidth="1"/>
    <col min="16133" max="16133" width="3.875" style="430" hidden="1" customWidth="1"/>
    <col min="16134" max="16134" width="17.75390625" style="430" hidden="1" customWidth="1"/>
    <col min="16135" max="16135" width="12.75390625" style="430" hidden="1" customWidth="1"/>
    <col min="16136" max="16136" width="45.75390625" style="430" hidden="1" customWidth="1"/>
    <col min="16137" max="16142" width="16.125" style="430" hidden="1" customWidth="1"/>
    <col min="16143" max="16144" width="19.00390625" style="430" hidden="1" customWidth="1"/>
    <col min="16145" max="16145" width="20.75390625" style="430" hidden="1" customWidth="1"/>
    <col min="16146" max="16146" width="7.00390625" style="430" hidden="1" customWidth="1"/>
    <col min="16147" max="16147" width="4.625" style="430" hidden="1" customWidth="1"/>
    <col min="16148" max="16148" width="16.00390625" style="430" hidden="1" customWidth="1"/>
    <col min="16149" max="16149" width="52.00390625" style="430" hidden="1" customWidth="1"/>
    <col min="16150" max="16152" width="16.25390625" style="430" hidden="1" customWidth="1"/>
    <col min="16153" max="16162" width="15.75390625" style="430" hidden="1" customWidth="1"/>
    <col min="16163" max="16163" width="38.75390625" style="430" hidden="1" customWidth="1"/>
    <col min="16164" max="16169" width="12.75390625" style="430" hidden="1" customWidth="1"/>
    <col min="16170" max="16170" width="9.125" style="430" hidden="1" customWidth="1"/>
    <col min="16171" max="16171" width="16.375" style="430" hidden="1" customWidth="1"/>
    <col min="16172" max="16172" width="38.75390625" style="430" hidden="1" customWidth="1"/>
    <col min="16173" max="16174" width="12.125" style="430" hidden="1" customWidth="1"/>
    <col min="16175" max="16175" width="13.75390625" style="430" hidden="1" customWidth="1"/>
    <col min="16176" max="16176" width="11.00390625" style="430" hidden="1" customWidth="1"/>
    <col min="16177" max="16177" width="22.625" style="430" hidden="1" customWidth="1"/>
    <col min="16178" max="16178" width="12.00390625" style="430" hidden="1" customWidth="1"/>
    <col min="16179" max="16384" width="9.125" style="430" hidden="1" customWidth="1"/>
  </cols>
  <sheetData>
    <row r="1" ht="20.1" customHeight="1" thickBot="1"/>
    <row r="2" spans="2:18" ht="30" customHeight="1">
      <c r="B2" s="593" t="s">
        <v>1193</v>
      </c>
      <c r="C2" s="431"/>
      <c r="D2" s="502"/>
      <c r="E2" s="500" t="s">
        <v>160</v>
      </c>
      <c r="F2" s="527"/>
      <c r="G2" s="500" t="s">
        <v>739</v>
      </c>
      <c r="H2" s="500" t="s">
        <v>740</v>
      </c>
      <c r="I2" s="432"/>
      <c r="J2" s="432"/>
      <c r="K2" s="432"/>
      <c r="L2" s="432"/>
      <c r="M2" s="432"/>
      <c r="N2" s="432"/>
      <c r="O2" s="432"/>
      <c r="P2" s="432"/>
      <c r="Q2" s="432"/>
      <c r="R2" s="433"/>
    </row>
    <row r="3" spans="2:18" ht="21.95" customHeight="1">
      <c r="B3" s="434"/>
      <c r="C3" s="435"/>
      <c r="D3" s="439" t="s">
        <v>814</v>
      </c>
      <c r="E3" s="501">
        <f>SUM('Pre 16 Ready Reckoner'!$G$22:$G$22)</f>
        <v>0</v>
      </c>
      <c r="F3" s="436"/>
      <c r="G3" s="501">
        <f>SUM('Pre 16 Ready Reckoner'!$G$23:$G$25)</f>
        <v>0</v>
      </c>
      <c r="H3" s="501">
        <f>SUM('Pre 16 Ready Reckoner'!$G$26:$G$27)</f>
        <v>0</v>
      </c>
      <c r="I3" s="436"/>
      <c r="J3" s="436"/>
      <c r="K3" s="436"/>
      <c r="L3" s="436"/>
      <c r="M3" s="436"/>
      <c r="N3" s="436"/>
      <c r="O3" s="436"/>
      <c r="P3" s="436"/>
      <c r="Q3" s="436"/>
      <c r="R3" s="437"/>
    </row>
    <row r="4" spans="2:18" customHeight="1">
      <c r="B4" s="434"/>
      <c r="C4" s="435"/>
      <c r="D4" s="438"/>
      <c r="E4" s="438"/>
      <c r="F4" s="435"/>
      <c r="G4" s="435"/>
      <c r="H4" s="436"/>
      <c r="I4" s="436"/>
      <c r="J4" s="436"/>
      <c r="K4" s="436"/>
      <c r="L4" s="436"/>
      <c r="M4" s="436"/>
      <c r="N4" s="436"/>
      <c r="O4" s="436"/>
      <c r="P4" s="436"/>
      <c r="Q4" s="436"/>
      <c r="R4" s="437"/>
    </row>
    <row r="5" spans="2:18" ht="21.95" customHeight="1">
      <c r="B5" s="434"/>
      <c r="C5" s="436"/>
      <c r="D5" s="439" t="s">
        <v>815</v>
      </c>
      <c r="E5" s="529" t="str">
        <f>'Pre 16 Ready Reckoner'!$M$14</f>
        <v/>
      </c>
      <c r="F5" s="436"/>
      <c r="G5" s="436"/>
      <c r="H5" s="436"/>
      <c r="I5" s="436"/>
      <c r="J5" s="436"/>
      <c r="K5" s="436"/>
      <c r="L5" s="436"/>
      <c r="M5" s="436"/>
      <c r="N5" s="436"/>
      <c r="O5" s="436"/>
      <c r="P5" s="436"/>
      <c r="Q5" s="436"/>
      <c r="R5" s="437"/>
    </row>
    <row r="6" spans="2:18" ht="18.75" customHeight="1">
      <c r="B6" s="434"/>
      <c r="C6" s="436"/>
      <c r="D6" s="436"/>
      <c r="E6" s="791" t="str">
        <f>RR_previous_year!M14</f>
        <v/>
      </c>
      <c r="F6" s="436"/>
      <c r="G6" s="436"/>
      <c r="H6" s="436"/>
      <c r="I6" s="436"/>
      <c r="J6" s="436"/>
      <c r="K6" s="436"/>
      <c r="L6" s="436"/>
      <c r="M6" s="436"/>
      <c r="N6" s="436"/>
      <c r="O6" s="436"/>
      <c r="P6" s="436"/>
      <c r="Q6" s="436"/>
      <c r="R6" s="437"/>
    </row>
    <row r="7" spans="2:18" ht="9.95" customHeight="1">
      <c r="B7" s="434"/>
      <c r="C7" s="436"/>
      <c r="D7" s="436"/>
      <c r="E7" s="435"/>
      <c r="F7" s="436"/>
      <c r="G7" s="436"/>
      <c r="H7" s="436"/>
      <c r="I7" s="436"/>
      <c r="J7" s="436"/>
      <c r="K7" s="436"/>
      <c r="L7" s="436"/>
      <c r="M7" s="436"/>
      <c r="N7" s="436"/>
      <c r="O7" s="436"/>
      <c r="P7" s="436"/>
      <c r="Q7" s="436"/>
      <c r="R7" s="437"/>
    </row>
    <row r="8" spans="2:18" ht="9.95" customHeight="1">
      <c r="B8" s="434"/>
      <c r="C8" s="436"/>
      <c r="D8" s="436"/>
      <c r="E8" s="436"/>
      <c r="F8" s="436"/>
      <c r="G8" s="436"/>
      <c r="H8" s="436"/>
      <c r="I8" s="436"/>
      <c r="J8" s="436"/>
      <c r="K8" s="436"/>
      <c r="L8" s="436"/>
      <c r="M8" s="436"/>
      <c r="N8" s="436"/>
      <c r="O8" s="436"/>
      <c r="P8" s="436"/>
      <c r="Q8" s="436"/>
      <c r="R8" s="437"/>
    </row>
    <row r="9" spans="2:18" ht="9.95" customHeight="1">
      <c r="B9" s="434"/>
      <c r="C9" s="440"/>
      <c r="D9" s="436"/>
      <c r="E9" s="441"/>
      <c r="F9" s="436"/>
      <c r="G9" s="436"/>
      <c r="H9" s="436"/>
      <c r="I9" s="436"/>
      <c r="J9" s="436"/>
      <c r="K9" s="436"/>
      <c r="L9" s="436"/>
      <c r="M9" s="436"/>
      <c r="N9" s="436"/>
      <c r="O9" s="436"/>
      <c r="P9" s="436"/>
      <c r="Q9" s="436"/>
      <c r="R9" s="437"/>
    </row>
    <row r="10" spans="2:19" ht="21.95" customHeight="1">
      <c r="B10" s="434"/>
      <c r="C10" s="442" t="s">
        <v>775</v>
      </c>
      <c r="D10" s="443"/>
      <c r="E10" s="444">
        <f>$E$115</f>
        <v>0</v>
      </c>
      <c r="F10" s="445"/>
      <c r="G10" s="445"/>
      <c r="H10" s="445"/>
      <c r="I10" s="445"/>
      <c r="J10" s="445"/>
      <c r="K10" s="446"/>
      <c r="L10" s="436"/>
      <c r="M10" s="436"/>
      <c r="N10" s="436"/>
      <c r="O10" s="436"/>
      <c r="P10" s="436"/>
      <c r="Q10" s="436"/>
      <c r="R10" s="437"/>
      <c r="S10" s="436"/>
    </row>
    <row r="11" spans="2:19" customHeight="1">
      <c r="B11" s="434"/>
      <c r="C11" s="447"/>
      <c r="D11" s="436"/>
      <c r="E11" s="436"/>
      <c r="F11" s="436"/>
      <c r="G11" s="436"/>
      <c r="H11" s="436"/>
      <c r="I11" s="436"/>
      <c r="J11" s="436"/>
      <c r="K11" s="448"/>
      <c r="L11" s="436"/>
      <c r="M11" s="436"/>
      <c r="N11" s="436"/>
      <c r="O11" s="436"/>
      <c r="P11" s="436"/>
      <c r="Q11" s="436"/>
      <c r="R11" s="437"/>
      <c r="S11" s="436"/>
    </row>
    <row r="12" spans="2:19" customHeight="1">
      <c r="B12" s="434"/>
      <c r="C12" s="449" t="s">
        <v>1194</v>
      </c>
      <c r="D12" s="450"/>
      <c r="E12" s="451"/>
      <c r="F12" s="450"/>
      <c r="G12" s="450"/>
      <c r="H12" s="450"/>
      <c r="I12" s="450"/>
      <c r="J12" s="450"/>
      <c r="K12" s="452"/>
      <c r="L12" s="436"/>
      <c r="M12" s="436"/>
      <c r="N12" s="436"/>
      <c r="O12" s="436"/>
      <c r="P12" s="436"/>
      <c r="Q12" s="436"/>
      <c r="R12" s="437"/>
      <c r="S12" s="436"/>
    </row>
    <row r="13" spans="2:49" s="436" customFormat="1" ht="9.95" customHeight="1">
      <c r="B13" s="434"/>
      <c r="R13" s="437"/>
      <c r="T13" s="430"/>
      <c r="U13" s="430"/>
      <c r="V13" s="430"/>
      <c r="W13" s="430"/>
      <c r="X13" s="430"/>
      <c r="Y13" s="430"/>
      <c r="Z13" s="430"/>
      <c r="AA13" s="430"/>
      <c r="AB13" s="430"/>
      <c r="AC13" s="430"/>
      <c r="AD13" s="430"/>
      <c r="AE13" s="430"/>
      <c r="AF13" s="430"/>
      <c r="AG13" s="430"/>
      <c r="AH13" s="430"/>
      <c r="AI13" s="430"/>
      <c r="AJ13" s="430"/>
      <c r="AK13" s="430"/>
      <c r="AL13" s="430"/>
      <c r="AM13" s="430"/>
      <c r="AN13" s="430"/>
      <c r="AO13" s="430"/>
      <c r="AP13" s="430"/>
      <c r="AQ13" s="430"/>
      <c r="AR13" s="430"/>
      <c r="AS13" s="430"/>
      <c r="AT13" s="430"/>
      <c r="AU13" s="430"/>
      <c r="AV13" s="430"/>
      <c r="AW13" s="430"/>
    </row>
    <row r="14" spans="2:18" ht="9.95" customHeight="1">
      <c r="B14" s="434"/>
      <c r="C14" s="436"/>
      <c r="D14" s="436"/>
      <c r="E14" s="436"/>
      <c r="F14" s="436"/>
      <c r="G14" s="436"/>
      <c r="H14" s="436"/>
      <c r="I14" s="436"/>
      <c r="J14" s="436"/>
      <c r="K14" s="436"/>
      <c r="L14" s="436"/>
      <c r="M14" s="436"/>
      <c r="N14" s="436"/>
      <c r="O14" s="436"/>
      <c r="P14" s="436"/>
      <c r="Q14" s="436"/>
      <c r="R14" s="437"/>
    </row>
    <row r="15" spans="2:18" ht="9.95" customHeight="1">
      <c r="B15" s="434"/>
      <c r="C15" s="436"/>
      <c r="D15" s="436"/>
      <c r="E15" s="436"/>
      <c r="F15" s="436"/>
      <c r="G15" s="436"/>
      <c r="H15" s="436"/>
      <c r="I15" s="436"/>
      <c r="J15" s="436"/>
      <c r="K15" s="436"/>
      <c r="L15" s="436"/>
      <c r="M15" s="436"/>
      <c r="N15" s="436"/>
      <c r="O15" s="436"/>
      <c r="P15" s="436"/>
      <c r="Q15" s="436"/>
      <c r="R15" s="437"/>
    </row>
    <row r="16" spans="2:18" ht="9.95" customHeight="1">
      <c r="B16" s="434"/>
      <c r="C16" s="436"/>
      <c r="D16" s="436"/>
      <c r="E16" s="436"/>
      <c r="F16" s="436"/>
      <c r="G16" s="436"/>
      <c r="H16" s="436"/>
      <c r="I16" s="436"/>
      <c r="J16" s="436"/>
      <c r="K16" s="436"/>
      <c r="L16" s="436"/>
      <c r="M16" s="436"/>
      <c r="N16" s="436"/>
      <c r="O16" s="436"/>
      <c r="P16" s="436"/>
      <c r="Q16" s="436"/>
      <c r="R16" s="437"/>
    </row>
    <row r="17" spans="2:18" ht="9.95" customHeight="1">
      <c r="B17" s="434"/>
      <c r="C17" s="436"/>
      <c r="D17" s="436"/>
      <c r="E17" s="436"/>
      <c r="F17" s="436"/>
      <c r="G17" s="436"/>
      <c r="H17" s="436"/>
      <c r="I17" s="436"/>
      <c r="J17" s="436"/>
      <c r="K17" s="436"/>
      <c r="L17" s="436"/>
      <c r="M17" s="436"/>
      <c r="N17" s="436"/>
      <c r="O17" s="436"/>
      <c r="P17" s="436"/>
      <c r="Q17" s="436"/>
      <c r="R17" s="437"/>
    </row>
    <row r="18" spans="2:19" ht="9.95" customHeight="1">
      <c r="B18" s="434"/>
      <c r="C18" s="436"/>
      <c r="D18" s="436"/>
      <c r="E18" s="436"/>
      <c r="F18" s="436"/>
      <c r="G18" s="436"/>
      <c r="H18" s="436"/>
      <c r="I18" s="436"/>
      <c r="J18" s="436"/>
      <c r="K18" s="436"/>
      <c r="L18" s="436"/>
      <c r="M18" s="436"/>
      <c r="N18" s="436"/>
      <c r="O18" s="436"/>
      <c r="P18" s="436"/>
      <c r="Q18" s="436"/>
      <c r="R18" s="437"/>
      <c r="S18" s="436"/>
    </row>
    <row r="19" spans="2:19" ht="20.1" customHeight="1">
      <c r="B19" s="434"/>
      <c r="C19" s="528" t="s">
        <v>1114</v>
      </c>
      <c r="D19" s="482"/>
      <c r="E19" s="482"/>
      <c r="F19" s="482"/>
      <c r="G19" s="482"/>
      <c r="H19" s="482"/>
      <c r="I19" s="482"/>
      <c r="J19" s="482"/>
      <c r="K19" s="482"/>
      <c r="L19" s="436"/>
      <c r="M19" s="436"/>
      <c r="N19" s="436"/>
      <c r="O19" s="436"/>
      <c r="P19" s="436"/>
      <c r="Q19" s="436"/>
      <c r="R19" s="437"/>
      <c r="S19" s="436"/>
    </row>
    <row r="20" spans="2:19" ht="10.15" customHeight="1" thickBot="1">
      <c r="B20" s="434"/>
      <c r="C20" s="436"/>
      <c r="D20" s="436"/>
      <c r="E20" s="436"/>
      <c r="F20" s="436"/>
      <c r="G20" s="436"/>
      <c r="H20" s="436"/>
      <c r="I20" s="436"/>
      <c r="J20" s="436"/>
      <c r="K20" s="436"/>
      <c r="L20" s="436"/>
      <c r="M20" s="436"/>
      <c r="N20" s="436"/>
      <c r="O20" s="436"/>
      <c r="P20" s="436"/>
      <c r="Q20" s="436"/>
      <c r="R20" s="437"/>
      <c r="S20" s="436"/>
    </row>
    <row r="21" spans="2:49" s="429" customFormat="1" ht="30" customHeight="1">
      <c r="B21" s="419"/>
      <c r="C21" s="349"/>
      <c r="D21" s="488"/>
      <c r="E21" s="487" t="s">
        <v>160</v>
      </c>
      <c r="F21" s="488"/>
      <c r="G21" s="488"/>
      <c r="H21" s="487" t="s">
        <v>739</v>
      </c>
      <c r="I21" s="487"/>
      <c r="J21" s="487"/>
      <c r="K21" s="487" t="s">
        <v>740</v>
      </c>
      <c r="L21" s="488"/>
      <c r="M21" s="488"/>
      <c r="N21" s="488"/>
      <c r="O21" s="487" t="s">
        <v>1115</v>
      </c>
      <c r="P21" s="487"/>
      <c r="Q21" s="487"/>
      <c r="R21" s="454"/>
      <c r="S21" s="455"/>
      <c r="T21" s="430"/>
      <c r="U21" s="430"/>
      <c r="V21" s="430"/>
      <c r="W21" s="430"/>
      <c r="X21" s="430"/>
      <c r="Y21" s="430"/>
      <c r="Z21" s="430"/>
      <c r="AA21" s="430"/>
      <c r="AB21" s="430"/>
      <c r="AC21" s="430"/>
      <c r="AD21" s="430"/>
      <c r="AE21" s="430"/>
      <c r="AF21" s="430"/>
      <c r="AG21" s="430"/>
      <c r="AH21" s="430"/>
      <c r="AI21" s="430"/>
      <c r="AJ21" s="430"/>
      <c r="AK21" s="430"/>
      <c r="AL21" s="430"/>
      <c r="AM21" s="430"/>
      <c r="AN21" s="430"/>
      <c r="AO21" s="430"/>
      <c r="AP21" s="430"/>
      <c r="AQ21" s="430"/>
      <c r="AR21" s="430"/>
      <c r="AS21" s="430"/>
      <c r="AT21" s="430"/>
      <c r="AU21" s="430"/>
      <c r="AV21" s="430"/>
      <c r="AW21" s="430"/>
    </row>
    <row r="22" spans="2:49" s="349" customFormat="1" ht="21.95" customHeight="1">
      <c r="B22" s="419"/>
      <c r="C22" s="420"/>
      <c r="D22" s="420" t="s">
        <v>741</v>
      </c>
      <c r="E22" s="460" t="s">
        <v>777</v>
      </c>
      <c r="F22" s="460" t="s">
        <v>742</v>
      </c>
      <c r="G22" s="460"/>
      <c r="H22" s="460" t="s">
        <v>777</v>
      </c>
      <c r="I22" s="460" t="s">
        <v>742</v>
      </c>
      <c r="J22" s="460"/>
      <c r="K22" s="460" t="s">
        <v>777</v>
      </c>
      <c r="L22" s="460" t="s">
        <v>742</v>
      </c>
      <c r="M22" s="460"/>
      <c r="N22" s="460"/>
      <c r="O22" s="460" t="s">
        <v>160</v>
      </c>
      <c r="P22" s="460" t="s">
        <v>743</v>
      </c>
      <c r="Q22" s="460" t="s">
        <v>744</v>
      </c>
      <c r="R22" s="454"/>
      <c r="S22" s="455"/>
      <c r="T22" s="430"/>
      <c r="U22" s="430"/>
      <c r="V22" s="430"/>
      <c r="W22" s="430"/>
      <c r="X22" s="430"/>
      <c r="Y22" s="430"/>
      <c r="Z22" s="430"/>
      <c r="AA22" s="430"/>
      <c r="AB22" s="430"/>
      <c r="AC22" s="430"/>
      <c r="AD22" s="430"/>
      <c r="AE22" s="430"/>
      <c r="AF22" s="430"/>
      <c r="AG22" s="430"/>
      <c r="AH22" s="430"/>
      <c r="AI22" s="430"/>
      <c r="AJ22" s="430"/>
      <c r="AK22" s="430"/>
      <c r="AL22" s="430"/>
      <c r="AM22" s="430"/>
      <c r="AN22" s="430"/>
      <c r="AO22" s="430"/>
      <c r="AP22" s="430"/>
      <c r="AQ22" s="430"/>
      <c r="AR22" s="430"/>
      <c r="AS22" s="430"/>
      <c r="AT22" s="430"/>
      <c r="AU22" s="430"/>
      <c r="AV22" s="430"/>
      <c r="AW22" s="430"/>
    </row>
    <row r="23" spans="2:49" s="349" customFormat="1" ht="21.95" customHeight="1">
      <c r="B23" s="419"/>
      <c r="C23" s="420"/>
      <c r="D23" s="420" t="s">
        <v>745</v>
      </c>
      <c r="E23" s="489">
        <f>IF($E$6="", 0, IF(E3=0,0,INDEX(Proforma_previous_year!$G:$G,MATCH($E$6,Proforma_previous_year!$A:$A,0))))</f>
        <v>0</v>
      </c>
      <c r="F23" s="489">
        <f>IF($E$5="", 0, IF(E3=0,0,INDEX(Proforma_current_year!$G:$G,MATCH($E$5,Proforma_current_year!$A:$A,0))))</f>
        <v>0</v>
      </c>
      <c r="G23" s="489"/>
      <c r="H23" s="489">
        <f>IF($E$6="", 0, IF($G$3=0,0,INDEX(Proforma_previous_year!$H:$H,MATCH($E$6,Proforma_previous_year!$A:$A,0))))</f>
        <v>0</v>
      </c>
      <c r="I23" s="489">
        <f>IF($E$5="", 0, IF($G$3=0,0,INDEX(Proforma_current_year!$H:$H,MATCH($E$5,Proforma_current_year!$A:$A,0))))</f>
        <v>0</v>
      </c>
      <c r="J23" s="489"/>
      <c r="K23" s="489">
        <f>IF($E$6="", 0, IF($H$3=0,0,INDEX(Proforma_previous_year!$I:$I,MATCH($E$6,Proforma_previous_year!$A:$A,0))))</f>
        <v>0</v>
      </c>
      <c r="L23" s="489">
        <f>IF($E$5="", 0, IF($H$3=0,0,INDEX(Proforma_current_year!$I:$I,MATCH($E$5,Proforma_current_year!$A:$A,0))))</f>
        <v>0</v>
      </c>
      <c r="M23" s="489"/>
      <c r="N23" s="489"/>
      <c r="O23" s="468"/>
      <c r="P23" s="468"/>
      <c r="Q23" s="468"/>
      <c r="R23" s="456"/>
      <c r="S23" s="457"/>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c r="AT23" s="430"/>
      <c r="AU23" s="430"/>
      <c r="AV23" s="430"/>
      <c r="AW23" s="430"/>
    </row>
    <row r="24" spans="2:49" s="349" customFormat="1" ht="21.95" customHeight="1">
      <c r="B24" s="419"/>
      <c r="C24" s="420"/>
      <c r="D24" s="420" t="s">
        <v>746</v>
      </c>
      <c r="E24" s="789">
        <f>IF($E$6="", 0, IF($E$3=0,0,IF(INDEX(Proforma_previous_year!$N:$N,MATCH($E$6,Proforma_previous_year!$A:$A,0)) = "", 0, INDEX(Proforma_previous_year!$N:$N,MATCH($E$6,Proforma_previous_year!$A:$A,0))) * INDEX('LA Averages_previous_year'!$O:$O,MATCH($E$6,'LA Averages_previous_year'!$A:$A,0))))</f>
        <v>0</v>
      </c>
      <c r="F24" s="489">
        <f>IF($E$5="", 0, IF($E$3=0,0,IF(INDEX(Proforma_current_year!$N:$N,(MATCH($E$5,Proforma_current_year!$A:$A,0))) = "", 0, INDEX(Proforma_current_year!$N:$N,(MATCH($E$5,Proforma_current_year!$A:$A,0))))*$O24))</f>
        <v>0</v>
      </c>
      <c r="G24" s="489"/>
      <c r="H24" s="789">
        <f>IF($E$6="", 0, IF($G$3=0,0,IF(INDEX(Proforma_previous_year!$O:$O,MATCH($E$6,Proforma_previous_year!$A:$A,0))="", 0, INDEX(Proforma_previous_year!$O:$O,MATCH($E$6,Proforma_previous_year!$A:$A,0))) * INDEX('LA Averages_previous_year'!$V:$V,MATCH($E$6,'LA Averages_previous_year'!$A:$A,0))))</f>
        <v>0</v>
      </c>
      <c r="I24" s="489">
        <f>IF($E$5="", 0, IF($G$3=0,0,IF(INDEX(Proforma_current_year!$O:$O,MATCH($E$5,Proforma_current_year!$A:$A,0))="", 0, INDEX(Proforma_current_year!$O:$O,MATCH($E$5,Proforma_current_year!$A:$A,0))) * $P24))</f>
        <v>0</v>
      </c>
      <c r="J24" s="489"/>
      <c r="K24" s="789">
        <f>IF($E$6="", 0, IF($H$3=0,0,IF(INDEX(Proforma_previous_year!$O:$O,MATCH($E$6,Proforma_previous_year!$A:$A,0))="", 0, INDEX(Proforma_previous_year!$O:$O,MATCH($E$6,Proforma_previous_year!$A:$A,0))) * INDEX('LA Averages_previous_year'!$V:$V,MATCH($E$6,'LA Averages_previous_year'!$A:$A,0))))</f>
        <v>0</v>
      </c>
      <c r="L24" s="489">
        <f>IF($E$5="", 0, IF($H$3=0,0,IF(INDEX(Proforma_current_year!$O:$O,MATCH($E$5,Proforma_current_year!$A:$A,0))="", 0, INDEX(Proforma_current_year!$O:$O,MATCH($E$5,Proforma_current_year!$A:$A,0))) * $Q24))</f>
        <v>0</v>
      </c>
      <c r="M24" s="489"/>
      <c r="N24" s="489"/>
      <c r="O24" s="650">
        <f>IF($E$5="", 0,IF(SUM('Pre 16 Ready Reckoner'!$G$22:$G$22)&gt;0,INDEX('LA Averages_current_year'!$P:$P,MATCH($E$5,'LA Averages_current_year'!$A:$A,0)),0))</f>
        <v>0</v>
      </c>
      <c r="P24" s="490">
        <f>IF($E$5="", 0,IF(SUM('Pre 16 Ready Reckoner'!$G$23:$G$25)&gt;0,INDEX('LA Averages_current_year'!$W:$W,MATCH($E$5,'LA Averages_current_year'!$A:$A,0)),0))</f>
        <v>0</v>
      </c>
      <c r="Q24" s="793">
        <f>IF($E$5="", 0,IF(SUM('Pre 16 Ready Reckoner'!$G$26:$G$27)&gt;0,INDEX('LA Averages_current_year'!$W:$W,MATCH($E$5,'LA Averages_current_year'!$A:$A,0)),0))</f>
        <v>0</v>
      </c>
      <c r="R24" s="458"/>
      <c r="S24" s="459"/>
      <c r="T24" s="430"/>
      <c r="U24" s="430"/>
      <c r="V24" s="430"/>
      <c r="W24" s="430"/>
      <c r="X24" s="430"/>
      <c r="Y24" s="430"/>
      <c r="Z24" s="430"/>
      <c r="AA24" s="430"/>
      <c r="AB24" s="430"/>
      <c r="AC24" s="430"/>
      <c r="AD24" s="430"/>
      <c r="AE24" s="430"/>
      <c r="AF24" s="430"/>
      <c r="AG24" s="430"/>
      <c r="AH24" s="430"/>
      <c r="AI24" s="430"/>
      <c r="AJ24" s="430"/>
      <c r="AK24" s="430"/>
      <c r="AL24" s="430"/>
      <c r="AM24" s="430"/>
      <c r="AN24" s="430"/>
      <c r="AO24" s="430"/>
      <c r="AP24" s="430"/>
      <c r="AQ24" s="430"/>
      <c r="AR24" s="430"/>
      <c r="AS24" s="430"/>
      <c r="AT24" s="430"/>
      <c r="AU24" s="430"/>
      <c r="AV24" s="430"/>
      <c r="AW24" s="430"/>
    </row>
    <row r="25" spans="2:49" s="349" customFormat="1" ht="21.95" customHeight="1">
      <c r="B25" s="419"/>
      <c r="C25" s="420"/>
      <c r="D25" s="420" t="s">
        <v>747</v>
      </c>
      <c r="E25" s="789">
        <f>IF($E$6="", 0, IF($E$3=0,0,IF(INDEX(Proforma_previous_year!$P:$P,MATCH($E$6,Proforma_previous_year!$A:$A,0)) = "", 0, INDEX(Proforma_previous_year!$P:$P,MATCH($E$6,Proforma_previous_year!$A:$A,0))) * INDEX('LA Averages_previous_year'!$P:$P,MATCH($E$6,'LA Averages_previous_year'!$A:$A,0))))</f>
        <v>0</v>
      </c>
      <c r="F25" s="489">
        <f>IF($E$5="", 0, IF($E$3=0,0,IF(INDEX(Proforma_current_year!$P:$P,(MATCH($E$5,Proforma_current_year!$A:$A,0))) = "", 0, INDEX(Proforma_current_year!$P:$P,(MATCH($E$5,Proforma_current_year!$A:$A,0))))*$O25))</f>
        <v>0</v>
      </c>
      <c r="G25" s="489"/>
      <c r="H25" s="789">
        <f>IF($E$6="", 0, IF($G$3=0,0,IF(INDEX(Proforma_previous_year!$Q:$Q,MATCH($E$6,Proforma_previous_year!$A:$A,0))="", 0, INDEX(Proforma_previous_year!$Q:$Q,MATCH($E$6,Proforma_previous_year!$A:$A,0))) * INDEX('LA Averages_previous_year'!$W:$W,MATCH($E$6,'LA Averages_previous_year'!$A:$A,0))))</f>
        <v>0</v>
      </c>
      <c r="I25" s="489">
        <f>IF($E$5="", 0, IF($G$3=0,0,IF(INDEX(Proforma_current_year!$Q:$Q,MATCH($E$5,Proforma_current_year!$A:$A,0))="", 0, INDEX(Proforma_current_year!$Q:$Q,MATCH($E$5,Proforma_current_year!$A:$A,0))) * $P25))</f>
        <v>0</v>
      </c>
      <c r="J25" s="489"/>
      <c r="K25" s="789">
        <f>IF($E$6="", 0, IF($H$3=0,0,IF(INDEX(Proforma_previous_year!$Q:$Q,MATCH($E$6,Proforma_previous_year!$A:$A,0))="", 0, INDEX(Proforma_previous_year!$Q:$Q,MATCH($E$6,Proforma_previous_year!$A:$A,0))) * INDEX('LA Averages_previous_year'!$W:$W,MATCH($E$6,'LA Averages_previous_year'!$A:$A,0))))</f>
        <v>0</v>
      </c>
      <c r="L25" s="489">
        <f>IF($E$5="", 0, IF($H$3=0,0,IF(INDEX(Proforma_current_year!$Q:$Q,MATCH($E$5,Proforma_current_year!$A:$A,0))="", 0, INDEX(Proforma_current_year!$Q:$Q,MATCH($E$5,Proforma_current_year!$A:$A,0))) * $Q25))</f>
        <v>0</v>
      </c>
      <c r="M25" s="489"/>
      <c r="N25" s="489"/>
      <c r="O25" s="650">
        <f>IF($E$5="", 0,IF(SUM('Pre 16 Ready Reckoner'!$G$22:$G$22)&gt;0,INDEX('LA Averages_current_year'!$Q:$Q,MATCH($E$5,'LA Averages_current_year'!$A:$A,0)),0))</f>
        <v>0</v>
      </c>
      <c r="P25" s="490">
        <f>IF($E$5="", 0,IF(SUM('Pre 16 Ready Reckoner'!$G$23:$G$25)&gt;0,INDEX('LA Averages_current_year'!$X:$X,MATCH($E$5,'LA Averages_current_year'!$A:$A,0)),0))</f>
        <v>0</v>
      </c>
      <c r="Q25" s="793">
        <f>IF($E$5="", 0,IF(SUM('Pre 16 Ready Reckoner'!$G$26:$G$27)&gt;0,INDEX('LA Averages_current_year'!$X:$X,MATCH($E$5,'LA Averages_current_year'!$A:$A,0)),0))</f>
        <v>0</v>
      </c>
      <c r="R25" s="458"/>
      <c r="S25" s="459"/>
      <c r="T25" s="430"/>
      <c r="U25" s="430"/>
      <c r="V25" s="430"/>
      <c r="W25" s="430"/>
      <c r="X25" s="430"/>
      <c r="Y25" s="430"/>
      <c r="Z25" s="430"/>
      <c r="AA25" s="430"/>
      <c r="AB25" s="430"/>
      <c r="AC25" s="430"/>
      <c r="AD25" s="430"/>
      <c r="AE25" s="430"/>
      <c r="AF25" s="430"/>
      <c r="AG25" s="430"/>
      <c r="AH25" s="430"/>
      <c r="AI25" s="430"/>
      <c r="AJ25" s="430"/>
      <c r="AK25" s="430"/>
      <c r="AL25" s="430"/>
      <c r="AM25" s="430"/>
      <c r="AN25" s="430"/>
      <c r="AO25" s="430"/>
      <c r="AP25" s="430"/>
      <c r="AQ25" s="430"/>
      <c r="AR25" s="430"/>
      <c r="AS25" s="430"/>
      <c r="AT25" s="430"/>
      <c r="AU25" s="430"/>
      <c r="AV25" s="430"/>
      <c r="AW25" s="430"/>
    </row>
    <row r="26" spans="2:49" s="349" customFormat="1" ht="21.95" customHeight="1">
      <c r="B26" s="419"/>
      <c r="C26" s="420"/>
      <c r="D26" s="420" t="s">
        <v>748</v>
      </c>
      <c r="E26" s="789">
        <f>IF($E$6="", 0, IF($E$3=0,0,IF(INDEX(Proforma_previous_year!$R:$R,MATCH($E$6,Proforma_previous_year!$A:$A,0)) = "", 0, INDEX(Proforma_previous_year!$R:$R,MATCH($E$6,Proforma_previous_year!$A:$A,0))) * INDEX('LA Averages_previous_year'!$Q:$Q,MATCH($E$6,'LA Averages_previous_year'!$A:$A,0))))</f>
        <v>0</v>
      </c>
      <c r="F26" s="489">
        <f>IF($E$5="", 0, IF($E$3=0,0,IF(INDEX(Proforma_current_year!$R:$R,(MATCH($E$5,Proforma_current_year!$A:$A,0))) = "", 0, INDEX(Proforma_current_year!$R:$R,(MATCH($E$5,Proforma_current_year!$A:$A,0))))*$O26))</f>
        <v>0</v>
      </c>
      <c r="G26" s="489"/>
      <c r="H26" s="789">
        <f>IF($E$6="", 0, IF($G$3=0,0,IF(INDEX(Proforma_previous_year!$S:$S,MATCH($E$6,Proforma_previous_year!$A:$A,0))="", 0, INDEX(Proforma_previous_year!$S:$S,MATCH($E$6,Proforma_previous_year!$A:$A,0))) * INDEX('LA Averages_previous_year'!$X:$X,MATCH($E$6,'LA Averages_previous_year'!$A:$A,0))))</f>
        <v>0</v>
      </c>
      <c r="I26" s="489">
        <f>IF($E$5="", 0, IF($G$3=0,0,IF(INDEX(Proforma_current_year!$S:$S,MATCH($E$5,Proforma_current_year!$A:$A,0))="", 0, INDEX(Proforma_current_year!$S:$S,MATCH($E$5,Proforma_current_year!$A:$A,0))) * $P26))</f>
        <v>0</v>
      </c>
      <c r="J26" s="489"/>
      <c r="K26" s="789">
        <f>IF($E$6="", 0, IF($H$3=0,0,IF(INDEX(Proforma_previous_year!$S:$S,MATCH($E$6,Proforma_previous_year!$A:$A,0))="", 0, INDEX(Proforma_previous_year!$S:$S,MATCH($E$6,Proforma_previous_year!$A:$A,0))) * INDEX('LA Averages_previous_year'!$X:$X,MATCH($E$6,'LA Averages_previous_year'!$A:$A,0))))</f>
        <v>0</v>
      </c>
      <c r="L26" s="489">
        <f>IF($E$5="", 0, IF($H$3=0,0,IF(INDEX(Proforma_current_year!$S:$S,MATCH($E$5,Proforma_current_year!$A:$A,0))="", 0, INDEX(Proforma_current_year!$S:$S,MATCH($E$5,Proforma_current_year!$A:$A,0))) * $Q26))</f>
        <v>0</v>
      </c>
      <c r="M26" s="489"/>
      <c r="N26" s="489"/>
      <c r="O26" s="650">
        <f>IF($E$5="", 0,IF(SUM('Pre 16 Ready Reckoner'!$G$22:$G$22)&gt;0,INDEX('LA Averages_current_year'!$R:$R,MATCH($E$5,'LA Averages_current_year'!$A:$A,0)),0))</f>
        <v>0</v>
      </c>
      <c r="P26" s="490">
        <f>IF($E$5="", 0,IF(SUM('Pre 16 Ready Reckoner'!$G$23:$G$25)&gt;0,INDEX('LA Averages_current_year'!$Y:$Y,MATCH($E$5,'LA Averages_current_year'!$A:$A,0)),0))</f>
        <v>0</v>
      </c>
      <c r="Q26" s="793">
        <f>IF($E$5="", 0,IF(SUM('Pre 16 Ready Reckoner'!$G$26:$G$27)&gt;0,INDEX('LA Averages_current_year'!$Y:$Y,MATCH($E$5,'LA Averages_current_year'!$A:$A,0)),0))</f>
        <v>0</v>
      </c>
      <c r="R26" s="458"/>
      <c r="S26" s="459"/>
      <c r="T26" s="430"/>
      <c r="U26" s="430"/>
      <c r="V26" s="430"/>
      <c r="W26" s="430"/>
      <c r="X26" s="430"/>
      <c r="Y26" s="430"/>
      <c r="Z26" s="430"/>
      <c r="AA26" s="430"/>
      <c r="AB26" s="430"/>
      <c r="AC26" s="430"/>
      <c r="AD26" s="430"/>
      <c r="AE26" s="430"/>
      <c r="AF26" s="430"/>
      <c r="AG26" s="430"/>
      <c r="AH26" s="430"/>
      <c r="AI26" s="430"/>
      <c r="AJ26" s="430"/>
      <c r="AK26" s="430"/>
      <c r="AL26" s="430"/>
      <c r="AM26" s="430"/>
      <c r="AN26" s="430"/>
      <c r="AO26" s="430"/>
      <c r="AP26" s="430"/>
      <c r="AQ26" s="430"/>
      <c r="AR26" s="430"/>
      <c r="AS26" s="430"/>
      <c r="AT26" s="430"/>
      <c r="AU26" s="430"/>
      <c r="AV26" s="430"/>
      <c r="AW26" s="430"/>
    </row>
    <row r="27" spans="2:49" s="349" customFormat="1" ht="21.95" customHeight="1">
      <c r="B27" s="419"/>
      <c r="C27" s="420"/>
      <c r="D27" s="420" t="s">
        <v>749</v>
      </c>
      <c r="E27" s="789">
        <f>IF($E$6="", 0, IF($E$3=0,0,IF(INDEX(Proforma_previous_year!$T:$T,MATCH($E$6,Proforma_previous_year!$A:$A,0)) = "", 0, INDEX(Proforma_previous_year!$T:$T,MATCH($E$6,Proforma_previous_year!$A:$A,0))) * INDEX('LA Averages_previous_year'!$R:$R,MATCH($E$6,'LA Averages_previous_year'!$A:$A,0))))</f>
        <v>0</v>
      </c>
      <c r="F27" s="489">
        <f>IF($E$5="", 0, IF($E$3=0,0,IF(INDEX(Proforma_current_year!$T:$T,(MATCH($E$5,Proforma_current_year!$A:$A,0))) = "", 0, INDEX(Proforma_current_year!$T:$T,(MATCH($E$5,Proforma_current_year!$A:$A,0))))*$O27))</f>
        <v>0</v>
      </c>
      <c r="G27" s="489"/>
      <c r="H27" s="789">
        <f>IF($E$6="", 0, IF($G$3=0,0,IF(INDEX(Proforma_previous_year!$U:$U,MATCH($E$6,Proforma_previous_year!$A:$A,0))="", 0, INDEX(Proforma_previous_year!$U:$U,MATCH($E$6,Proforma_previous_year!$A:$A,0))) * INDEX('LA Averages_previous_year'!$Y:$Y,MATCH($E$6,'LA Averages_previous_year'!$A:$A,0))))</f>
        <v>0</v>
      </c>
      <c r="I27" s="489">
        <f>IF($E$5="", 0, IF($G$3=0,0,IF(INDEX(Proforma_current_year!$U:$U,MATCH($E$5,Proforma_current_year!$A:$A,0))="", 0, INDEX(Proforma_current_year!$U:$U,MATCH($E$5,Proforma_current_year!$A:$A,0))) * $P27))</f>
        <v>0</v>
      </c>
      <c r="J27" s="489"/>
      <c r="K27" s="789">
        <f>IF($E$6="", 0, IF($H$3=0,0,IF(INDEX(Proforma_previous_year!$U:$U,MATCH($E$6,Proforma_previous_year!$A:$A,0))="", 0, INDEX(Proforma_previous_year!$U:$U,MATCH($E$6,Proforma_previous_year!$A:$A,0))) * INDEX('LA Averages_previous_year'!$Y:$Y,MATCH($E$6,'LA Averages_previous_year'!$A:$A,0))))</f>
        <v>0</v>
      </c>
      <c r="L27" s="489">
        <f>IF($E$5="", 0, IF($H$3=0,0,IF(INDEX(Proforma_current_year!$U:$U,MATCH($E$5,Proforma_current_year!$A:$A,0))="", 0, INDEX(Proforma_current_year!$U:$U,MATCH($E$5,Proforma_current_year!$A:$A,0))) * $Q27))</f>
        <v>0</v>
      </c>
      <c r="M27" s="489"/>
      <c r="N27" s="489"/>
      <c r="O27" s="650">
        <f>IF($E$5="", 0,IF(SUM('Pre 16 Ready Reckoner'!$G$22:$G$22)&gt;0,INDEX('LA Averages_current_year'!$S:$S,MATCH($E$5,'LA Averages_current_year'!$A:$A,0)),0))</f>
        <v>0</v>
      </c>
      <c r="P27" s="490">
        <f>IF($E$5="", 0,IF(SUM('Pre 16 Ready Reckoner'!$G$23:$G$25)&gt;0,INDEX('LA Averages_current_year'!$Z:$Z,MATCH($E$5,'LA Averages_current_year'!$A:$A,0)),0))</f>
        <v>0</v>
      </c>
      <c r="Q27" s="793">
        <f>IF($E$5="", 0,IF(SUM('Pre 16 Ready Reckoner'!$G$26:$G$27)&gt;0,INDEX('LA Averages_current_year'!$Z:$Z,MATCH($E$5,'LA Averages_current_year'!$A:$A,0)),0))</f>
        <v>0</v>
      </c>
      <c r="R27" s="458"/>
      <c r="S27" s="459"/>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c r="AW27" s="430"/>
    </row>
    <row r="28" spans="2:49" s="349" customFormat="1" ht="21.95" customHeight="1">
      <c r="B28" s="419"/>
      <c r="C28" s="420"/>
      <c r="D28" s="420" t="s">
        <v>750</v>
      </c>
      <c r="E28" s="789">
        <f>IF($E$6="", 0, IF($E$3=0,0,IF(INDEX(Proforma_previous_year!$V:$V,MATCH($E$6,Proforma_previous_year!$A:$A,0)) = "", 0, INDEX(Proforma_previous_year!$V:$V,MATCH($E$6,Proforma_previous_year!$A:$A,0))) * INDEX('LA Averages_previous_year'!$S:$S,MATCH($E$6,'LA Averages_previous_year'!$A:$A,0))))</f>
        <v>0</v>
      </c>
      <c r="F28" s="489">
        <f>IF($E$5="", 0, IF($E$3=0,0,IF(INDEX(Proforma_current_year!$V:$V,(MATCH($E$5,Proforma_current_year!$A:$A,0))) = "", 0, INDEX(Proforma_current_year!$V:$V,(MATCH($E$5,Proforma_current_year!$A:$A,0))))*$O28))</f>
        <v>0</v>
      </c>
      <c r="G28" s="489"/>
      <c r="H28" s="789">
        <f>IF($E$6="", 0, IF($G$3=0,0,IF(INDEX(Proforma_previous_year!$W:$W,MATCH($E$6,Proforma_previous_year!$A:$A,0))="", 0, INDEX(Proforma_previous_year!$W:$W,MATCH($E$6,Proforma_previous_year!$A:$A,0))) * INDEX('LA Averages_previous_year'!$Z:$Z,MATCH($E$6,'LA Averages_previous_year'!$A:$A,0))))</f>
        <v>0</v>
      </c>
      <c r="I28" s="489">
        <f>IF($E$5="", 0, IF($G$3=0,0,IF(INDEX(Proforma_current_year!$W:$W,MATCH($E$5,Proforma_current_year!$A:$A,0))="", 0, INDEX(Proforma_current_year!$W:$W,MATCH($E$5,Proforma_current_year!$A:$A,0))) * $P28))</f>
        <v>0</v>
      </c>
      <c r="J28" s="489"/>
      <c r="K28" s="789">
        <f>IF($E$6="", 0, IF($H$3=0,0,IF(INDEX(Proforma_previous_year!$W:$W,MATCH($E$6,Proforma_previous_year!$A:$A,0))="", 0, INDEX(Proforma_previous_year!$W:$W,MATCH($E$6,Proforma_previous_year!$A:$A,0))) * INDEX('LA Averages_previous_year'!$Z:$Z,MATCH($E$6,'LA Averages_previous_year'!$A:$A,0))))</f>
        <v>0</v>
      </c>
      <c r="L28" s="489">
        <f>IF($E$5="", 0, IF($H$3=0,0,IF(INDEX(Proforma_current_year!$W:$W,MATCH($E$5,Proforma_current_year!$A:$A,0))="", 0, INDEX(Proforma_current_year!$W:$W,MATCH($E$5,Proforma_current_year!$A:$A,0))) * $Q28))</f>
        <v>0</v>
      </c>
      <c r="M28" s="489"/>
      <c r="N28" s="489"/>
      <c r="O28" s="650">
        <f>IF($E$5="", 0,IF(SUM('Pre 16 Ready Reckoner'!$G$22:$G$22)&gt;0,INDEX('LA Averages_current_year'!$T:$T,MATCH($E$5,'LA Averages_current_year'!$A:$A,0)),0))</f>
        <v>0</v>
      </c>
      <c r="P28" s="490">
        <f>IF($E$5="", 0,IF(SUM('Pre 16 Ready Reckoner'!$G$23:$G$25)&gt;0,INDEX('LA Averages_current_year'!$AA:$AA,MATCH($E$5,'LA Averages_current_year'!$A:$A,0)),0))</f>
        <v>0</v>
      </c>
      <c r="Q28" s="793">
        <f>IF($E$5="", 0,IF(SUM('Pre 16 Ready Reckoner'!$G$26:$G$27)&gt;0,INDEX('LA Averages_current_year'!$AA:$AA,MATCH($E$5,'LA Averages_current_year'!$A:$A,0)),0))</f>
        <v>0</v>
      </c>
      <c r="R28" s="458"/>
      <c r="S28" s="459"/>
      <c r="T28" s="430"/>
      <c r="U28" s="430"/>
      <c r="V28" s="430"/>
      <c r="W28" s="430"/>
      <c r="X28" s="430"/>
      <c r="Y28" s="430"/>
      <c r="Z28" s="430"/>
      <c r="AA28" s="430"/>
      <c r="AB28" s="430"/>
      <c r="AC28" s="430"/>
      <c r="AD28" s="430"/>
      <c r="AE28" s="430"/>
      <c r="AF28" s="430"/>
      <c r="AG28" s="430"/>
      <c r="AH28" s="430"/>
      <c r="AI28" s="430"/>
      <c r="AJ28" s="430"/>
      <c r="AK28" s="430"/>
      <c r="AL28" s="430"/>
      <c r="AM28" s="430"/>
      <c r="AN28" s="430"/>
      <c r="AO28" s="430"/>
      <c r="AP28" s="430"/>
      <c r="AQ28" s="430"/>
      <c r="AR28" s="430"/>
      <c r="AS28" s="430"/>
      <c r="AT28" s="430"/>
      <c r="AU28" s="430"/>
      <c r="AV28" s="430"/>
      <c r="AW28" s="430"/>
    </row>
    <row r="29" spans="2:49" s="349" customFormat="1" ht="21.95" customHeight="1">
      <c r="B29" s="419"/>
      <c r="C29" s="420"/>
      <c r="D29" s="492" t="s">
        <v>751</v>
      </c>
      <c r="E29" s="790">
        <f>IF($E$6="", 0, IF($E$3=0,0,IF(INDEX(Proforma_previous_year!$X:$X,MATCH($E$6,Proforma_previous_year!$A:$A,0)) = "", 0, INDEX(Proforma_previous_year!$X:$X,MATCH($E$6,Proforma_previous_year!$A:$A,0))) * INDEX('LA Averages_previous_year'!$T:$T,MATCH($E$6,'LA Averages_previous_year'!$A:$A,0))))</f>
        <v>0</v>
      </c>
      <c r="F29" s="493">
        <f>IF($E$5="", 0, IF($E$3=0,0,IF(INDEX(Proforma_current_year!$X:$X,(MATCH($E$5,Proforma_current_year!$A:$A,0))) = "", 0, INDEX(Proforma_current_year!$X:$X,(MATCH($E$5,Proforma_current_year!$A:$A,0))))*$O29))</f>
        <v>0</v>
      </c>
      <c r="G29" s="493"/>
      <c r="H29" s="790">
        <f>IF($E$6="", 0, IF($G$3=0,0,IF(INDEX(Proforma_previous_year!$Y:$Y,MATCH($E$6,Proforma_previous_year!$A:$A,0))="", 0, INDEX(Proforma_previous_year!$Y:$Y,MATCH($E$6,Proforma_previous_year!$A:$A,0))) * INDEX('LA Averages_previous_year'!$AA:$AA,MATCH($E$6,'LA Averages_previous_year'!$A:$A,0))))</f>
        <v>0</v>
      </c>
      <c r="I29" s="493">
        <f>IF($E$5="", 0, IF($G$3=0,0,IF(INDEX(Proforma_current_year!$Y:$Y,MATCH($E$5,Proforma_current_year!$A:$A,0))="", 0, INDEX(Proforma_current_year!$Y:$Y,MATCH($E$5,Proforma_current_year!$A:$A,0))) * $P29))</f>
        <v>0</v>
      </c>
      <c r="J29" s="493"/>
      <c r="K29" s="790">
        <f>IF($E$6="", 0, IF($H$3=0,0,IF(INDEX(Proforma_previous_year!$Y:$Y,MATCH($E$6,Proforma_previous_year!$A:$A,0))="", 0, INDEX(Proforma_previous_year!$Y:$Y,MATCH($E$6,Proforma_previous_year!$A:$A,0))) * INDEX('LA Averages_previous_year'!$AA:$AA,MATCH($E$6,'LA Averages_previous_year'!$A:$A,0))))</f>
        <v>0</v>
      </c>
      <c r="L29" s="493">
        <f>IF($E$5="", 0, IF($H$3=0,0,IF(INDEX(Proforma_current_year!$Y:$Y,MATCH($E$5,Proforma_current_year!$A:$A,0))="", 0, INDEX(Proforma_current_year!$Y:$Y,MATCH($E$5,Proforma_current_year!$A:$A,0))) * $Q29))</f>
        <v>0</v>
      </c>
      <c r="M29" s="489"/>
      <c r="N29" s="489"/>
      <c r="O29" s="650">
        <f>IF($E$5="", 0,IF(SUM('Pre 16 Ready Reckoner'!$G$22:$G$22)&gt;0,INDEX('LA Averages_current_year'!$U:$U,MATCH($E$5,'LA Averages_current_year'!$A:$A,0)),0))</f>
        <v>0</v>
      </c>
      <c r="P29" s="490">
        <f>IF($E$5="", 0,IF(SUM('Pre 16 Ready Reckoner'!$G$23:$G$25)&gt;0,INDEX('LA Averages_current_year'!$AB:$AB,MATCH($E$5,'LA Averages_current_year'!$A:$A,0)),0))</f>
        <v>0</v>
      </c>
      <c r="Q29" s="793">
        <f>IF($E$5="", 0,IF(SUM('Pre 16 Ready Reckoner'!$G$26:$G$27)&gt;0,INDEX('LA Averages_current_year'!$AB:$AB,MATCH($E$5,'LA Averages_current_year'!$A:$A,0)),0))</f>
        <v>0</v>
      </c>
      <c r="R29" s="458"/>
      <c r="S29" s="459"/>
      <c r="T29" s="430"/>
      <c r="U29" s="430"/>
      <c r="V29" s="430"/>
      <c r="W29" s="430"/>
      <c r="X29" s="430"/>
      <c r="Y29" s="430"/>
      <c r="Z29" s="430"/>
      <c r="AA29" s="430"/>
      <c r="AB29" s="430"/>
      <c r="AC29" s="430"/>
      <c r="AD29" s="430"/>
      <c r="AE29" s="430"/>
      <c r="AF29" s="430"/>
      <c r="AG29" s="430"/>
      <c r="AH29" s="430"/>
      <c r="AI29" s="430"/>
      <c r="AJ29" s="430"/>
      <c r="AK29" s="430"/>
      <c r="AL29" s="430"/>
      <c r="AM29" s="430"/>
      <c r="AN29" s="430"/>
      <c r="AO29" s="430"/>
      <c r="AP29" s="430"/>
      <c r="AQ29" s="430"/>
      <c r="AR29" s="430"/>
      <c r="AS29" s="430"/>
      <c r="AT29" s="430"/>
      <c r="AU29" s="430"/>
      <c r="AV29" s="430"/>
      <c r="AW29" s="430"/>
    </row>
    <row r="30" spans="2:49" s="349" customFormat="1" ht="21.95" customHeight="1">
      <c r="B30" s="419"/>
      <c r="C30" s="460"/>
      <c r="D30" s="420" t="s">
        <v>1120</v>
      </c>
      <c r="E30" s="489"/>
      <c r="F30" s="489"/>
      <c r="G30" s="489"/>
      <c r="H30" s="489"/>
      <c r="I30" s="489"/>
      <c r="J30" s="489"/>
      <c r="K30" s="489"/>
      <c r="L30" s="489"/>
      <c r="M30" s="489"/>
      <c r="N30" s="489"/>
      <c r="O30" s="468"/>
      <c r="P30" s="468"/>
      <c r="Q30" s="468"/>
      <c r="R30" s="456"/>
      <c r="S30" s="457"/>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s="430"/>
      <c r="AW30" s="430"/>
    </row>
    <row r="31" spans="2:49" s="349" customFormat="1" ht="21.95" customHeight="1">
      <c r="B31" s="427"/>
      <c r="C31" s="460"/>
      <c r="D31" s="483" t="s">
        <v>790</v>
      </c>
      <c r="E31" s="789">
        <f>IF($E$6="",0,IF($E$3=0,0,IF(OR(INDEX(Proforma_previous_year!$J:$J,MATCH($E$6,Proforma_previous_year!$A:$A,0))=0,INDEX(Proforma_previous_year!$J:$J,MATCH($E$6,Proforma_previous_year!$A:$A,0))=""),0,INDEX(Proforma_previous_year!$J:$J,MATCH($E$6,Proforma_previous_year!$A:$A,0))*INDEX('LA Averages_previous_year'!$J:$J,MATCH($E$6,'LA Averages_previous_year'!$A:$A,0)))))</f>
        <v>0</v>
      </c>
      <c r="F31" s="489">
        <f>IF($E$5="", 0, IF($E$3=0,0,IF(OR(INDEX(Proforma_current_year!$J:$J,MATCH($E$5,Proforma_current_year!$A:$A,0)) = 0, INDEX(Proforma_current_year!$J:$J,MATCH($E$5,Proforma_current_year!$A:$A,0)) = ""), 0,INDEX(Proforma_current_year!$J:$J,MATCH($E$5,Proforma_current_year!$A:$A,0))*$O$31)))</f>
        <v>0</v>
      </c>
      <c r="G31" s="489"/>
      <c r="H31" s="489"/>
      <c r="I31" s="489"/>
      <c r="J31" s="489"/>
      <c r="K31" s="489"/>
      <c r="L31" s="489"/>
      <c r="M31" s="489"/>
      <c r="N31" s="489"/>
      <c r="O31" s="491">
        <f>IF($E$5="", 0,IF(SUM('Pre 16 Ready Reckoner'!$G$22:$G$22)&gt;0,INDEX('LA Averages_current_year'!$K:$K,MATCH($E$5,'LA Averages_current_year'!$A:$A,0)),0))</f>
        <v>0</v>
      </c>
      <c r="P31" s="468"/>
      <c r="Q31" s="468"/>
      <c r="R31" s="456"/>
      <c r="S31" s="457"/>
      <c r="T31" s="430"/>
      <c r="U31" s="430"/>
      <c r="V31" s="430"/>
      <c r="W31" s="430"/>
      <c r="X31" s="430"/>
      <c r="Y31" s="430"/>
      <c r="Z31" s="430"/>
      <c r="AA31" s="430"/>
      <c r="AB31" s="430"/>
      <c r="AC31" s="430"/>
      <c r="AD31" s="430"/>
      <c r="AE31" s="430"/>
      <c r="AF31" s="430"/>
      <c r="AG31" s="430"/>
      <c r="AH31" s="430"/>
      <c r="AI31" s="430"/>
      <c r="AJ31" s="430"/>
      <c r="AK31" s="430"/>
      <c r="AL31" s="430"/>
      <c r="AM31" s="430"/>
      <c r="AN31" s="430"/>
      <c r="AO31" s="430"/>
      <c r="AP31" s="430"/>
      <c r="AQ31" s="430"/>
      <c r="AR31" s="430"/>
      <c r="AS31" s="430"/>
      <c r="AT31" s="430"/>
      <c r="AU31" s="430"/>
      <c r="AV31" s="430"/>
      <c r="AW31" s="430"/>
    </row>
    <row r="32" spans="2:49" s="349" customFormat="1" ht="21.95" customHeight="1">
      <c r="B32" s="427"/>
      <c r="C32" s="460"/>
      <c r="D32" s="483" t="s">
        <v>791</v>
      </c>
      <c r="E32" s="789">
        <f>IF($E$6="",0,IF($E$3=0,0,IF(OR(INDEX(Proforma_previous_year!$L:$L,MATCH($E$6,Proforma_previous_year!$A:$A,0))=0,INDEX(Proforma_previous_year!$L:$L,MATCH($E$6,Proforma_previous_year!$A:$A,0))=""),0,INDEX(Proforma_previous_year!$L:$L,MATCH($E$6,Proforma_previous_year!$A:$A,0))*INDEX('LA Averages_previous_year'!$K:$K,MATCH($E$6,'LA Averages_previous_year'!$A:$A,0)))))</f>
        <v>0</v>
      </c>
      <c r="F32" s="489">
        <f>IF($E$5="", 0, IF($E$3=0,0,IF(OR(INDEX(Proforma_current_year!$L:$L,MATCH($E$5,Proforma_current_year!$A:$A,0)) = 0, INDEX(Proforma_current_year!$L:$L,MATCH($E$5,Proforma_current_year!$A:$A,0)) = ""), 0,INDEX(Proforma_current_year!$L:$L,MATCH($E$5,Proforma_current_year!$A:$A,0))*$O$32)))</f>
        <v>0</v>
      </c>
      <c r="G32" s="489"/>
      <c r="H32" s="489"/>
      <c r="I32" s="489"/>
      <c r="J32" s="489"/>
      <c r="K32" s="489"/>
      <c r="L32" s="489"/>
      <c r="M32" s="489"/>
      <c r="N32" s="489"/>
      <c r="O32" s="491">
        <f>IF($E$5="", 0,IF(SUM('Pre 16 Ready Reckoner'!$G$22:$G$22)&gt;0,INDEX('LA Averages_current_year'!$L:$L,MATCH($E$5,'LA Averages_current_year'!$A:$A,0)),0))</f>
        <v>0</v>
      </c>
      <c r="P32" s="468"/>
      <c r="Q32" s="468"/>
      <c r="R32" s="456"/>
      <c r="S32" s="457"/>
      <c r="T32" s="430"/>
      <c r="U32" s="430"/>
      <c r="V32" s="430"/>
      <c r="W32" s="430"/>
      <c r="X32" s="430"/>
      <c r="Y32" s="430"/>
      <c r="Z32" s="430"/>
      <c r="AA32" s="430"/>
      <c r="AB32" s="430"/>
      <c r="AC32" s="430"/>
      <c r="AD32" s="430"/>
      <c r="AE32" s="430"/>
      <c r="AF32" s="430"/>
      <c r="AG32" s="430"/>
      <c r="AH32" s="430"/>
      <c r="AI32" s="430"/>
      <c r="AJ32" s="430"/>
      <c r="AK32" s="430"/>
      <c r="AL32" s="430"/>
      <c r="AM32" s="430"/>
      <c r="AN32" s="430"/>
      <c r="AO32" s="430"/>
      <c r="AP32" s="430"/>
      <c r="AQ32" s="430"/>
      <c r="AR32" s="430"/>
      <c r="AS32" s="430"/>
      <c r="AT32" s="430"/>
      <c r="AU32" s="430"/>
      <c r="AV32" s="430"/>
      <c r="AW32" s="430"/>
    </row>
    <row r="33" spans="2:49" s="349" customFormat="1" ht="21.95" customHeight="1">
      <c r="B33" s="418"/>
      <c r="C33" s="460"/>
      <c r="D33" s="492" t="s">
        <v>788</v>
      </c>
      <c r="E33" s="653">
        <f>SUM(E31:E32)</f>
        <v>0</v>
      </c>
      <c r="F33" s="653">
        <f>SUM(F31:F32)</f>
        <v>0</v>
      </c>
      <c r="G33" s="493"/>
      <c r="H33" s="493"/>
      <c r="I33" s="493"/>
      <c r="J33" s="493"/>
      <c r="K33" s="493"/>
      <c r="L33" s="493"/>
      <c r="M33" s="489"/>
      <c r="N33" s="489"/>
      <c r="O33" s="468"/>
      <c r="P33" s="468"/>
      <c r="Q33" s="468"/>
      <c r="R33" s="456"/>
      <c r="S33" s="457"/>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row>
    <row r="34" spans="2:49" s="349" customFormat="1" ht="21.95" customHeight="1">
      <c r="B34" s="418"/>
      <c r="C34" s="460"/>
      <c r="D34" s="420" t="s">
        <v>752</v>
      </c>
      <c r="E34" s="489"/>
      <c r="F34" s="489"/>
      <c r="G34" s="489"/>
      <c r="H34" s="489"/>
      <c r="I34" s="489"/>
      <c r="J34" s="489"/>
      <c r="K34" s="489"/>
      <c r="L34" s="489"/>
      <c r="M34" s="489"/>
      <c r="N34" s="489"/>
      <c r="O34" s="468"/>
      <c r="P34" s="468"/>
      <c r="Q34" s="468"/>
      <c r="R34" s="461"/>
      <c r="S34" s="462"/>
      <c r="T34" s="430"/>
      <c r="U34" s="43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430"/>
      <c r="AU34" s="430"/>
      <c r="AV34" s="430"/>
      <c r="AW34" s="430"/>
    </row>
    <row r="35" spans="2:49" s="349" customFormat="1" ht="21.95" customHeight="1">
      <c r="B35" s="427"/>
      <c r="C35" s="460"/>
      <c r="D35" s="349" t="s">
        <v>792</v>
      </c>
      <c r="E35" s="489"/>
      <c r="F35" s="489"/>
      <c r="G35" s="489"/>
      <c r="H35" s="789">
        <f>IF($E$6="", 0, IF($G$3=0,0,IF(OR(INDEX(Proforma_previous_year!$K:$K,MATCH($E$6,Proforma_previous_year!$A:$A,0)) = 0, INDEX(Proforma_previous_year!$K:$K,MATCH($E$6,Proforma_previous_year!$A:$A,0)) = ""), 0,INDEX(Proforma_previous_year!$K:$K,MATCH($E$6,Proforma_previous_year!$A:$A,0))*INDEX('LA Averages_previous_year'!$L:$L,MATCH($E$6,'LA Averages_previous_year'!$A:$A,0)))))</f>
        <v>0</v>
      </c>
      <c r="I35" s="489">
        <f>IF($E$5="", 0, IF($G$3=0,0,IF(OR(INDEX(Proforma_current_year!$K:$K,MATCH($E$5,Proforma_current_year!$A:$A,0)) = 0, INDEX(Proforma_current_year!$K:$K,MATCH($E$5,Proforma_current_year!$A:$A,0)) = ""), 0,INDEX(Proforma_current_year!$K:$K,MATCH($E$5,Proforma_current_year!$A:$A,0))*$P$35)))</f>
        <v>0</v>
      </c>
      <c r="J35" s="489"/>
      <c r="K35" s="789">
        <f>IF($E$6="", 0, IF($H$3=0,0,IF(OR(INDEX(Proforma_previous_year!$K:$K,MATCH($E$6,Proforma_previous_year!$A:$A,0)) = 0, INDEX(Proforma_previous_year!$K:$K,MATCH($E$6,Proforma_previous_year!$A:$A,0)) = ""), 0,INDEX(Proforma_previous_year!$K:$K,MATCH($E$6,Proforma_previous_year!$A:$A,0))*INDEX('LA Averages_previous_year'!$L:$L,MATCH($E$6,'LA Averages_previous_year'!$A:$A,0)))))</f>
        <v>0</v>
      </c>
      <c r="L35" s="489">
        <f>IF($E$5="", 0, IF($H$3=0,0,IF(OR(INDEX(Proforma_current_year!$K:$K,MATCH($E$5,Proforma_current_year!$A:$A,0)) = 0, INDEX(Proforma_current_year!$K:$K,MATCH($E$5,Proforma_current_year!$A:$A,0)) = ""), 0,INDEX(Proforma_current_year!$K:$K,MATCH($E$5,Proforma_current_year!$A:$A,0))*$Q$35)))</f>
        <v>0</v>
      </c>
      <c r="M35" s="489"/>
      <c r="N35" s="489"/>
      <c r="O35" s="468"/>
      <c r="P35" s="491">
        <f>IF($E$5="", 0,IF(SUM('Pre 16 Ready Reckoner'!$G$23:$G$25)&gt;0,INDEX('LA Averages_current_year'!$M:$M,MATCH($E$5,'LA Averages_current_year'!$A:$A,0)),0))</f>
        <v>0</v>
      </c>
      <c r="Q35" s="794">
        <f>IF($E$5="", 0,IF(SUM('Pre 16 Ready Reckoner'!$G$26:$G$27)&gt;0,INDEX('LA Averages_current_year'!$M:$M,MATCH($E$5,'LA Averages_current_year'!$A:$A,0)),0))</f>
        <v>0</v>
      </c>
      <c r="R35" s="461"/>
      <c r="S35" s="462"/>
      <c r="T35" s="430"/>
      <c r="U35" s="43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row>
    <row r="36" spans="2:49" s="349" customFormat="1" ht="21.95" customHeight="1">
      <c r="B36" s="427"/>
      <c r="C36" s="460"/>
      <c r="D36" s="349" t="s">
        <v>793</v>
      </c>
      <c r="E36" s="489"/>
      <c r="F36" s="489"/>
      <c r="G36" s="489"/>
      <c r="H36" s="789">
        <f>IF($E$6="", 0, IF($G$3=0,0,IF(OR(INDEX(Proforma_previous_year!$M:$M,MATCH($E$6,Proforma_previous_year!$A:$A,0)) = 0, INDEX(Proforma_previous_year!$M:$M,MATCH($E$6,Proforma_previous_year!$A:$A,0)) = ""), 0,INDEX(Proforma_previous_year!$M:$M,MATCH($E$6,Proforma_previous_year!$A:$A,0))*INDEX('LA Averages_previous_year'!$M:$M,MATCH($E$6,'LA Averages_previous_year'!$A:$A,0)))))</f>
        <v>0</v>
      </c>
      <c r="I36" s="489">
        <f>IF($E$5="", 0, IF($G$3=0,0,IF(OR(INDEX(Proforma_current_year!$M:$M,MATCH($E$5,Proforma_current_year!$A:$A,0)) = 0, INDEX(Proforma_current_year!$M:$M,MATCH($E$5,Proforma_current_year!$A:$A,0)) = ""), 0,INDEX(Proforma_current_year!$M:$M,MATCH($E$5,Proforma_current_year!$A:$A,0))*$P$36)))</f>
        <v>0</v>
      </c>
      <c r="J36" s="489"/>
      <c r="K36" s="789">
        <f>IF($E$6="", 0, IF($H$3=0,0,IF(OR(INDEX(Proforma_previous_year!$M:$M,MATCH($E$6,Proforma_previous_year!$A:$A,0)) = 0, INDEX(Proforma_previous_year!$M:$M,MATCH($E$6,Proforma_previous_year!$A:$A,0)) = ""), 0,INDEX(Proforma_previous_year!$M:$M,MATCH($E$6,Proforma_previous_year!$A:$A,0))*INDEX('LA Averages_previous_year'!$M:$M,MATCH($E$6,'LA Averages_previous_year'!$A:$A,0)))))</f>
        <v>0</v>
      </c>
      <c r="L36" s="489">
        <f>IF($E$5="", 0, IF($H$3=0,0,IF(OR(INDEX(Proforma_current_year!$M:$M,MATCH($E$5,Proforma_current_year!$A:$A,0)) = 0, INDEX(Proforma_current_year!$M:$M,MATCH($E$5,Proforma_current_year!$A:$A,0)) = ""), 0,INDEX(Proforma_current_year!$M:$M,MATCH($E$5,Proforma_current_year!$A:$A,0))*$Q$36)))</f>
        <v>0</v>
      </c>
      <c r="M36" s="489"/>
      <c r="N36" s="489"/>
      <c r="O36" s="468"/>
      <c r="P36" s="491">
        <f>IF($E$5="", 0,IF(SUM('Pre 16 Ready Reckoner'!$G$23:$G$25)&gt;0,INDEX('LA Averages_current_year'!$N:$N,MATCH($E$5,'LA Averages_current_year'!$A:$A,0)),0))</f>
        <v>0</v>
      </c>
      <c r="Q36" s="794">
        <f>IF($E$5="", 0,IF(SUM('Pre 16 Ready Reckoner'!$G$26:$G$27)&gt;0,INDEX('LA Averages_current_year'!$N:$N,MATCH($E$5,'LA Averages_current_year'!$A:$A,0)),0))</f>
        <v>0</v>
      </c>
      <c r="R36" s="461"/>
      <c r="S36" s="462"/>
      <c r="T36" s="430"/>
      <c r="U36" s="430"/>
      <c r="V36" s="430"/>
      <c r="W36" s="430"/>
      <c r="X36" s="430"/>
      <c r="Y36" s="430"/>
      <c r="Z36" s="430"/>
      <c r="AA36" s="430"/>
      <c r="AB36" s="430"/>
      <c r="AC36" s="430"/>
      <c r="AD36" s="430"/>
      <c r="AE36" s="430"/>
      <c r="AF36" s="430"/>
      <c r="AG36" s="430"/>
      <c r="AH36" s="430"/>
      <c r="AI36" s="430"/>
      <c r="AJ36" s="430"/>
      <c r="AK36" s="430"/>
      <c r="AL36" s="430"/>
      <c r="AM36" s="430"/>
      <c r="AN36" s="430"/>
      <c r="AO36" s="430"/>
      <c r="AP36" s="430"/>
      <c r="AQ36" s="430"/>
      <c r="AR36" s="430"/>
      <c r="AS36" s="430"/>
      <c r="AT36" s="430"/>
      <c r="AU36" s="430"/>
      <c r="AV36" s="430"/>
      <c r="AW36" s="430"/>
    </row>
    <row r="37" spans="2:49" s="349" customFormat="1" ht="21.95" customHeight="1">
      <c r="B37" s="419"/>
      <c r="C37" s="460"/>
      <c r="D37" s="492" t="s">
        <v>789</v>
      </c>
      <c r="E37" s="493"/>
      <c r="F37" s="493"/>
      <c r="G37" s="493"/>
      <c r="H37" s="653">
        <f>SUM(H35,H36)</f>
        <v>0</v>
      </c>
      <c r="I37" s="653">
        <f>SUM(I35,I36)</f>
        <v>0</v>
      </c>
      <c r="J37" s="653"/>
      <c r="K37" s="653">
        <f>SUM(K35,K36)</f>
        <v>0</v>
      </c>
      <c r="L37" s="653">
        <f>SUM(L35,L36)</f>
        <v>0</v>
      </c>
      <c r="M37" s="489"/>
      <c r="N37" s="489"/>
      <c r="O37" s="468"/>
      <c r="P37" s="468"/>
      <c r="Q37" s="468"/>
      <c r="R37" s="461"/>
      <c r="S37" s="462"/>
      <c r="T37" s="430"/>
      <c r="U37" s="430"/>
      <c r="V37" s="430"/>
      <c r="W37" s="430"/>
      <c r="X37" s="430"/>
      <c r="Y37" s="430"/>
      <c r="Z37" s="430"/>
      <c r="AA37" s="430"/>
      <c r="AB37" s="430"/>
      <c r="AC37" s="430"/>
      <c r="AD37" s="430"/>
      <c r="AE37" s="430"/>
      <c r="AF37" s="430"/>
      <c r="AG37" s="430"/>
      <c r="AH37" s="430"/>
      <c r="AI37" s="430"/>
      <c r="AJ37" s="430"/>
      <c r="AK37" s="430"/>
      <c r="AL37" s="430"/>
      <c r="AM37" s="430"/>
      <c r="AN37" s="430"/>
      <c r="AO37" s="430"/>
      <c r="AP37" s="430"/>
      <c r="AQ37" s="430"/>
      <c r="AR37" s="430"/>
      <c r="AS37" s="430"/>
      <c r="AT37" s="430"/>
      <c r="AU37" s="430"/>
      <c r="AV37" s="430"/>
      <c r="AW37" s="430"/>
    </row>
    <row r="38" spans="2:49" s="349" customFormat="1" ht="21.95" customHeight="1">
      <c r="B38" s="419"/>
      <c r="C38" s="460"/>
      <c r="D38" s="420"/>
      <c r="E38" s="489"/>
      <c r="F38" s="489"/>
      <c r="G38" s="489"/>
      <c r="H38" s="489"/>
      <c r="I38" s="489"/>
      <c r="J38" s="489"/>
      <c r="K38" s="489"/>
      <c r="L38" s="489"/>
      <c r="M38" s="489"/>
      <c r="N38" s="493"/>
      <c r="O38" s="494"/>
      <c r="P38" s="494"/>
      <c r="Q38" s="494"/>
      <c r="R38" s="461"/>
      <c r="S38" s="462"/>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c r="AQ38" s="430"/>
      <c r="AR38" s="430"/>
      <c r="AS38" s="430"/>
      <c r="AT38" s="430"/>
      <c r="AU38" s="430"/>
      <c r="AV38" s="430"/>
      <c r="AW38" s="430"/>
    </row>
    <row r="39" spans="2:49" s="349" customFormat="1" ht="30" customHeight="1">
      <c r="B39" s="419"/>
      <c r="C39" s="420"/>
      <c r="D39" s="420"/>
      <c r="E39" s="489"/>
      <c r="F39" s="489"/>
      <c r="G39" s="489"/>
      <c r="H39" s="489"/>
      <c r="I39" s="489"/>
      <c r="J39" s="489"/>
      <c r="K39" s="489"/>
      <c r="L39" s="489"/>
      <c r="M39" s="489"/>
      <c r="N39" s="489"/>
      <c r="O39" s="797" t="s">
        <v>1116</v>
      </c>
      <c r="P39" s="804"/>
      <c r="Q39" s="804"/>
      <c r="R39" s="461"/>
      <c r="S39" s="462"/>
      <c r="T39" s="430"/>
      <c r="U39" s="430"/>
      <c r="V39" s="430"/>
      <c r="W39" s="430"/>
      <c r="X39" s="430"/>
      <c r="Y39" s="430"/>
      <c r="Z39" s="430"/>
      <c r="AA39" s="430"/>
      <c r="AB39" s="430"/>
      <c r="AC39" s="430"/>
      <c r="AD39" s="430"/>
      <c r="AE39" s="430"/>
      <c r="AF39" s="430"/>
      <c r="AG39" s="430"/>
      <c r="AH39" s="430"/>
      <c r="AI39" s="430"/>
      <c r="AJ39" s="430"/>
      <c r="AK39" s="430"/>
      <c r="AL39" s="430"/>
      <c r="AM39" s="430"/>
      <c r="AN39" s="430"/>
      <c r="AO39" s="430"/>
      <c r="AP39" s="430"/>
      <c r="AQ39" s="430"/>
      <c r="AR39" s="430"/>
      <c r="AS39" s="430"/>
      <c r="AT39" s="430"/>
      <c r="AU39" s="430"/>
      <c r="AV39" s="430"/>
      <c r="AW39" s="430"/>
    </row>
    <row r="40" spans="2:49" s="349" customFormat="1" ht="30" customHeight="1">
      <c r="B40" s="419"/>
      <c r="C40" s="420"/>
      <c r="D40" s="420"/>
      <c r="E40" s="489"/>
      <c r="F40" s="489"/>
      <c r="G40" s="489"/>
      <c r="H40" s="489"/>
      <c r="I40" s="489"/>
      <c r="J40" s="489"/>
      <c r="K40" s="489"/>
      <c r="L40" s="497"/>
      <c r="M40" s="497"/>
      <c r="N40" s="801" t="s">
        <v>777</v>
      </c>
      <c r="O40" s="794" t="str">
        <f>IF($E$6="", "",INDEX('LA Averages_previous_year'!$AI:$AI,MATCH($E$6,'LA Averages_previous_year'!$A:$A,0)))</f>
        <v/>
      </c>
      <c r="P40" s="794"/>
      <c r="Q40" s="794"/>
      <c r="R40" s="461"/>
      <c r="S40" s="462"/>
      <c r="T40" s="430"/>
      <c r="U40" s="430"/>
      <c r="V40" s="430"/>
      <c r="W40" s="430"/>
      <c r="X40" s="430"/>
      <c r="Y40" s="430"/>
      <c r="Z40" s="430"/>
      <c r="AA40" s="430"/>
      <c r="AB40" s="430"/>
      <c r="AC40" s="430"/>
      <c r="AD40" s="430"/>
      <c r="AE40" s="430"/>
      <c r="AF40" s="430"/>
      <c r="AG40" s="430"/>
      <c r="AH40" s="430"/>
      <c r="AI40" s="430"/>
      <c r="AJ40" s="430"/>
      <c r="AK40" s="430"/>
      <c r="AL40" s="430"/>
      <c r="AM40" s="430"/>
      <c r="AN40" s="430"/>
      <c r="AO40" s="430"/>
      <c r="AP40" s="430"/>
      <c r="AQ40" s="430"/>
      <c r="AR40" s="430"/>
      <c r="AS40" s="430"/>
      <c r="AT40" s="430"/>
      <c r="AU40" s="430"/>
      <c r="AV40" s="430"/>
      <c r="AW40" s="430"/>
    </row>
    <row r="41" spans="2:49" s="349" customFormat="1" ht="30" customHeight="1">
      <c r="B41" s="419"/>
      <c r="C41" s="420"/>
      <c r="D41" s="420"/>
      <c r="E41" s="489"/>
      <c r="F41" s="489"/>
      <c r="G41" s="489"/>
      <c r="H41" s="489"/>
      <c r="I41" s="489"/>
      <c r="J41" s="489"/>
      <c r="K41" s="489"/>
      <c r="L41" s="489"/>
      <c r="M41" s="489"/>
      <c r="N41" s="800"/>
      <c r="O41" s="460" t="s">
        <v>1116</v>
      </c>
      <c r="P41" s="495"/>
      <c r="Q41" s="495"/>
      <c r="R41" s="461"/>
      <c r="S41" s="462"/>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row>
    <row r="42" spans="2:49" s="349" customFormat="1" ht="30" customHeight="1">
      <c r="B42" s="463"/>
      <c r="C42" s="420"/>
      <c r="D42" s="420" t="s">
        <v>753</v>
      </c>
      <c r="E42" s="789">
        <f>IF(E3=0, 0,IFERROR( $O$40 * INDEX(Proforma_previous_year!$AE:$AE,MATCH($E$5,Proforma_previous_year!$A:$A,0)),0))</f>
        <v>0</v>
      </c>
      <c r="F42" s="489">
        <f>IF(E3=0, 0,IFERROR( $O$42 * INDEX(Proforma_current_year!$AE:$AE,MATCH($E$5,Proforma_current_year!$A:$A,0)),0))</f>
        <v>0</v>
      </c>
      <c r="G42" s="489"/>
      <c r="H42" s="489"/>
      <c r="I42" s="522"/>
      <c r="J42" s="489"/>
      <c r="K42" s="489"/>
      <c r="L42" s="805"/>
      <c r="M42" s="495"/>
      <c r="N42" s="803" t="s">
        <v>742</v>
      </c>
      <c r="O42" s="496" t="str">
        <f>IF($E$5="", "",INDEX('LA Averages_current_year'!$AJ:$AJ,MATCH($E$5,'LA Averages_current_year'!$A:$A,0)))</f>
        <v/>
      </c>
      <c r="P42" s="496"/>
      <c r="Q42" s="496"/>
      <c r="R42" s="461"/>
      <c r="S42" s="462"/>
      <c r="T42" s="430"/>
      <c r="U42" s="430"/>
      <c r="V42" s="430"/>
      <c r="W42" s="430"/>
      <c r="X42" s="430"/>
      <c r="Y42" s="430"/>
      <c r="Z42" s="430"/>
      <c r="AA42" s="430"/>
      <c r="AB42" s="430"/>
      <c r="AC42" s="430"/>
      <c r="AD42" s="430"/>
      <c r="AE42" s="430"/>
      <c r="AF42" s="430"/>
      <c r="AG42" s="430"/>
      <c r="AH42" s="430"/>
      <c r="AI42" s="430"/>
      <c r="AJ42" s="430"/>
      <c r="AK42" s="430"/>
      <c r="AL42" s="430"/>
      <c r="AM42" s="430"/>
      <c r="AN42" s="430"/>
      <c r="AO42" s="430"/>
      <c r="AP42" s="430"/>
      <c r="AQ42" s="430"/>
      <c r="AR42" s="430"/>
      <c r="AS42" s="430"/>
      <c r="AT42" s="430"/>
      <c r="AU42" s="430"/>
      <c r="AV42" s="430"/>
      <c r="AW42" s="430"/>
    </row>
    <row r="43" spans="2:49" s="349" customFormat="1" ht="30" customHeight="1">
      <c r="B43" s="463"/>
      <c r="C43" s="420"/>
      <c r="D43" s="420"/>
      <c r="E43" s="489"/>
      <c r="F43" s="489"/>
      <c r="G43" s="489"/>
      <c r="H43" s="489"/>
      <c r="I43" s="489"/>
      <c r="J43" s="489"/>
      <c r="K43" s="489"/>
      <c r="L43" s="491"/>
      <c r="M43" s="491"/>
      <c r="N43" s="806"/>
      <c r="O43" s="460" t="s">
        <v>754</v>
      </c>
      <c r="P43" s="495"/>
      <c r="Q43" s="495" t="s">
        <v>755</v>
      </c>
      <c r="R43" s="461"/>
      <c r="S43" s="462"/>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430"/>
      <c r="AU43" s="430"/>
      <c r="AV43" s="430"/>
      <c r="AW43" s="430"/>
    </row>
    <row r="44" spans="2:49" s="349" customFormat="1" ht="30" customHeight="1">
      <c r="B44" s="463"/>
      <c r="C44" s="420"/>
      <c r="D44" s="420"/>
      <c r="E44" s="489"/>
      <c r="F44" s="489"/>
      <c r="G44" s="489"/>
      <c r="H44" s="489"/>
      <c r="I44" s="489"/>
      <c r="J44" s="489"/>
      <c r="K44" s="489"/>
      <c r="L44" s="497"/>
      <c r="M44" s="497"/>
      <c r="N44" s="801" t="s">
        <v>777</v>
      </c>
      <c r="O44" s="794" t="str">
        <f>IF($E$6="", "", INDEX('LA Averages_previous_year'!$AJ:$AJ,MATCH($E$6,'LA Averages_previous_year'!$A:$A,0)))</f>
        <v/>
      </c>
      <c r="P44" s="491"/>
      <c r="Q44" s="794" t="str">
        <f>IF($E$6="", "", INDEX(Proforma_previous_year!$AF:$AF,MATCH($E$6,Proforma_previous_year!$A:$A,0)))</f>
        <v/>
      </c>
      <c r="R44" s="461"/>
      <c r="S44" s="462"/>
      <c r="T44" s="430"/>
      <c r="U44" s="430"/>
      <c r="V44" s="430"/>
      <c r="W44" s="430"/>
      <c r="X44" s="430"/>
      <c r="Y44" s="430"/>
      <c r="Z44" s="430"/>
      <c r="AA44" s="430"/>
      <c r="AB44" s="430"/>
      <c r="AC44" s="430"/>
      <c r="AD44" s="430"/>
      <c r="AE44" s="430"/>
      <c r="AF44" s="430"/>
      <c r="AG44" s="430"/>
      <c r="AH44" s="430"/>
      <c r="AI44" s="430"/>
      <c r="AJ44" s="430"/>
      <c r="AK44" s="430"/>
      <c r="AL44" s="430"/>
      <c r="AM44" s="430"/>
      <c r="AN44" s="430"/>
      <c r="AO44" s="430"/>
      <c r="AP44" s="430"/>
      <c r="AQ44" s="430"/>
      <c r="AR44" s="430"/>
      <c r="AS44" s="430"/>
      <c r="AT44" s="430"/>
      <c r="AU44" s="430"/>
      <c r="AV44" s="430"/>
      <c r="AW44" s="430"/>
    </row>
    <row r="45" spans="2:49" s="349" customFormat="1" ht="30" customHeight="1">
      <c r="B45" s="463"/>
      <c r="C45" s="420"/>
      <c r="D45" s="420"/>
      <c r="E45" s="489"/>
      <c r="F45" s="489"/>
      <c r="G45" s="489"/>
      <c r="H45" s="489"/>
      <c r="I45" s="489"/>
      <c r="J45" s="489"/>
      <c r="K45" s="489"/>
      <c r="L45" s="497"/>
      <c r="M45" s="497"/>
      <c r="N45" s="499"/>
      <c r="O45" s="460" t="s">
        <v>756</v>
      </c>
      <c r="P45" s="804"/>
      <c r="Q45" s="495" t="s">
        <v>757</v>
      </c>
      <c r="R45" s="461"/>
      <c r="S45" s="462"/>
      <c r="T45" s="430"/>
      <c r="U45" s="430"/>
      <c r="V45" s="430"/>
      <c r="W45" s="430"/>
      <c r="X45" s="430"/>
      <c r="Y45" s="430"/>
      <c r="Z45" s="430"/>
      <c r="AA45" s="430"/>
      <c r="AB45" s="430"/>
      <c r="AC45" s="430"/>
      <c r="AD45" s="430"/>
      <c r="AE45" s="430"/>
      <c r="AF45" s="430"/>
      <c r="AG45" s="430"/>
      <c r="AH45" s="430"/>
      <c r="AI45" s="430"/>
      <c r="AJ45" s="430"/>
      <c r="AK45" s="430"/>
      <c r="AL45" s="430"/>
      <c r="AM45" s="430"/>
      <c r="AN45" s="430"/>
      <c r="AO45" s="430"/>
      <c r="AP45" s="430"/>
      <c r="AQ45" s="430"/>
      <c r="AR45" s="430"/>
      <c r="AS45" s="430"/>
      <c r="AT45" s="430"/>
      <c r="AU45" s="430"/>
      <c r="AV45" s="430"/>
      <c r="AW45" s="430"/>
    </row>
    <row r="46" spans="2:49" s="349" customFormat="1" ht="30" customHeight="1">
      <c r="B46" s="463"/>
      <c r="C46" s="420"/>
      <c r="D46" s="420"/>
      <c r="E46" s="489"/>
      <c r="F46" s="489"/>
      <c r="G46" s="489"/>
      <c r="H46" s="489"/>
      <c r="I46" s="489"/>
      <c r="J46" s="489"/>
      <c r="K46" s="489"/>
      <c r="L46" s="497"/>
      <c r="M46" s="497"/>
      <c r="N46" s="499"/>
      <c r="O46" s="794" t="str">
        <f>IF($E$6="", "", INDEX('LA Averages_previous_year'!$AK:$AK,MATCH($E$6,'LA Averages_previous_year'!$A:$A,0)))</f>
        <v/>
      </c>
      <c r="P46" s="794"/>
      <c r="Q46" s="794" t="str">
        <f>IF($E$6="", "", INDEX(Proforma_previous_year!$AG:$AG,MATCH($E$6,Proforma_previous_year!$A:$A,0)))</f>
        <v/>
      </c>
      <c r="R46" s="461"/>
      <c r="S46" s="462"/>
      <c r="T46" s="430"/>
      <c r="U46" s="430"/>
      <c r="V46" s="430"/>
      <c r="W46" s="430"/>
      <c r="X46" s="430"/>
      <c r="Y46" s="430"/>
      <c r="Z46" s="430"/>
      <c r="AA46" s="430"/>
      <c r="AB46" s="430"/>
      <c r="AC46" s="430"/>
      <c r="AD46" s="430"/>
      <c r="AE46" s="430"/>
      <c r="AF46" s="430"/>
      <c r="AG46" s="430"/>
      <c r="AH46" s="430"/>
      <c r="AI46" s="430"/>
      <c r="AJ46" s="430"/>
      <c r="AK46" s="430"/>
      <c r="AL46" s="430"/>
      <c r="AM46" s="430"/>
      <c r="AN46" s="430"/>
      <c r="AO46" s="430"/>
      <c r="AP46" s="430"/>
      <c r="AQ46" s="430"/>
      <c r="AR46" s="430"/>
      <c r="AS46" s="430"/>
      <c r="AT46" s="430"/>
      <c r="AU46" s="430"/>
      <c r="AV46" s="430"/>
      <c r="AW46" s="430"/>
    </row>
    <row r="47" spans="2:49" s="349" customFormat="1" ht="30" customHeight="1">
      <c r="B47" s="463"/>
      <c r="C47" s="807"/>
      <c r="D47" s="807"/>
      <c r="E47" s="789"/>
      <c r="F47" s="789"/>
      <c r="G47" s="789"/>
      <c r="H47" s="789"/>
      <c r="I47" s="789"/>
      <c r="J47" s="789"/>
      <c r="K47" s="789"/>
      <c r="L47" s="808"/>
      <c r="M47" s="808"/>
      <c r="N47" s="809"/>
      <c r="O47" s="804" t="s">
        <v>1117</v>
      </c>
      <c r="P47" s="804" t="s">
        <v>1119</v>
      </c>
      <c r="Q47" s="804" t="s">
        <v>1118</v>
      </c>
      <c r="R47" s="461"/>
      <c r="S47" s="462"/>
      <c r="T47" s="430"/>
      <c r="U47" s="430"/>
      <c r="V47" s="430"/>
      <c r="W47" s="430"/>
      <c r="X47" s="430"/>
      <c r="Y47" s="430"/>
      <c r="Z47" s="430"/>
      <c r="AA47" s="430"/>
      <c r="AB47" s="430"/>
      <c r="AC47" s="430"/>
      <c r="AD47" s="430"/>
      <c r="AE47" s="430"/>
      <c r="AF47" s="430"/>
      <c r="AG47" s="430"/>
      <c r="AH47" s="430"/>
      <c r="AI47" s="430"/>
      <c r="AJ47" s="430"/>
      <c r="AK47" s="430"/>
      <c r="AL47" s="430"/>
      <c r="AM47" s="430"/>
      <c r="AN47" s="430"/>
      <c r="AO47" s="430"/>
      <c r="AP47" s="430"/>
      <c r="AQ47" s="430"/>
      <c r="AR47" s="430"/>
      <c r="AS47" s="430"/>
      <c r="AT47" s="430"/>
      <c r="AU47" s="430"/>
      <c r="AV47" s="430"/>
      <c r="AW47" s="430"/>
    </row>
    <row r="48" spans="2:49" s="349" customFormat="1" ht="30" customHeight="1">
      <c r="B48" s="463"/>
      <c r="C48" s="807"/>
      <c r="D48" s="807"/>
      <c r="E48" s="789"/>
      <c r="F48" s="789"/>
      <c r="G48" s="789"/>
      <c r="H48" s="789"/>
      <c r="I48" s="789"/>
      <c r="J48" s="789"/>
      <c r="K48" s="789"/>
      <c r="L48" s="808"/>
      <c r="M48" s="808"/>
      <c r="N48" s="809"/>
      <c r="O48" s="794" t="str">
        <f>IF($E$6="", "",      INDEX('LA Averages_previous_year'!$AL:$AL,MATCH($E$6,'LA Averages_previous_year'!$A:$A,0)))</f>
        <v/>
      </c>
      <c r="P48" s="794" t="str">
        <f>IF($E$6="", "",      INDEX('LA Averages_previous_year'!$AM:$AM,MATCH($E$6,'LA Averages_previous_year'!$A:$A,0)))</f>
        <v/>
      </c>
      <c r="Q48" s="794" t="str">
        <f>IF($E$6="", "", INDEX(Proforma_previous_year!$AH:$AH,MATCH($E$6,Proforma_current_year!$A:$A,0)))</f>
        <v/>
      </c>
      <c r="R48" s="461"/>
      <c r="S48" s="462"/>
      <c r="T48" s="430"/>
      <c r="U48" s="430"/>
      <c r="V48" s="430"/>
      <c r="W48" s="430"/>
      <c r="X48" s="430"/>
      <c r="Y48" s="430"/>
      <c r="Z48" s="430"/>
      <c r="AA48" s="430"/>
      <c r="AB48" s="430"/>
      <c r="AC48" s="430"/>
      <c r="AD48" s="430"/>
      <c r="AE48" s="430"/>
      <c r="AF48" s="430"/>
      <c r="AG48" s="430"/>
      <c r="AH48" s="430"/>
      <c r="AI48" s="430"/>
      <c r="AJ48" s="430"/>
      <c r="AK48" s="430"/>
      <c r="AL48" s="430"/>
      <c r="AM48" s="430"/>
      <c r="AN48" s="430"/>
      <c r="AO48" s="430"/>
      <c r="AP48" s="430"/>
      <c r="AQ48" s="430"/>
      <c r="AR48" s="430"/>
      <c r="AS48" s="430"/>
      <c r="AT48" s="430"/>
      <c r="AU48" s="430"/>
      <c r="AV48" s="430"/>
      <c r="AW48" s="430"/>
    </row>
    <row r="49" spans="2:49" s="349" customFormat="1" ht="30" customHeight="1">
      <c r="B49" s="463"/>
      <c r="C49" s="420"/>
      <c r="D49" s="420"/>
      <c r="E49" s="489"/>
      <c r="F49" s="489"/>
      <c r="G49" s="489"/>
      <c r="H49" s="489"/>
      <c r="I49" s="489"/>
      <c r="J49" s="489"/>
      <c r="K49" s="489"/>
      <c r="L49" s="489"/>
      <c r="M49" s="489"/>
      <c r="N49" s="800"/>
      <c r="O49" s="460" t="s">
        <v>754</v>
      </c>
      <c r="P49" s="495"/>
      <c r="Q49" s="495" t="s">
        <v>755</v>
      </c>
      <c r="R49" s="461"/>
      <c r="S49" s="462"/>
      <c r="T49" s="430"/>
      <c r="U49" s="430"/>
      <c r="V49" s="430"/>
      <c r="W49" s="430"/>
      <c r="X49" s="430"/>
      <c r="Y49" s="430"/>
      <c r="Z49" s="430"/>
      <c r="AA49" s="430"/>
      <c r="AB49" s="430"/>
      <c r="AC49" s="430"/>
      <c r="AD49" s="430"/>
      <c r="AE49" s="430"/>
      <c r="AF49" s="430"/>
      <c r="AG49" s="430"/>
      <c r="AH49" s="430"/>
      <c r="AI49" s="430"/>
      <c r="AJ49" s="430"/>
      <c r="AK49" s="430"/>
      <c r="AL49" s="430"/>
      <c r="AM49" s="430"/>
      <c r="AN49" s="430"/>
      <c r="AO49" s="430"/>
      <c r="AP49" s="430"/>
      <c r="AQ49" s="430"/>
      <c r="AR49" s="430"/>
      <c r="AS49" s="430"/>
      <c r="AT49" s="430"/>
      <c r="AU49" s="430"/>
      <c r="AV49" s="430"/>
      <c r="AW49" s="430"/>
    </row>
    <row r="50" spans="2:49" s="349" customFormat="1" ht="30" customHeight="1">
      <c r="B50" s="463"/>
      <c r="C50" s="420"/>
      <c r="D50" s="420"/>
      <c r="E50" s="489"/>
      <c r="F50" s="489"/>
      <c r="G50" s="489"/>
      <c r="H50" s="489"/>
      <c r="I50" s="489"/>
      <c r="J50" s="489"/>
      <c r="K50" s="489"/>
      <c r="L50" s="497"/>
      <c r="M50" s="497"/>
      <c r="N50" s="801" t="s">
        <v>742</v>
      </c>
      <c r="O50" s="491" t="str">
        <f>IF($E$5="", "",      INDEX('LA Averages_current_year'!$AK:$AK,MATCH($E$5,'LA Averages_current_year'!$A:$A,0)))</f>
        <v/>
      </c>
      <c r="P50" s="490"/>
      <c r="Q50" s="491" t="str">
        <f>IF($E$5="", "", INDEX(Proforma_current_year!$AF:$AF,MATCH($E$5,Proforma_current_year!$A:$A,0)))</f>
        <v/>
      </c>
      <c r="R50" s="461"/>
      <c r="S50" s="462"/>
      <c r="T50" s="430"/>
      <c r="U50" s="430"/>
      <c r="V50" s="430"/>
      <c r="W50" s="430"/>
      <c r="X50" s="430"/>
      <c r="Y50" s="430"/>
      <c r="Z50" s="430"/>
      <c r="AA50" s="430"/>
      <c r="AB50" s="430"/>
      <c r="AC50" s="430"/>
      <c r="AD50" s="430"/>
      <c r="AE50" s="430"/>
      <c r="AF50" s="430"/>
      <c r="AG50" s="430"/>
      <c r="AH50" s="430"/>
      <c r="AI50" s="430"/>
      <c r="AJ50" s="430"/>
      <c r="AK50" s="430"/>
      <c r="AL50" s="430"/>
      <c r="AM50" s="430"/>
      <c r="AN50" s="430"/>
      <c r="AO50" s="430"/>
      <c r="AP50" s="430"/>
      <c r="AQ50" s="430"/>
      <c r="AR50" s="430"/>
      <c r="AS50" s="430"/>
      <c r="AT50" s="430"/>
      <c r="AU50" s="430"/>
      <c r="AV50" s="430"/>
      <c r="AW50" s="430"/>
    </row>
    <row r="51" spans="2:49" s="349" customFormat="1" ht="30" customHeight="1">
      <c r="B51" s="463"/>
      <c r="C51" s="420"/>
      <c r="D51" s="420"/>
      <c r="E51" s="489"/>
      <c r="F51" s="489"/>
      <c r="G51" s="489"/>
      <c r="H51" s="489"/>
      <c r="I51" s="489"/>
      <c r="J51" s="489"/>
      <c r="K51" s="489"/>
      <c r="L51" s="497"/>
      <c r="M51" s="497"/>
      <c r="N51" s="801"/>
      <c r="O51" s="495" t="s">
        <v>756</v>
      </c>
      <c r="P51" s="802"/>
      <c r="Q51" s="495" t="s">
        <v>757</v>
      </c>
      <c r="R51" s="461"/>
      <c r="S51" s="462"/>
      <c r="T51" s="430"/>
      <c r="U51" s="430"/>
      <c r="V51" s="430"/>
      <c r="W51" s="430"/>
      <c r="X51" s="430"/>
      <c r="Y51" s="430"/>
      <c r="Z51" s="430"/>
      <c r="AA51" s="430"/>
      <c r="AB51" s="430"/>
      <c r="AC51" s="430"/>
      <c r="AD51" s="430"/>
      <c r="AE51" s="430"/>
      <c r="AF51" s="430"/>
      <c r="AG51" s="430"/>
      <c r="AH51" s="430"/>
      <c r="AI51" s="430"/>
      <c r="AJ51" s="430"/>
      <c r="AK51" s="430"/>
      <c r="AL51" s="430"/>
      <c r="AM51" s="430"/>
      <c r="AN51" s="430"/>
      <c r="AO51" s="430"/>
      <c r="AP51" s="430"/>
      <c r="AQ51" s="430"/>
      <c r="AR51" s="430"/>
      <c r="AS51" s="430"/>
      <c r="AT51" s="430"/>
      <c r="AU51" s="430"/>
      <c r="AV51" s="430"/>
      <c r="AW51" s="430"/>
    </row>
    <row r="52" spans="2:49" s="349" customFormat="1" ht="30" customHeight="1">
      <c r="B52" s="463"/>
      <c r="C52" s="420"/>
      <c r="D52" s="420"/>
      <c r="E52" s="489"/>
      <c r="F52" s="489"/>
      <c r="G52" s="489"/>
      <c r="H52" s="489"/>
      <c r="I52" s="489"/>
      <c r="J52" s="489"/>
      <c r="K52" s="489"/>
      <c r="L52" s="497"/>
      <c r="M52" s="497"/>
      <c r="N52" s="801"/>
      <c r="O52" s="491" t="str">
        <f>IF($E$5="", "",      INDEX('LA Averages_current_year'!$AL:$AL,MATCH($E$5,'LA Averages_current_year'!$A:$A,0)))</f>
        <v/>
      </c>
      <c r="P52" s="490"/>
      <c r="Q52" s="491" t="str">
        <f>IF($E$5="", "", INDEX(Proforma_current_year!$AG:$AG,MATCH($E$5,Proforma_current_year!$A:$A,0)))</f>
        <v/>
      </c>
      <c r="R52" s="461"/>
      <c r="S52" s="462"/>
      <c r="T52" s="430"/>
      <c r="U52" s="430"/>
      <c r="V52" s="430"/>
      <c r="W52" s="430"/>
      <c r="X52" s="430"/>
      <c r="Y52" s="430"/>
      <c r="Z52" s="430"/>
      <c r="AA52" s="430"/>
      <c r="AB52" s="430"/>
      <c r="AC52" s="430"/>
      <c r="AD52" s="430"/>
      <c r="AE52" s="430"/>
      <c r="AF52" s="430"/>
      <c r="AG52" s="430"/>
      <c r="AH52" s="430"/>
      <c r="AI52" s="430"/>
      <c r="AJ52" s="430"/>
      <c r="AK52" s="430"/>
      <c r="AL52" s="430"/>
      <c r="AM52" s="430"/>
      <c r="AN52" s="430"/>
      <c r="AO52" s="430"/>
      <c r="AP52" s="430"/>
      <c r="AQ52" s="430"/>
      <c r="AR52" s="430"/>
      <c r="AS52" s="430"/>
      <c r="AT52" s="430"/>
      <c r="AU52" s="430"/>
      <c r="AV52" s="430"/>
      <c r="AW52" s="430"/>
    </row>
    <row r="53" spans="2:49" s="349" customFormat="1" ht="30" customHeight="1">
      <c r="B53" s="463"/>
      <c r="C53" s="420"/>
      <c r="D53" s="420"/>
      <c r="E53" s="489"/>
      <c r="F53" s="489"/>
      <c r="G53" s="489"/>
      <c r="H53" s="489"/>
      <c r="I53" s="489"/>
      <c r="J53" s="489"/>
      <c r="K53" s="489"/>
      <c r="L53" s="497"/>
      <c r="M53" s="497"/>
      <c r="N53" s="801"/>
      <c r="O53" s="797" t="s">
        <v>1117</v>
      </c>
      <c r="P53" s="490"/>
      <c r="Q53" s="804" t="s">
        <v>1118</v>
      </c>
      <c r="R53" s="461"/>
      <c r="S53" s="462"/>
      <c r="T53" s="430"/>
      <c r="U53" s="430"/>
      <c r="V53" s="430"/>
      <c r="W53" s="430"/>
      <c r="X53" s="430"/>
      <c r="Y53" s="430"/>
      <c r="Z53" s="430"/>
      <c r="AA53" s="430"/>
      <c r="AB53" s="430"/>
      <c r="AC53" s="430"/>
      <c r="AD53" s="430"/>
      <c r="AE53" s="430"/>
      <c r="AF53" s="430"/>
      <c r="AG53" s="430"/>
      <c r="AH53" s="430"/>
      <c r="AI53" s="430"/>
      <c r="AJ53" s="430"/>
      <c r="AK53" s="430"/>
      <c r="AL53" s="430"/>
      <c r="AM53" s="430"/>
      <c r="AN53" s="430"/>
      <c r="AO53" s="430"/>
      <c r="AP53" s="430"/>
      <c r="AQ53" s="430"/>
      <c r="AR53" s="430"/>
      <c r="AS53" s="430"/>
      <c r="AT53" s="430"/>
      <c r="AU53" s="430"/>
      <c r="AV53" s="430"/>
      <c r="AW53" s="430"/>
    </row>
    <row r="54" spans="2:49" s="349" customFormat="1" ht="30" customHeight="1">
      <c r="B54" s="463"/>
      <c r="C54" s="420"/>
      <c r="D54" s="420"/>
      <c r="E54" s="489"/>
      <c r="F54" s="489"/>
      <c r="G54" s="489"/>
      <c r="H54" s="489"/>
      <c r="I54" s="489"/>
      <c r="J54" s="489"/>
      <c r="K54" s="489"/>
      <c r="L54" s="497"/>
      <c r="M54" s="497"/>
      <c r="N54" s="801"/>
      <c r="O54" s="793" t="str">
        <f>IF($E$5="", "",      INDEX('LA Averages_current_year'!$AM:$AM,MATCH($E$5,'LA Averages_current_year'!$A:$A,0)))</f>
        <v/>
      </c>
      <c r="P54" s="490"/>
      <c r="Q54" s="495" t="str">
        <f>IF($E$5="", "", INDEX(Proforma_current_year!$AH:$AH,MATCH($E$5,Proforma_current_year!$A:$A,0)))</f>
        <v/>
      </c>
      <c r="R54" s="461"/>
      <c r="S54" s="462"/>
      <c r="T54" s="430"/>
      <c r="U54" s="430"/>
      <c r="V54" s="430"/>
      <c r="W54" s="430"/>
      <c r="X54" s="430"/>
      <c r="Y54" s="430"/>
      <c r="Z54" s="430"/>
      <c r="AA54" s="430"/>
      <c r="AB54" s="430"/>
      <c r="AC54" s="430"/>
      <c r="AD54" s="430"/>
      <c r="AE54" s="430"/>
      <c r="AF54" s="430"/>
      <c r="AG54" s="430"/>
      <c r="AH54" s="430"/>
      <c r="AI54" s="430"/>
      <c r="AJ54" s="430"/>
      <c r="AK54" s="430"/>
      <c r="AL54" s="430"/>
      <c r="AM54" s="430"/>
      <c r="AN54" s="430"/>
      <c r="AO54" s="430"/>
      <c r="AP54" s="430"/>
      <c r="AQ54" s="430"/>
      <c r="AR54" s="430"/>
      <c r="AS54" s="430"/>
      <c r="AT54" s="430"/>
      <c r="AU54" s="430"/>
      <c r="AV54" s="430"/>
      <c r="AW54" s="430"/>
    </row>
    <row r="55" spans="2:49" s="349" customFormat="1" ht="30" customHeight="1">
      <c r="B55" s="463"/>
      <c r="C55" s="420"/>
      <c r="D55" s="420"/>
      <c r="E55" s="489"/>
      <c r="F55" s="489"/>
      <c r="G55" s="489"/>
      <c r="H55" s="489"/>
      <c r="I55" s="489"/>
      <c r="J55" s="489"/>
      <c r="K55" s="489"/>
      <c r="L55" s="489"/>
      <c r="M55" s="489"/>
      <c r="N55" s="489"/>
      <c r="O55" s="797" t="s">
        <v>1247</v>
      </c>
      <c r="P55" s="804" t="s">
        <v>1248</v>
      </c>
      <c r="Q55" s="804" t="s">
        <v>1249</v>
      </c>
      <c r="R55" s="461"/>
      <c r="S55" s="462"/>
      <c r="T55" s="430"/>
      <c r="U55" s="430"/>
      <c r="V55" s="430"/>
      <c r="W55" s="430"/>
      <c r="X55" s="430"/>
      <c r="Y55" s="430"/>
      <c r="Z55" s="430"/>
      <c r="AA55" s="430"/>
      <c r="AB55" s="430"/>
      <c r="AC55" s="430"/>
      <c r="AD55" s="430"/>
      <c r="AE55" s="430"/>
      <c r="AF55" s="430"/>
      <c r="AG55" s="430"/>
      <c r="AH55" s="430"/>
      <c r="AI55" s="430"/>
      <c r="AJ55" s="430"/>
      <c r="AK55" s="430"/>
      <c r="AL55" s="430"/>
      <c r="AM55" s="430"/>
      <c r="AN55" s="430"/>
      <c r="AO55" s="430"/>
      <c r="AP55" s="430"/>
      <c r="AQ55" s="430"/>
      <c r="AR55" s="430"/>
      <c r="AS55" s="430"/>
      <c r="AT55" s="430"/>
      <c r="AU55" s="430"/>
      <c r="AV55" s="430"/>
      <c r="AW55" s="430"/>
    </row>
    <row r="56" spans="2:49" s="349" customFormat="1" ht="30" customHeight="1">
      <c r="B56" s="419"/>
      <c r="C56" s="420"/>
      <c r="D56" s="485" t="s">
        <v>758</v>
      </c>
      <c r="E56" s="498"/>
      <c r="F56" s="489"/>
      <c r="G56" s="489"/>
      <c r="H56" s="489">
        <f>IF(G3=0,0,IFERROR( ( ( ($O$44*$Q$44*RR_previous_year!G23:G23) + ($O$46*$Q$46*RR_previous_year!G24:G24)+ ($O$48 *$Q$48*RR_previous_year!G25:G25)) /SUM(RR_previous_year!G23:G26)) * INDEX(Proforma_previous_year!$AI:$AI,(MATCH(FS_Protection!$E$6,Proforma_previous_year!$A:$A,0))), 0 ))</f>
        <v>0</v>
      </c>
      <c r="I56" s="789">
        <f>IF(G3=0,0,IFERROR( ( ( ($O$50*$Q$50*'Pre 16 Ready Reckoner'!G23:G23) + ($O$52*$Q$52*'Pre 16 Ready Reckoner'!G24:G24) + ($O$54 *$Q$54*'Pre 16 Ready Reckoner'!G25:G25)) /SUM('Pre 16 Ready Reckoner'!G23:G27)) * INDEX(Proforma_current_year!$AJ:$AJ,(MATCH(FS_Protection!$E$5,Proforma_current_year!$A:$A,0))), 0 ))</f>
        <v>0</v>
      </c>
      <c r="J56" s="489"/>
      <c r="K56" s="489">
        <f>IF(H3=0,0,IFERROR( ( ( (P48*RR_previous_year!G26:G26)) /SUM(RR_previous_year!G23:G26 )) * INDEX(Proforma_previous_year!$AI:$AI,(MATCH(FS_Protection!$E$6,Proforma_previous_year!$A:$A,0))), 0 ))</f>
        <v>0</v>
      </c>
      <c r="L56" s="789">
        <f>IF(H3=0,0,IFERROR( ( ( ($O$56*$Q$56*'Pre 16 Ready Reckoner'!G26:G26) + ($P$56*'Pre 16 Ready Reckoner'!G27:G27)) /SUM('Pre 16 Ready Reckoner'!G23:G27 )) * INDEX(Proforma_current_year!$AJ:$AJ,(MATCH(FS_Protection!$E$5,Proforma_current_year!$A:$A,0))), 0 ))</f>
        <v>0</v>
      </c>
      <c r="M56" s="489"/>
      <c r="N56" s="499"/>
      <c r="O56" s="794" t="str">
        <f>IF($E$5="", "",      INDEX('LA Averages_current_year'!$AN:$AN,MATCH($E$5,'LA Averages_current_year'!$A:$A,0)))</f>
        <v/>
      </c>
      <c r="P56" s="491" t="str">
        <f>IF($E$5="", "",      INDEX('LA Averages_current_year'!$AO:$AO,MATCH($E$5,'LA Averages_current_year'!$A:$A,0)))</f>
        <v/>
      </c>
      <c r="Q56" s="794" t="str">
        <f>IF($E$5="", "", INDEX(Proforma_current_year!$AI:$AI,MATCH($E$5,Proforma_current_year!$A:$A,0)))</f>
        <v/>
      </c>
      <c r="R56" s="461"/>
      <c r="S56" s="462"/>
      <c r="T56" s="430"/>
      <c r="U56" s="430"/>
      <c r="V56" s="430"/>
      <c r="W56" s="430"/>
      <c r="X56" s="430"/>
      <c r="Y56" s="430"/>
      <c r="Z56" s="430"/>
      <c r="AA56" s="430"/>
      <c r="AB56" s="430"/>
      <c r="AC56" s="430"/>
      <c r="AD56" s="430"/>
      <c r="AE56" s="430"/>
      <c r="AF56" s="430"/>
      <c r="AG56" s="430"/>
      <c r="AH56" s="430"/>
      <c r="AI56" s="430"/>
      <c r="AJ56" s="430"/>
      <c r="AK56" s="430"/>
      <c r="AL56" s="430"/>
      <c r="AM56" s="430"/>
      <c r="AN56" s="430"/>
      <c r="AO56" s="430"/>
      <c r="AP56" s="430"/>
      <c r="AQ56" s="430"/>
      <c r="AR56" s="430"/>
      <c r="AS56" s="430"/>
      <c r="AT56" s="430"/>
      <c r="AU56" s="430"/>
      <c r="AV56" s="430"/>
      <c r="AW56" s="430"/>
    </row>
    <row r="57" spans="2:49" s="349" customFormat="1" ht="21.95" customHeight="1">
      <c r="B57" s="419"/>
      <c r="C57" s="420"/>
      <c r="D57" s="485"/>
      <c r="E57" s="498"/>
      <c r="F57" s="489"/>
      <c r="G57" s="489"/>
      <c r="H57" s="489"/>
      <c r="I57" s="489"/>
      <c r="J57" s="489"/>
      <c r="K57" s="489"/>
      <c r="L57" s="489"/>
      <c r="M57" s="489"/>
      <c r="N57" s="493"/>
      <c r="O57" s="496"/>
      <c r="P57" s="496"/>
      <c r="Q57" s="496"/>
      <c r="R57" s="461"/>
      <c r="S57" s="462"/>
      <c r="T57" s="430"/>
      <c r="U57" s="430"/>
      <c r="V57" s="430"/>
      <c r="W57" s="430"/>
      <c r="X57" s="430"/>
      <c r="Y57" s="430"/>
      <c r="Z57" s="430"/>
      <c r="AA57" s="430"/>
      <c r="AB57" s="430"/>
      <c r="AC57" s="430"/>
      <c r="AD57" s="430"/>
      <c r="AE57" s="430"/>
      <c r="AF57" s="430"/>
      <c r="AG57" s="430"/>
      <c r="AH57" s="430"/>
      <c r="AI57" s="430"/>
      <c r="AJ57" s="430"/>
      <c r="AK57" s="430"/>
      <c r="AL57" s="430"/>
      <c r="AM57" s="430"/>
      <c r="AN57" s="430"/>
      <c r="AO57" s="430"/>
      <c r="AP57" s="430"/>
      <c r="AQ57" s="430"/>
      <c r="AR57" s="430"/>
      <c r="AS57" s="430"/>
      <c r="AT57" s="430"/>
      <c r="AU57" s="430"/>
      <c r="AV57" s="430"/>
      <c r="AW57" s="430"/>
    </row>
    <row r="58" spans="2:49" s="349" customFormat="1" ht="21.95" customHeight="1">
      <c r="B58" s="419"/>
      <c r="C58" s="420"/>
      <c r="D58" s="485"/>
      <c r="E58" s="498"/>
      <c r="F58" s="489"/>
      <c r="G58" s="489"/>
      <c r="H58" s="489"/>
      <c r="I58" s="489"/>
      <c r="J58" s="489"/>
      <c r="K58" s="489"/>
      <c r="L58" s="489"/>
      <c r="M58" s="489"/>
      <c r="N58" s="489"/>
      <c r="O58" s="460" t="s">
        <v>160</v>
      </c>
      <c r="P58" s="460" t="s">
        <v>743</v>
      </c>
      <c r="Q58" s="460" t="s">
        <v>744</v>
      </c>
      <c r="R58" s="461"/>
      <c r="S58" s="462"/>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row>
    <row r="59" spans="2:49" s="349" customFormat="1" ht="21.95" customHeight="1">
      <c r="B59" s="419"/>
      <c r="C59" s="460"/>
      <c r="D59" s="420" t="s">
        <v>759</v>
      </c>
      <c r="E59" s="489">
        <f>IF($E$6="", 0,IF(INDEX(Proforma_previous_year!$AB:$AB,MATCH($E$6,Proforma_previous_year!$A:$A,0))="", 0, INDEX(Proforma_previous_year!$AB:$AB,MATCH($E$6,Proforma_previous_year!$A:$A,0)))*O59)</f>
        <v>0</v>
      </c>
      <c r="F59" s="489">
        <f>IF($E$5="", 0,IF(INDEX(Proforma_current_year!$AB:$AB,MATCH($E$5,Proforma_current_year!$A:$A,0))="", 0, INDEX(Proforma_current_year!$AB:$AB,MATCH($E$5,Proforma_current_year!$A:$A,0)))*O62)</f>
        <v>0</v>
      </c>
      <c r="G59" s="489"/>
      <c r="H59" s="489"/>
      <c r="I59" s="489"/>
      <c r="J59" s="489"/>
      <c r="K59" s="489"/>
      <c r="L59" s="489"/>
      <c r="M59" s="489"/>
      <c r="N59" s="651" t="s">
        <v>777</v>
      </c>
      <c r="O59" s="793">
        <f>IF($E$6="", 0, IF(SUM('Pre 16 Ready Reckoner'!$G$22:$G$22)&gt;0,IF(INDEX(Proforma_previous_year!$AA:$AA,MATCH($E$6,Proforma_previous_year!$A:$A,0))="N/A",0,IF(INDEX(Proforma_previous_year!$AA:$AA,MATCH($E$6,Proforma_previous_year!$A:$A,0))="EAL 1 Primary",INDEX('LA Averages_previous_year'!$AB:$AB,MATCH($E$6,'LA Averages_previous_year'!$A:$A,0)),IF(INDEX(Proforma_previous_year!$AA:$AA,MATCH($E$6,Proforma_previous_year!$A:$A,0))="EAL 2 Primary",INDEX('LA Averages_previous_year'!$AC:$AC,MATCH($E$6,'LA Averages_previous_year'!$A:$A,0)),INDEX('LA Averages_previous_year'!$AD:$AD,MATCH($E$6,'LA Averages_previous_year'!$A:$A,0)) ))),0))</f>
        <v>0</v>
      </c>
      <c r="P59" s="468"/>
      <c r="Q59" s="468"/>
      <c r="R59" s="456"/>
      <c r="S59" s="457"/>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row>
    <row r="60" spans="2:49" s="349" customFormat="1" ht="21.95" customHeight="1">
      <c r="B60" s="419"/>
      <c r="C60" s="460"/>
      <c r="D60" s="420" t="s">
        <v>760</v>
      </c>
      <c r="E60" s="498"/>
      <c r="F60" s="489"/>
      <c r="G60" s="489"/>
      <c r="H60" s="489">
        <f>IF($E$6="", 0,IF($G$3=0,0,IF(INDEX(Proforma_previous_year!$AD:$AD,MATCH($E$6,Proforma_previous_year!$A:$A,0))="", 0, INDEX(Proforma_previous_year!$AD:$AD,MATCH($E$6,Proforma_previous_year!$A:$A,0)))*P60))</f>
        <v>0</v>
      </c>
      <c r="I60" s="489">
        <f>IF($E$5="", 0, IF($G$3=0,0,IF(INDEX(Proforma_current_year!$AD:$AD,MATCH($E$5,Proforma_current_year!$A:$A,0))="", 0, INDEX(Proforma_current_year!$AD:$AD,MATCH($E$5,Proforma_current_year!$A:$A,0))) * $P$63))</f>
        <v>0</v>
      </c>
      <c r="J60" s="489"/>
      <c r="K60" s="489">
        <f>IF($E$6="", 0,IF($H$3=0,0,IF(INDEX(Proforma_previous_year!$AD:$AD,MATCH($E$6,Proforma_previous_year!$A:$A,0))="", 0, INDEX(Proforma_previous_year!$AD:$AD,MATCH($E$6,Proforma_previous_year!$A:$A,0)))*Q60))</f>
        <v>0</v>
      </c>
      <c r="L60" s="489">
        <f>IF($E$5="", 0, IF($H$3=0,0,IF(INDEX(Proforma_current_year!$AD:$AD,MATCH($E$5,Proforma_current_year!$A:$A,0))="", 0, INDEX(Proforma_current_year!$AD:$AD,MATCH($E$5,Proforma_current_year!$A:$A,0))) * $Q$63))</f>
        <v>0</v>
      </c>
      <c r="M60" s="489"/>
      <c r="N60" s="489"/>
      <c r="O60" s="468"/>
      <c r="P60" s="794">
        <f>IF($E$6="", 0, IF(SUM('Pre 16 Ready Reckoner'!$G$23:$G$25)&gt;0,IF(INDEX(Proforma_previous_year!$AC:$AC,MATCH($E$6,Proforma_previous_year!$A:$A,0))="N/A",0,IF(INDEX(Proforma_previous_year!$AC:$AC,MATCH($E$6,Proforma_previous_year!$A:$A,0))="EAL 1 Secondary",INDEX('LA Averages_previous_year'!$AE:$AE,MATCH($E$6,'LA Averages_previous_year'!$A:$A,0)),IF(INDEX(Proforma_previous_year!$AC:$AC,MATCH($E$6,Proforma_previous_year!$A:$A,0))="EAL 2 Secondary",INDEX('LA Averages_previous_year'!$AF:$AF,MATCH($E$6,'LA Averages_previous_year'!$A:$A,0)),INDEX('LA Averages_previous_year'!$AG:$AG,MATCH($E$6,'LA Averages_previous_year'!$A:$A,0)) ))),0))</f>
        <v>0</v>
      </c>
      <c r="Q60" s="794">
        <f>IF($E$6="", 0, IF(SUM('Pre 16 Ready Reckoner'!$G$26:$G$27)&gt;0,IF(INDEX(Proforma_previous_year!$AC:$AC,MATCH($E$6,Proforma_previous_year!$A:$A,0))="N/A",0,IF(INDEX(Proforma_previous_year!$AC:$AC,MATCH($E$6,Proforma_previous_year!$A:$A,0))="EAL 1 Secondary",INDEX('LA Averages_previous_year'!$AE:$AE,MATCH($E$6,'LA Averages_previous_year'!$A:$A,0)),IF(INDEX(Proforma_previous_year!$AC:$AC,MATCH($E$6,Proforma_previous_year!$A:$A,0))="EAL 2 Secondary",INDEX('LA Averages_previous_year'!$AF:$AF,MATCH($E$6,'LA Averages_previous_year'!$A:$A,0)),INDEX('LA Averages_previous_year'!$AG:$AG,MATCH($E$6,'LA Averages_previous_year'!$A:$A,0)) ))),0))</f>
        <v>0</v>
      </c>
      <c r="R60" s="461"/>
      <c r="S60" s="462"/>
      <c r="T60" s="430"/>
      <c r="U60" s="430"/>
      <c r="V60" s="430"/>
      <c r="W60" s="430"/>
      <c r="X60" s="430"/>
      <c r="Y60" s="430"/>
      <c r="Z60" s="430"/>
      <c r="AA60" s="430"/>
      <c r="AB60" s="430"/>
      <c r="AC60" s="430"/>
      <c r="AD60" s="430"/>
      <c r="AE60" s="430"/>
      <c r="AF60" s="430"/>
      <c r="AG60" s="430"/>
      <c r="AH60" s="430"/>
      <c r="AI60" s="430"/>
      <c r="AJ60" s="430"/>
      <c r="AK60" s="430"/>
      <c r="AL60" s="430"/>
      <c r="AM60" s="430"/>
      <c r="AN60" s="430"/>
      <c r="AO60" s="430"/>
      <c r="AP60" s="430"/>
      <c r="AQ60" s="430"/>
      <c r="AR60" s="430"/>
      <c r="AS60" s="430"/>
      <c r="AT60" s="430"/>
      <c r="AU60" s="430"/>
      <c r="AV60" s="430"/>
      <c r="AW60" s="430"/>
    </row>
    <row r="61" spans="2:49" s="349" customFormat="1" ht="21.95" customHeight="1">
      <c r="B61" s="419"/>
      <c r="C61" s="460"/>
      <c r="D61" s="420"/>
      <c r="E61" s="498"/>
      <c r="F61" s="489"/>
      <c r="G61" s="489"/>
      <c r="H61" s="489"/>
      <c r="I61" s="489"/>
      <c r="J61" s="489"/>
      <c r="K61" s="489"/>
      <c r="L61" s="489"/>
      <c r="M61" s="489"/>
      <c r="N61" s="651" t="s">
        <v>742</v>
      </c>
      <c r="O61" s="460" t="s">
        <v>160</v>
      </c>
      <c r="P61" s="495" t="s">
        <v>743</v>
      </c>
      <c r="Q61" s="495" t="s">
        <v>744</v>
      </c>
      <c r="R61" s="461"/>
      <c r="S61" s="462"/>
      <c r="T61" s="430"/>
      <c r="U61" s="430"/>
      <c r="V61" s="430"/>
      <c r="W61" s="430"/>
      <c r="X61" s="430"/>
      <c r="Y61" s="430"/>
      <c r="Z61" s="430"/>
      <c r="AA61" s="430"/>
      <c r="AB61" s="430"/>
      <c r="AC61" s="430"/>
      <c r="AD61" s="430"/>
      <c r="AE61" s="430"/>
      <c r="AF61" s="430"/>
      <c r="AG61" s="430"/>
      <c r="AH61" s="430"/>
      <c r="AI61" s="430"/>
      <c r="AJ61" s="430"/>
      <c r="AK61" s="430"/>
      <c r="AL61" s="430"/>
      <c r="AM61" s="430"/>
      <c r="AN61" s="430"/>
      <c r="AO61" s="430"/>
      <c r="AP61" s="430"/>
      <c r="AQ61" s="430"/>
      <c r="AR61" s="430"/>
      <c r="AS61" s="430"/>
      <c r="AT61" s="430"/>
      <c r="AU61" s="430"/>
      <c r="AV61" s="430"/>
      <c r="AW61" s="430"/>
    </row>
    <row r="62" spans="2:49" s="349" customFormat="1" ht="21.95" customHeight="1">
      <c r="B62" s="419"/>
      <c r="C62" s="460"/>
      <c r="D62" s="420"/>
      <c r="E62" s="498"/>
      <c r="F62" s="489"/>
      <c r="G62" s="489"/>
      <c r="H62" s="489"/>
      <c r="I62" s="489"/>
      <c r="J62" s="489"/>
      <c r="K62" s="489"/>
      <c r="L62" s="489"/>
      <c r="M62" s="489"/>
      <c r="O62" s="491">
        <f>IF($E$5="", 0, IF(SUM('Pre 16 Ready Reckoner'!$G$22:$G$22)&gt;0,IF(INDEX(Proforma_current_year!$AA:$AA,MATCH($E$5,Proforma_current_year!$A:$A,0))="N/A",0,IF(INDEX(Proforma_current_year!$AA:$AA,MATCH($E$5,Proforma_current_year!$A:$A,0))="EAL 1 Primary",INDEX('LA Averages_current_year'!$AC:$AC,MATCH($E$5,'LA Averages_current_year'!$A:$A,0)),IF(INDEX(Proforma_current_year!$AA:$AA,MATCH($E$5,Proforma_current_year!$A:$A,0))="EAL 2 Primary",INDEX('LA Averages_current_year'!$AD:$AD,MATCH($E$5,'LA Averages_current_year'!$A:$A,0)),INDEX('LA Averages_current_year'!$AE:$AE,MATCH($E$5,'LA Averages_current_year'!$A:$A,0)) ))),0))</f>
        <v>0</v>
      </c>
      <c r="P62" s="491"/>
      <c r="Q62" s="491"/>
      <c r="R62" s="461"/>
      <c r="S62" s="462"/>
      <c r="T62" s="430"/>
      <c r="U62" s="430"/>
      <c r="V62" s="430"/>
      <c r="W62" s="430"/>
      <c r="X62" s="430"/>
      <c r="Y62" s="430"/>
      <c r="Z62" s="430"/>
      <c r="AA62" s="430"/>
      <c r="AB62" s="430"/>
      <c r="AC62" s="430"/>
      <c r="AD62" s="430"/>
      <c r="AE62" s="430"/>
      <c r="AF62" s="430"/>
      <c r="AG62" s="430"/>
      <c r="AH62" s="430"/>
      <c r="AI62" s="430"/>
      <c r="AJ62" s="430"/>
      <c r="AK62" s="430"/>
      <c r="AL62" s="430"/>
      <c r="AM62" s="430"/>
      <c r="AN62" s="430"/>
      <c r="AO62" s="430"/>
      <c r="AP62" s="430"/>
      <c r="AQ62" s="430"/>
      <c r="AR62" s="430"/>
      <c r="AS62" s="430"/>
      <c r="AT62" s="430"/>
      <c r="AU62" s="430"/>
      <c r="AV62" s="430"/>
      <c r="AW62" s="430"/>
    </row>
    <row r="63" spans="2:49" s="349" customFormat="1" ht="21.95" customHeight="1">
      <c r="B63" s="419"/>
      <c r="C63" s="460"/>
      <c r="D63" s="420"/>
      <c r="E63" s="498"/>
      <c r="F63" s="489"/>
      <c r="G63" s="489"/>
      <c r="H63" s="489"/>
      <c r="I63" s="489"/>
      <c r="J63" s="489"/>
      <c r="K63" s="489"/>
      <c r="L63" s="489"/>
      <c r="M63" s="489"/>
      <c r="N63" s="489"/>
      <c r="O63" s="468"/>
      <c r="P63" s="491">
        <f>IF($E$5="", 0, IF(SUM('Pre 16 Ready Reckoner'!$G$23:$G$25)&gt;0,IF(INDEX(Proforma_current_year!$AC:$AC,MATCH($E$5,Proforma_current_year!$A:$A,0))="N/A",0,IF(INDEX(Proforma_current_year!$AC:$AC,MATCH($E$5,Proforma_current_year!$A:$A,0))="EAL 1 Secondary",INDEX('LA Averages_current_year'!$AF:$AF,MATCH($E$5,'LA Averages_current_year'!$A:$A,0)),IF(INDEX(Proforma_current_year!$AC:$AC,MATCH($E$5,Proforma_current_year!$A:$A,0))="EAL 2 Secondary",INDEX('LA Averages_current_year'!$AG:$AG,MATCH($E$5,'LA Averages_current_year'!$A:$A,0)),INDEX('LA Averages_current_year'!$AH:$AH,MATCH($E$5,'LA Averages_current_year'!$A:$A,0)) ))),0))</f>
        <v>0</v>
      </c>
      <c r="Q63" s="491">
        <f>IF($E$5="", 0, IF(SUM('Pre 16 Ready Reckoner'!$G$26:$G$27)&gt;0,IF(INDEX(Proforma_current_year!$AC:$AC,MATCH($E$5,Proforma_current_year!$A:$A,0))="N/A",0,IF(INDEX(Proforma_current_year!$AC:$AC,MATCH($E$5,Proforma_current_year!$A:$A,0))="EAL 1 Secondary",INDEX('LA Averages_current_year'!$AF:$AF,MATCH($E$5,'LA Averages_current_year'!$A:$A,0)),IF(INDEX(Proforma_current_year!$AC:$AC,MATCH($E$5,Proforma_current_year!$A:$A,0))="EAL 2 Secondary",INDEX('LA Averages_current_year'!$AG:$AG,MATCH($E$5,'LA Averages_current_year'!$A:$A,0)),INDEX('LA Averages_current_year'!$AH:$AH,MATCH($E$5,'LA Averages_current_year'!$A:$A,0)) ))),0))</f>
        <v>0</v>
      </c>
      <c r="R63" s="461"/>
      <c r="S63" s="462"/>
      <c r="T63" s="430"/>
      <c r="U63" s="430"/>
      <c r="V63" s="430"/>
      <c r="W63" s="430"/>
      <c r="X63" s="430"/>
      <c r="Y63" s="430"/>
      <c r="Z63" s="430"/>
      <c r="AA63" s="430"/>
      <c r="AB63" s="430"/>
      <c r="AC63" s="430"/>
      <c r="AD63" s="430"/>
      <c r="AE63" s="430"/>
      <c r="AF63" s="430"/>
      <c r="AG63" s="430"/>
      <c r="AH63" s="430"/>
      <c r="AI63" s="430"/>
      <c r="AJ63" s="430"/>
      <c r="AK63" s="430"/>
      <c r="AL63" s="430"/>
      <c r="AM63" s="430"/>
      <c r="AN63" s="430"/>
      <c r="AO63" s="430"/>
      <c r="AP63" s="430"/>
      <c r="AQ63" s="430"/>
      <c r="AR63" s="430"/>
      <c r="AS63" s="430"/>
      <c r="AT63" s="430"/>
      <c r="AU63" s="430"/>
      <c r="AV63" s="430"/>
      <c r="AW63" s="430"/>
    </row>
    <row r="64" spans="2:49" s="349" customFormat="1" ht="21.95" customHeight="1">
      <c r="B64" s="419"/>
      <c r="C64" s="460"/>
      <c r="D64" s="420"/>
      <c r="E64" s="498"/>
      <c r="F64" s="489"/>
      <c r="G64" s="489"/>
      <c r="H64" s="489"/>
      <c r="I64" s="489"/>
      <c r="J64" s="489"/>
      <c r="K64" s="489"/>
      <c r="L64" s="489"/>
      <c r="M64" s="489"/>
      <c r="N64" s="489"/>
      <c r="O64" s="468"/>
      <c r="P64" s="491"/>
      <c r="Q64" s="491"/>
      <c r="R64" s="461"/>
      <c r="S64" s="462"/>
      <c r="T64" s="430"/>
      <c r="U64" s="430"/>
      <c r="V64" s="430"/>
      <c r="W64" s="430"/>
      <c r="X64" s="430"/>
      <c r="Y64" s="430"/>
      <c r="Z64" s="430"/>
      <c r="AA64" s="430"/>
      <c r="AB64" s="430"/>
      <c r="AC64" s="430"/>
      <c r="AD64" s="430"/>
      <c r="AE64" s="430"/>
      <c r="AF64" s="430"/>
      <c r="AG64" s="430"/>
      <c r="AH64" s="430"/>
      <c r="AI64" s="430"/>
      <c r="AJ64" s="430"/>
      <c r="AK64" s="430"/>
      <c r="AL64" s="430"/>
      <c r="AM64" s="430"/>
      <c r="AN64" s="430"/>
      <c r="AO64" s="430"/>
      <c r="AP64" s="430"/>
      <c r="AQ64" s="430"/>
      <c r="AR64" s="430"/>
      <c r="AS64" s="430"/>
      <c r="AT64" s="430"/>
      <c r="AU64" s="430"/>
      <c r="AV64" s="430"/>
      <c r="AW64" s="430"/>
    </row>
    <row r="65" spans="2:49" s="349" customFormat="1" ht="21.95" customHeight="1">
      <c r="B65" s="464"/>
      <c r="C65" s="420"/>
      <c r="D65" s="503" t="s">
        <v>761</v>
      </c>
      <c r="E65" s="550">
        <f>SUM(E$23:E$32,E$34:E$36,E38:E$60)</f>
        <v>0</v>
      </c>
      <c r="F65" s="550">
        <f>SUM(F$23:F$32,F$34:F$36,F38:F$60)</f>
        <v>0</v>
      </c>
      <c r="G65" s="550"/>
      <c r="H65" s="550">
        <f>SUM(H$23:H$32,H$34:H$36,H38:H$60)</f>
        <v>0</v>
      </c>
      <c r="I65" s="550">
        <f>SUM(I$23:I$32,I$34:I$36,I38:I$60)</f>
        <v>0</v>
      </c>
      <c r="J65" s="550"/>
      <c r="K65" s="550">
        <f>SUM(K$23:K$32,K$34:K$36,K38:K$60)</f>
        <v>0</v>
      </c>
      <c r="L65" s="550">
        <f>SUM(L$23:L$32,L$34:L$36,L38:L$60)</f>
        <v>0</v>
      </c>
      <c r="M65" s="550"/>
      <c r="N65" s="550"/>
      <c r="O65" s="551"/>
      <c r="P65" s="551"/>
      <c r="Q65" s="551"/>
      <c r="R65" s="456"/>
      <c r="S65" s="457"/>
      <c r="T65" s="430"/>
      <c r="U65" s="430"/>
      <c r="V65" s="430"/>
      <c r="W65" s="430"/>
      <c r="X65" s="430"/>
      <c r="Y65" s="430"/>
      <c r="Z65" s="430"/>
      <c r="AA65" s="430"/>
      <c r="AB65" s="430"/>
      <c r="AC65" s="430"/>
      <c r="AD65" s="430"/>
      <c r="AE65" s="430"/>
      <c r="AF65" s="430"/>
      <c r="AG65" s="430"/>
      <c r="AH65" s="430"/>
      <c r="AI65" s="430"/>
      <c r="AJ65" s="430"/>
      <c r="AK65" s="430"/>
      <c r="AL65" s="430"/>
      <c r="AM65" s="430"/>
      <c r="AN65" s="430"/>
      <c r="AO65" s="430"/>
      <c r="AP65" s="430"/>
      <c r="AQ65" s="430"/>
      <c r="AR65" s="430"/>
      <c r="AS65" s="430"/>
      <c r="AT65" s="430"/>
      <c r="AU65" s="430"/>
      <c r="AV65" s="430"/>
      <c r="AW65" s="430"/>
    </row>
    <row r="66" spans="2:49" s="349" customFormat="1" ht="16.9" customHeight="1">
      <c r="B66" s="464"/>
      <c r="C66" s="420"/>
      <c r="D66" s="420"/>
      <c r="E66" s="484"/>
      <c r="F66" s="484"/>
      <c r="G66" s="484"/>
      <c r="H66" s="484"/>
      <c r="I66" s="484"/>
      <c r="J66" s="484"/>
      <c r="K66" s="484"/>
      <c r="L66" s="484"/>
      <c r="M66" s="484"/>
      <c r="N66" s="484"/>
      <c r="O66" s="453"/>
      <c r="P66" s="453"/>
      <c r="Q66" s="453"/>
      <c r="R66" s="456"/>
      <c r="S66" s="457"/>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row>
    <row r="67" spans="2:49" s="349" customFormat="1" ht="21.95" customHeight="1">
      <c r="B67" s="419"/>
      <c r="C67" s="420"/>
      <c r="R67" s="466"/>
      <c r="T67" s="430"/>
      <c r="U67" s="430"/>
      <c r="V67" s="430"/>
      <c r="W67" s="430"/>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row>
    <row r="68" spans="2:49" s="349" customFormat="1" ht="59.65" customHeight="1" thickBot="1">
      <c r="B68" s="428"/>
      <c r="C68" s="420"/>
      <c r="D68" s="506" t="s">
        <v>778</v>
      </c>
      <c r="E68" s="507">
        <f>E$65</f>
        <v>0</v>
      </c>
      <c r="F68" s="507">
        <f>F$65</f>
        <v>0</v>
      </c>
      <c r="G68" s="507"/>
      <c r="H68" s="507">
        <f>H$65</f>
        <v>0</v>
      </c>
      <c r="I68" s="507">
        <f>I$65</f>
        <v>0</v>
      </c>
      <c r="J68" s="507"/>
      <c r="K68" s="507">
        <f>K$65</f>
        <v>0</v>
      </c>
      <c r="L68" s="507">
        <f>L$65</f>
        <v>0</v>
      </c>
      <c r="M68" s="508"/>
      <c r="N68" s="508"/>
      <c r="O68" s="509"/>
      <c r="P68" s="509"/>
      <c r="Q68" s="509"/>
      <c r="R68" s="466"/>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row>
    <row r="69" spans="2:49" s="349" customFormat="1" ht="21.95" customHeight="1" thickBot="1">
      <c r="B69" s="428"/>
      <c r="C69" s="420"/>
      <c r="D69" s="656"/>
      <c r="E69" s="657"/>
      <c r="F69" s="657"/>
      <c r="G69" s="497"/>
      <c r="H69" s="497"/>
      <c r="I69" s="497"/>
      <c r="J69" s="497"/>
      <c r="K69" s="497"/>
      <c r="L69" s="497"/>
      <c r="M69" s="484"/>
      <c r="N69" s="484"/>
      <c r="O69" s="453"/>
      <c r="P69" s="453"/>
      <c r="Q69" s="453"/>
      <c r="R69" s="466"/>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row>
    <row r="70" spans="2:49" s="349" customFormat="1" ht="20.1" customHeight="1">
      <c r="B70" s="419"/>
      <c r="C70" s="420"/>
      <c r="E70" s="420" t="s">
        <v>777</v>
      </c>
      <c r="F70" s="420" t="s">
        <v>742</v>
      </c>
      <c r="R70" s="466"/>
      <c r="T70" s="430"/>
      <c r="U70" s="430"/>
      <c r="V70" s="430"/>
      <c r="W70" s="430"/>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430"/>
      <c r="AU70" s="430"/>
      <c r="AV70" s="430"/>
      <c r="AW70" s="430"/>
    </row>
    <row r="71" spans="2:49" s="349" customFormat="1" ht="20.1" customHeight="1">
      <c r="B71" s="419"/>
      <c r="C71" s="460"/>
      <c r="D71" s="505" t="s">
        <v>763</v>
      </c>
      <c r="E71" s="792">
        <f>RR_previous_year!M58</f>
        <v>0</v>
      </c>
      <c r="F71" s="659" t="e">
        <f>'Pre 16 Ready Reckoner'!M59</f>
        <v>#N/A</v>
      </c>
      <c r="G71" s="654"/>
      <c r="H71" s="654"/>
      <c r="I71" s="654"/>
      <c r="J71" s="654"/>
      <c r="K71" s="654"/>
      <c r="L71" s="654"/>
      <c r="M71" s="484"/>
      <c r="N71" s="484"/>
      <c r="O71" s="453"/>
      <c r="P71" s="453"/>
      <c r="Q71" s="453"/>
      <c r="R71" s="466"/>
      <c r="T71" s="430"/>
      <c r="U71" s="430"/>
      <c r="V71" s="430"/>
      <c r="W71" s="430"/>
      <c r="X71" s="430"/>
      <c r="Y71" s="430"/>
      <c r="Z71" s="430"/>
      <c r="AA71" s="430"/>
      <c r="AB71" s="430"/>
      <c r="AC71" s="430"/>
      <c r="AD71" s="430"/>
      <c r="AE71" s="430"/>
      <c r="AF71" s="430"/>
      <c r="AG71" s="430"/>
      <c r="AH71" s="430"/>
      <c r="AI71" s="430"/>
      <c r="AJ71" s="430"/>
      <c r="AK71" s="430"/>
      <c r="AL71" s="430"/>
      <c r="AM71" s="430"/>
      <c r="AN71" s="430"/>
      <c r="AO71" s="430"/>
      <c r="AP71" s="430"/>
      <c r="AQ71" s="430"/>
      <c r="AR71" s="430"/>
      <c r="AS71" s="430"/>
      <c r="AT71" s="430"/>
      <c r="AU71" s="430"/>
      <c r="AV71" s="430"/>
      <c r="AW71" s="430"/>
    </row>
    <row r="72" spans="2:49" s="349" customFormat="1" ht="65.1" customHeight="1">
      <c r="B72" s="419"/>
      <c r="C72" s="460"/>
      <c r="D72" s="505" t="s">
        <v>1124</v>
      </c>
      <c r="E72" s="660">
        <f>SUM($E$3:$H$3)</f>
        <v>0</v>
      </c>
      <c r="F72" s="660">
        <f>SUM($E$3:$H$3)</f>
        <v>0</v>
      </c>
      <c r="G72" s="655"/>
      <c r="H72" s="655"/>
      <c r="I72" s="655"/>
      <c r="J72" s="655"/>
      <c r="K72" s="655"/>
      <c r="L72" s="655"/>
      <c r="M72" s="504"/>
      <c r="N72" s="504"/>
      <c r="O72" s="453"/>
      <c r="P72" s="453"/>
      <c r="Q72" s="453"/>
      <c r="R72" s="466"/>
      <c r="T72" s="430"/>
      <c r="U72" s="430"/>
      <c r="V72" s="430"/>
      <c r="W72" s="430"/>
      <c r="X72" s="430"/>
      <c r="Y72" s="430"/>
      <c r="Z72" s="430"/>
      <c r="AA72" s="430"/>
      <c r="AB72" s="430"/>
      <c r="AC72" s="430"/>
      <c r="AD72" s="430"/>
      <c r="AE72" s="430"/>
      <c r="AF72" s="430"/>
      <c r="AG72" s="430"/>
      <c r="AH72" s="430"/>
      <c r="AI72" s="430"/>
      <c r="AJ72" s="430"/>
      <c r="AK72" s="430"/>
      <c r="AL72" s="430"/>
      <c r="AM72" s="430"/>
      <c r="AN72" s="430"/>
      <c r="AO72" s="430"/>
      <c r="AP72" s="430"/>
      <c r="AQ72" s="430"/>
      <c r="AR72" s="430"/>
      <c r="AS72" s="430"/>
      <c r="AT72" s="430"/>
      <c r="AU72" s="430"/>
      <c r="AV72" s="430"/>
      <c r="AW72" s="430"/>
    </row>
    <row r="73" spans="2:49" s="349" customFormat="1" ht="21.95" customHeight="1" thickBot="1">
      <c r="B73" s="419"/>
      <c r="C73" s="460"/>
      <c r="D73" s="658" t="s">
        <v>764</v>
      </c>
      <c r="E73" s="661">
        <f>IF($E$72=0,0,$E$71/$E$72)</f>
        <v>0</v>
      </c>
      <c r="F73" s="661">
        <f>IF($F$72=0,0,$F$71/$F$72)</f>
        <v>0</v>
      </c>
      <c r="G73" s="654"/>
      <c r="H73" s="654"/>
      <c r="I73" s="654"/>
      <c r="J73" s="654"/>
      <c r="K73" s="654"/>
      <c r="L73" s="654"/>
      <c r="M73" s="484"/>
      <c r="N73" s="484"/>
      <c r="O73" s="453"/>
      <c r="P73" s="453"/>
      <c r="Q73" s="453"/>
      <c r="R73" s="466"/>
      <c r="T73" s="430"/>
      <c r="U73" s="430"/>
      <c r="V73" s="430"/>
      <c r="W73" s="430"/>
      <c r="X73" s="430"/>
      <c r="Y73" s="430"/>
      <c r="Z73" s="430"/>
      <c r="AA73" s="430"/>
      <c r="AB73" s="430"/>
      <c r="AC73" s="430"/>
      <c r="AD73" s="430"/>
      <c r="AE73" s="430"/>
      <c r="AF73" s="430"/>
      <c r="AG73" s="430"/>
      <c r="AH73" s="430"/>
      <c r="AI73" s="430"/>
      <c r="AJ73" s="430"/>
      <c r="AK73" s="430"/>
      <c r="AL73" s="430"/>
      <c r="AM73" s="430"/>
      <c r="AN73" s="430"/>
      <c r="AO73" s="430"/>
      <c r="AP73" s="430"/>
      <c r="AQ73" s="430"/>
      <c r="AR73" s="430"/>
      <c r="AS73" s="430"/>
      <c r="AT73" s="430"/>
      <c r="AU73" s="430"/>
      <c r="AV73" s="430"/>
      <c r="AW73" s="430"/>
    </row>
    <row r="74" spans="2:49" s="349" customFormat="1" ht="21.95" customHeight="1">
      <c r="B74" s="419"/>
      <c r="C74" s="460"/>
      <c r="D74" s="485"/>
      <c r="E74" s="484"/>
      <c r="F74" s="484"/>
      <c r="G74" s="484"/>
      <c r="H74" s="484"/>
      <c r="I74" s="484"/>
      <c r="J74" s="484"/>
      <c r="K74" s="484"/>
      <c r="L74" s="484"/>
      <c r="M74" s="484"/>
      <c r="N74" s="484"/>
      <c r="O74" s="453"/>
      <c r="P74" s="453"/>
      <c r="Q74" s="453"/>
      <c r="R74" s="466"/>
      <c r="T74" s="430"/>
      <c r="U74" s="430"/>
      <c r="V74" s="430"/>
      <c r="W74" s="430"/>
      <c r="X74" s="430"/>
      <c r="Y74" s="430"/>
      <c r="Z74" s="430"/>
      <c r="AA74" s="430"/>
      <c r="AB74" s="430"/>
      <c r="AC74" s="430"/>
      <c r="AD74" s="430"/>
      <c r="AE74" s="430"/>
      <c r="AF74" s="430"/>
      <c r="AG74" s="430"/>
      <c r="AH74" s="430"/>
      <c r="AI74" s="430"/>
      <c r="AJ74" s="430"/>
      <c r="AK74" s="430"/>
      <c r="AL74" s="430"/>
      <c r="AM74" s="430"/>
      <c r="AN74" s="430"/>
      <c r="AO74" s="430"/>
      <c r="AP74" s="430"/>
      <c r="AQ74" s="430"/>
      <c r="AR74" s="430"/>
      <c r="AS74" s="430"/>
      <c r="AT74" s="430"/>
      <c r="AU74" s="430"/>
      <c r="AV74" s="430"/>
      <c r="AW74" s="430"/>
    </row>
    <row r="75" spans="2:49" s="349" customFormat="1" ht="32.1" customHeight="1" thickBot="1">
      <c r="B75" s="419"/>
      <c r="C75" s="460"/>
      <c r="D75" s="485"/>
      <c r="E75" s="484"/>
      <c r="F75" s="484"/>
      <c r="G75" s="484"/>
      <c r="H75" s="484"/>
      <c r="I75" s="484"/>
      <c r="J75" s="484"/>
      <c r="K75" s="484"/>
      <c r="L75" s="484"/>
      <c r="M75" s="484"/>
      <c r="N75" s="484"/>
      <c r="O75" s="453"/>
      <c r="P75" s="453"/>
      <c r="Q75" s="453"/>
      <c r="R75" s="466"/>
      <c r="T75" s="430"/>
      <c r="U75" s="430"/>
      <c r="V75" s="430"/>
      <c r="W75" s="430"/>
      <c r="X75" s="430"/>
      <c r="Y75" s="430"/>
      <c r="Z75" s="430"/>
      <c r="AA75" s="430"/>
      <c r="AB75" s="430"/>
      <c r="AC75" s="430"/>
      <c r="AD75" s="430"/>
      <c r="AE75" s="430"/>
      <c r="AF75" s="430"/>
      <c r="AG75" s="430"/>
      <c r="AH75" s="430"/>
      <c r="AI75" s="430"/>
      <c r="AJ75" s="430"/>
      <c r="AK75" s="430"/>
      <c r="AL75" s="430"/>
      <c r="AM75" s="430"/>
      <c r="AN75" s="430"/>
      <c r="AO75" s="430"/>
      <c r="AP75" s="430"/>
      <c r="AQ75" s="430"/>
      <c r="AR75" s="430"/>
      <c r="AS75" s="430"/>
      <c r="AT75" s="430"/>
      <c r="AU75" s="430"/>
      <c r="AV75" s="430"/>
      <c r="AW75" s="430"/>
    </row>
    <row r="76" spans="2:49" s="349" customFormat="1" ht="32.1" customHeight="1">
      <c r="B76" s="419"/>
      <c r="C76" s="460"/>
      <c r="D76" s="486"/>
      <c r="E76" s="487"/>
      <c r="F76" s="487" t="s">
        <v>160</v>
      </c>
      <c r="G76" s="488"/>
      <c r="H76" s="487"/>
      <c r="I76" s="487" t="s">
        <v>739</v>
      </c>
      <c r="J76" s="487"/>
      <c r="K76" s="487"/>
      <c r="L76" s="487" t="s">
        <v>740</v>
      </c>
      <c r="M76" s="488"/>
      <c r="N76" s="488"/>
      <c r="O76" s="157"/>
      <c r="P76" s="590"/>
      <c r="Q76" s="590"/>
      <c r="R76" s="466"/>
      <c r="T76" s="430"/>
      <c r="U76" s="430"/>
      <c r="V76" s="430"/>
      <c r="W76" s="430"/>
      <c r="X76" s="430"/>
      <c r="Y76" s="430"/>
      <c r="Z76" s="430"/>
      <c r="AA76" s="430"/>
      <c r="AB76" s="430"/>
      <c r="AC76" s="430"/>
      <c r="AD76" s="430"/>
      <c r="AE76" s="430"/>
      <c r="AF76" s="430"/>
      <c r="AG76" s="430"/>
      <c r="AH76" s="430"/>
      <c r="AI76" s="430"/>
      <c r="AJ76" s="430"/>
      <c r="AK76" s="430"/>
      <c r="AL76" s="430"/>
      <c r="AM76" s="430"/>
      <c r="AN76" s="430"/>
      <c r="AO76" s="430"/>
      <c r="AP76" s="430"/>
      <c r="AQ76" s="430"/>
      <c r="AR76" s="430"/>
      <c r="AS76" s="430"/>
      <c r="AT76" s="430"/>
      <c r="AU76" s="430"/>
      <c r="AV76" s="430"/>
      <c r="AW76" s="430"/>
    </row>
    <row r="77" spans="2:49" s="349" customFormat="1" ht="32.1" customHeight="1">
      <c r="B77" s="419"/>
      <c r="C77" s="460"/>
      <c r="D77" s="420"/>
      <c r="E77" s="460" t="s">
        <v>777</v>
      </c>
      <c r="F77" s="460" t="s">
        <v>742</v>
      </c>
      <c r="G77" s="460"/>
      <c r="H77" s="460" t="s">
        <v>777</v>
      </c>
      <c r="I77" s="460" t="s">
        <v>742</v>
      </c>
      <c r="J77" s="460"/>
      <c r="K77" s="460" t="s">
        <v>777</v>
      </c>
      <c r="L77" s="460" t="s">
        <v>742</v>
      </c>
      <c r="M77" s="460"/>
      <c r="N77" s="460"/>
      <c r="O77" s="157"/>
      <c r="P77" s="158"/>
      <c r="Q77" s="158"/>
      <c r="R77" s="466"/>
      <c r="T77" s="430"/>
      <c r="U77" s="430"/>
      <c r="V77" s="430"/>
      <c r="W77" s="430"/>
      <c r="X77" s="430"/>
      <c r="Y77" s="430"/>
      <c r="Z77" s="430"/>
      <c r="AA77" s="430"/>
      <c r="AB77" s="430"/>
      <c r="AC77" s="430"/>
      <c r="AD77" s="430"/>
      <c r="AE77" s="430"/>
      <c r="AF77" s="430"/>
      <c r="AG77" s="430"/>
      <c r="AH77" s="430"/>
      <c r="AI77" s="430"/>
      <c r="AJ77" s="430"/>
      <c r="AK77" s="430"/>
      <c r="AL77" s="430"/>
      <c r="AM77" s="430"/>
      <c r="AN77" s="430"/>
      <c r="AO77" s="430"/>
      <c r="AP77" s="430"/>
      <c r="AQ77" s="430"/>
      <c r="AR77" s="430"/>
      <c r="AS77" s="430"/>
      <c r="AT77" s="430"/>
      <c r="AU77" s="430"/>
      <c r="AV77" s="430"/>
      <c r="AW77" s="430"/>
    </row>
    <row r="78" spans="2:49" s="349" customFormat="1" ht="21.95" customHeight="1" thickBot="1">
      <c r="B78" s="419"/>
      <c r="C78" s="460"/>
      <c r="D78" s="510" t="s">
        <v>765</v>
      </c>
      <c r="E78" s="511">
        <f>E68+E73</f>
        <v>0</v>
      </c>
      <c r="F78" s="511">
        <f>F68+F73</f>
        <v>0</v>
      </c>
      <c r="G78" s="511"/>
      <c r="H78" s="511">
        <f>H68+E73</f>
        <v>0</v>
      </c>
      <c r="I78" s="511">
        <f>I68+F73</f>
        <v>0</v>
      </c>
      <c r="J78" s="511"/>
      <c r="K78" s="511">
        <f>K68+E73</f>
        <v>0</v>
      </c>
      <c r="L78" s="511">
        <f>L68+F73</f>
        <v>0</v>
      </c>
      <c r="M78" s="511"/>
      <c r="N78" s="511"/>
      <c r="O78" s="158"/>
      <c r="P78" s="570"/>
      <c r="Q78" s="591"/>
      <c r="R78" s="466"/>
      <c r="T78" s="430"/>
      <c r="U78" s="430"/>
      <c r="V78" s="430"/>
      <c r="W78" s="430"/>
      <c r="X78" s="430"/>
      <c r="Y78" s="430"/>
      <c r="Z78" s="430"/>
      <c r="AA78" s="430"/>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row>
    <row r="79" spans="2:49" s="349" customFormat="1" ht="21.95" customHeight="1" thickBot="1">
      <c r="B79" s="419"/>
      <c r="C79" s="460"/>
      <c r="D79" s="662"/>
      <c r="E79" s="657"/>
      <c r="F79" s="657"/>
      <c r="G79" s="657"/>
      <c r="H79" s="657"/>
      <c r="I79" s="657"/>
      <c r="J79" s="657"/>
      <c r="K79" s="657"/>
      <c r="L79" s="657"/>
      <c r="M79" s="657"/>
      <c r="N79" s="657"/>
      <c r="O79" s="158"/>
      <c r="P79" s="570"/>
      <c r="Q79" s="591"/>
      <c r="R79" s="466"/>
      <c r="T79" s="430"/>
      <c r="U79" s="430"/>
      <c r="V79" s="430"/>
      <c r="W79" s="430"/>
      <c r="X79" s="430"/>
      <c r="Y79" s="430"/>
      <c r="Z79" s="430"/>
      <c r="AA79" s="430"/>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row>
    <row r="80" spans="2:49" s="349" customFormat="1" ht="21.95" customHeight="1">
      <c r="B80" s="419"/>
      <c r="C80" s="460"/>
      <c r="D80" s="485"/>
      <c r="E80" s="497"/>
      <c r="F80" s="667" t="s">
        <v>160</v>
      </c>
      <c r="G80" s="497"/>
      <c r="H80" s="667" t="s">
        <v>739</v>
      </c>
      <c r="I80" s="497"/>
      <c r="J80" s="497" t="s">
        <v>740</v>
      </c>
      <c r="K80" s="497"/>
      <c r="L80" s="497"/>
      <c r="M80" s="497" t="s">
        <v>131</v>
      </c>
      <c r="N80" s="497"/>
      <c r="O80" s="158"/>
      <c r="P80" s="570"/>
      <c r="Q80" s="591"/>
      <c r="R80" s="466"/>
      <c r="T80" s="430"/>
      <c r="U80" s="430"/>
      <c r="V80" s="430"/>
      <c r="W80" s="430"/>
      <c r="X80" s="430"/>
      <c r="Y80" s="430"/>
      <c r="Z80" s="430"/>
      <c r="AA80" s="430"/>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row>
    <row r="81" spans="2:49" s="349" customFormat="1" ht="21.95" customHeight="1">
      <c r="B81" s="419"/>
      <c r="C81" s="460"/>
      <c r="D81" s="663"/>
      <c r="E81" s="664" t="s">
        <v>777</v>
      </c>
      <c r="F81" s="664" t="s">
        <v>742</v>
      </c>
      <c r="G81" s="664" t="s">
        <v>777</v>
      </c>
      <c r="H81" s="664" t="s">
        <v>742</v>
      </c>
      <c r="I81" s="664" t="s">
        <v>777</v>
      </c>
      <c r="J81" s="664"/>
      <c r="K81" s="665" t="s">
        <v>742</v>
      </c>
      <c r="L81" s="664" t="s">
        <v>777</v>
      </c>
      <c r="M81" s="664"/>
      <c r="N81" s="664" t="s">
        <v>742</v>
      </c>
      <c r="O81" s="158"/>
      <c r="P81" s="570"/>
      <c r="Q81" s="591"/>
      <c r="R81" s="466"/>
      <c r="T81" s="430"/>
      <c r="U81" s="430"/>
      <c r="V81" s="430"/>
      <c r="W81" s="430"/>
      <c r="X81" s="430"/>
      <c r="Y81" s="430"/>
      <c r="Z81" s="430"/>
      <c r="AA81" s="430"/>
      <c r="AB81" s="430"/>
      <c r="AC81" s="430"/>
      <c r="AD81" s="430"/>
      <c r="AE81" s="430"/>
      <c r="AF81" s="430"/>
      <c r="AG81" s="430"/>
      <c r="AH81" s="430"/>
      <c r="AI81" s="430"/>
      <c r="AJ81" s="430"/>
      <c r="AK81" s="430"/>
      <c r="AL81" s="430"/>
      <c r="AM81" s="430"/>
      <c r="AN81" s="430"/>
      <c r="AO81" s="430"/>
      <c r="AP81" s="430"/>
      <c r="AQ81" s="430"/>
      <c r="AR81" s="430"/>
      <c r="AS81" s="430"/>
      <c r="AT81" s="430"/>
      <c r="AU81" s="430"/>
      <c r="AV81" s="430"/>
      <c r="AW81" s="430"/>
    </row>
    <row r="82" spans="2:49" s="349" customFormat="1" ht="35.1" customHeight="1" thickBot="1">
      <c r="B82" s="419"/>
      <c r="C82" s="460"/>
      <c r="D82" s="510" t="s">
        <v>1125</v>
      </c>
      <c r="E82" s="882">
        <f>(E$78*$E$3)</f>
        <v>0</v>
      </c>
      <c r="F82" s="511">
        <f>(F$78*$E$3)</f>
        <v>0</v>
      </c>
      <c r="G82" s="511">
        <f>(H$78*$G$3)</f>
        <v>0</v>
      </c>
      <c r="H82" s="511">
        <f>(I$78*$G$3)</f>
        <v>0</v>
      </c>
      <c r="I82" s="511">
        <f>(K$78*$H$3)</f>
        <v>0</v>
      </c>
      <c r="J82" s="511"/>
      <c r="K82" s="666">
        <f>(L$78*$H$3)</f>
        <v>0</v>
      </c>
      <c r="L82" s="511">
        <f>SUM(E82,G82,I82)</f>
        <v>0</v>
      </c>
      <c r="M82" s="511"/>
      <c r="N82" s="511">
        <f>SUM(F82,H82,K82)</f>
        <v>0</v>
      </c>
      <c r="O82" s="158"/>
      <c r="P82" s="570"/>
      <c r="Q82" s="591"/>
      <c r="R82" s="466"/>
      <c r="T82" s="430"/>
      <c r="U82" s="430"/>
      <c r="V82" s="430"/>
      <c r="W82" s="430"/>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row>
    <row r="83" spans="2:49" s="349" customFormat="1" ht="35.1" customHeight="1">
      <c r="B83" s="419"/>
      <c r="C83" s="420"/>
      <c r="P83" s="592"/>
      <c r="Q83" s="592"/>
      <c r="R83" s="466"/>
      <c r="T83" s="430"/>
      <c r="U83" s="430"/>
      <c r="V83" s="430"/>
      <c r="W83" s="430"/>
      <c r="X83" s="430"/>
      <c r="Y83" s="430"/>
      <c r="Z83" s="430"/>
      <c r="AA83" s="430"/>
      <c r="AB83" s="430"/>
      <c r="AC83" s="430"/>
      <c r="AD83" s="430"/>
      <c r="AE83" s="430"/>
      <c r="AF83" s="430"/>
      <c r="AG83" s="430"/>
      <c r="AH83" s="430"/>
      <c r="AI83" s="430"/>
      <c r="AJ83" s="430"/>
      <c r="AK83" s="430"/>
      <c r="AL83" s="430"/>
      <c r="AM83" s="430"/>
      <c r="AN83" s="430"/>
      <c r="AO83" s="430"/>
      <c r="AP83" s="430"/>
      <c r="AQ83" s="430"/>
      <c r="AR83" s="430"/>
      <c r="AS83" s="430"/>
      <c r="AT83" s="430"/>
      <c r="AU83" s="430"/>
      <c r="AV83" s="430"/>
      <c r="AW83" s="430"/>
    </row>
    <row r="84" spans="2:49" s="349" customFormat="1" ht="35.1" customHeight="1">
      <c r="B84" s="419"/>
      <c r="C84" s="420"/>
      <c r="D84" s="668"/>
      <c r="E84" s="653" t="s">
        <v>777</v>
      </c>
      <c r="F84" s="653"/>
      <c r="P84" s="592"/>
      <c r="Q84" s="592"/>
      <c r="R84" s="466"/>
      <c r="T84" s="430"/>
      <c r="U84" s="430"/>
      <c r="V84" s="430"/>
      <c r="W84" s="430"/>
      <c r="X84" s="430"/>
      <c r="Y84" s="430"/>
      <c r="Z84" s="430"/>
      <c r="AA84" s="430"/>
      <c r="AB84" s="430"/>
      <c r="AC84" s="430"/>
      <c r="AD84" s="430"/>
      <c r="AE84" s="430"/>
      <c r="AF84" s="430"/>
      <c r="AG84" s="430"/>
      <c r="AH84" s="430"/>
      <c r="AI84" s="430"/>
      <c r="AJ84" s="430"/>
      <c r="AK84" s="430"/>
      <c r="AL84" s="430"/>
      <c r="AM84" s="430"/>
      <c r="AN84" s="430"/>
      <c r="AO84" s="430"/>
      <c r="AP84" s="430"/>
      <c r="AQ84" s="430"/>
      <c r="AR84" s="430"/>
      <c r="AS84" s="430"/>
      <c r="AT84" s="430"/>
      <c r="AU84" s="430"/>
      <c r="AV84" s="430"/>
      <c r="AW84" s="430"/>
    </row>
    <row r="85" spans="2:49" s="349" customFormat="1" ht="35.1" customHeight="1">
      <c r="B85" s="419"/>
      <c r="C85" s="420"/>
      <c r="D85" s="485" t="s">
        <v>1126</v>
      </c>
      <c r="E85" s="497"/>
      <c r="F85" s="497"/>
      <c r="P85" s="592"/>
      <c r="Q85" s="592"/>
      <c r="R85" s="466"/>
      <c r="T85" s="430"/>
      <c r="U85" s="430"/>
      <c r="V85" s="430"/>
      <c r="W85" s="430"/>
      <c r="X85" s="430"/>
      <c r="Y85" s="430"/>
      <c r="Z85" s="430"/>
      <c r="AA85" s="430"/>
      <c r="AB85" s="430"/>
      <c r="AC85" s="430"/>
      <c r="AD85" s="430"/>
      <c r="AE85" s="430"/>
      <c r="AF85" s="430"/>
      <c r="AG85" s="430"/>
      <c r="AH85" s="430"/>
      <c r="AI85" s="430"/>
      <c r="AJ85" s="430"/>
      <c r="AK85" s="430"/>
      <c r="AL85" s="430"/>
      <c r="AM85" s="430"/>
      <c r="AN85" s="430"/>
      <c r="AO85" s="430"/>
      <c r="AP85" s="430"/>
      <c r="AQ85" s="430"/>
      <c r="AR85" s="430"/>
      <c r="AS85" s="430"/>
      <c r="AT85" s="430"/>
      <c r="AU85" s="430"/>
      <c r="AV85" s="430"/>
      <c r="AW85" s="430"/>
    </row>
    <row r="86" spans="2:49" s="349" customFormat="1" ht="35.1" customHeight="1">
      <c r="B86" s="419"/>
      <c r="C86" s="420"/>
      <c r="D86" s="485" t="s">
        <v>1127</v>
      </c>
      <c r="E86" s="489">
        <f>L82</f>
        <v>0</v>
      </c>
      <c r="F86" s="497"/>
      <c r="P86" s="592"/>
      <c r="Q86" s="592"/>
      <c r="R86" s="466"/>
      <c r="T86" s="430"/>
      <c r="U86" s="430"/>
      <c r="V86" s="430"/>
      <c r="W86" s="430"/>
      <c r="X86" s="430"/>
      <c r="Y86" s="430"/>
      <c r="Z86" s="430"/>
      <c r="AA86" s="430"/>
      <c r="AB86" s="430"/>
      <c r="AC86" s="430"/>
      <c r="AD86" s="430"/>
      <c r="AE86" s="430"/>
      <c r="AF86" s="430"/>
      <c r="AG86" s="430"/>
      <c r="AH86" s="430"/>
      <c r="AI86" s="430"/>
      <c r="AJ86" s="430"/>
      <c r="AK86" s="430"/>
      <c r="AL86" s="430"/>
      <c r="AM86" s="430"/>
      <c r="AN86" s="430"/>
      <c r="AO86" s="430"/>
      <c r="AP86" s="430"/>
      <c r="AQ86" s="430"/>
      <c r="AR86" s="430"/>
      <c r="AS86" s="430"/>
      <c r="AT86" s="430"/>
      <c r="AU86" s="430"/>
      <c r="AV86" s="430"/>
      <c r="AW86" s="430"/>
    </row>
    <row r="87" spans="2:49" s="349" customFormat="1" ht="30.4" customHeight="1">
      <c r="B87" s="419"/>
      <c r="C87" s="420"/>
      <c r="D87" s="485" t="s">
        <v>1128</v>
      </c>
      <c r="E87" s="789">
        <f>IF($E$6="",0,IF('Pre 16 Ready Reckoner'!D15="Primary",INDEX(Proforma_previous_year!$AJ:$AJ,MATCH($E$6,Proforma_previous_year!$A:$A,0)),INDEX(Proforma_previous_year!$AK:$AK,MATCH($E$6,Proforma_previous_year!$A:$A,0))))</f>
        <v>0</v>
      </c>
      <c r="F87" s="489"/>
      <c r="P87" s="592"/>
      <c r="Q87" s="592"/>
      <c r="R87" s="466"/>
      <c r="T87" s="430"/>
      <c r="U87" s="430"/>
      <c r="V87" s="430"/>
      <c r="W87" s="430"/>
      <c r="X87" s="430"/>
      <c r="Y87" s="430"/>
      <c r="Z87" s="430"/>
      <c r="AA87" s="430"/>
      <c r="AB87" s="430"/>
      <c r="AC87" s="430"/>
      <c r="AD87" s="430"/>
      <c r="AE87" s="430"/>
      <c r="AF87" s="430"/>
      <c r="AG87" s="430"/>
      <c r="AH87" s="430"/>
      <c r="AI87" s="430"/>
      <c r="AJ87" s="430"/>
      <c r="AK87" s="430"/>
      <c r="AL87" s="430"/>
      <c r="AM87" s="430"/>
      <c r="AN87" s="430"/>
      <c r="AO87" s="430"/>
      <c r="AP87" s="430"/>
      <c r="AQ87" s="430"/>
      <c r="AR87" s="430"/>
      <c r="AS87" s="430"/>
      <c r="AT87" s="430"/>
      <c r="AU87" s="430"/>
      <c r="AV87" s="430"/>
      <c r="AW87" s="430"/>
    </row>
    <row r="88" spans="2:49" s="349" customFormat="1" ht="30.4" customHeight="1">
      <c r="B88" s="419"/>
      <c r="C88" s="420"/>
      <c r="D88" s="485" t="s">
        <v>1129</v>
      </c>
      <c r="E88" s="789">
        <f>IF($E$5="",0,IF('Pre 16 Ready Reckoner'!D15="Primary",INDEX(Proforma_current_year!$AK:$AK,MATCH(E5,Proforma_current_year!$A:$A,0)),INDEX(Proforma_current_year!$AL:$AL,MATCH(E5,Proforma_current_year!$A:$A,0))))</f>
        <v>0</v>
      </c>
      <c r="F88" s="489"/>
      <c r="P88" s="592"/>
      <c r="Q88" s="592"/>
      <c r="R88" s="466"/>
      <c r="T88" s="430"/>
      <c r="U88" s="430"/>
      <c r="V88" s="430"/>
      <c r="W88" s="430"/>
      <c r="X88" s="430"/>
      <c r="Y88" s="430"/>
      <c r="Z88" s="430"/>
      <c r="AA88" s="430"/>
      <c r="AB88" s="430"/>
      <c r="AC88" s="430"/>
      <c r="AD88" s="430"/>
      <c r="AE88" s="430"/>
      <c r="AF88" s="430"/>
      <c r="AG88" s="430"/>
      <c r="AH88" s="430"/>
      <c r="AI88" s="430"/>
      <c r="AJ88" s="430"/>
      <c r="AK88" s="430"/>
      <c r="AL88" s="430"/>
      <c r="AM88" s="430"/>
      <c r="AN88" s="430"/>
      <c r="AO88" s="430"/>
      <c r="AP88" s="430"/>
      <c r="AQ88" s="430"/>
      <c r="AR88" s="430"/>
      <c r="AS88" s="430"/>
      <c r="AT88" s="430"/>
      <c r="AU88" s="430"/>
      <c r="AV88" s="430"/>
      <c r="AW88" s="430"/>
    </row>
    <row r="89" spans="2:49" s="349" customFormat="1" ht="30.4" customHeight="1" thickBot="1">
      <c r="B89" s="419"/>
      <c r="C89" s="420"/>
      <c r="D89" s="510" t="s">
        <v>1130</v>
      </c>
      <c r="E89" s="669"/>
      <c r="F89" s="511">
        <f>L82+E87-E88</f>
        <v>0</v>
      </c>
      <c r="P89" s="592"/>
      <c r="Q89" s="592"/>
      <c r="R89" s="466"/>
      <c r="T89" s="430"/>
      <c r="U89" s="430"/>
      <c r="V89" s="430"/>
      <c r="W89" s="430"/>
      <c r="X89" s="430"/>
      <c r="Y89" s="430"/>
      <c r="Z89" s="430"/>
      <c r="AA89" s="430"/>
      <c r="AB89" s="430"/>
      <c r="AC89" s="430"/>
      <c r="AD89" s="430"/>
      <c r="AE89" s="430"/>
      <c r="AF89" s="430"/>
      <c r="AG89" s="430"/>
      <c r="AH89" s="430"/>
      <c r="AI89" s="430"/>
      <c r="AJ89" s="430"/>
      <c r="AK89" s="430"/>
      <c r="AL89" s="430"/>
      <c r="AM89" s="430"/>
      <c r="AN89" s="430"/>
      <c r="AO89" s="430"/>
      <c r="AP89" s="430"/>
      <c r="AQ89" s="430"/>
      <c r="AR89" s="430"/>
      <c r="AS89" s="430"/>
      <c r="AT89" s="430"/>
      <c r="AU89" s="430"/>
      <c r="AV89" s="430"/>
      <c r="AW89" s="430"/>
    </row>
    <row r="90" spans="2:49" s="349" customFormat="1" ht="30.4" customHeight="1" thickBot="1">
      <c r="B90" s="419"/>
      <c r="C90" s="420"/>
      <c r="R90" s="466"/>
      <c r="T90" s="430"/>
      <c r="U90" s="430"/>
      <c r="V90" s="430"/>
      <c r="W90" s="430"/>
      <c r="X90" s="430"/>
      <c r="Y90" s="430"/>
      <c r="Z90" s="430"/>
      <c r="AA90" s="430"/>
      <c r="AB90" s="430"/>
      <c r="AC90" s="430"/>
      <c r="AD90" s="430"/>
      <c r="AE90" s="430"/>
      <c r="AF90" s="430"/>
      <c r="AG90" s="430"/>
      <c r="AH90" s="430"/>
      <c r="AI90" s="430"/>
      <c r="AJ90" s="430"/>
      <c r="AK90" s="430"/>
      <c r="AL90" s="430"/>
      <c r="AM90" s="430"/>
      <c r="AN90" s="430"/>
      <c r="AO90" s="430"/>
      <c r="AP90" s="430"/>
      <c r="AQ90" s="430"/>
      <c r="AR90" s="430"/>
      <c r="AS90" s="430"/>
      <c r="AT90" s="430"/>
      <c r="AU90" s="430"/>
      <c r="AV90" s="430"/>
      <c r="AW90" s="430"/>
    </row>
    <row r="91" spans="2:49" s="349" customFormat="1" ht="30.4" customHeight="1">
      <c r="B91" s="419"/>
      <c r="C91" s="420"/>
      <c r="D91" s="512" t="s">
        <v>741</v>
      </c>
      <c r="E91" s="515" t="s">
        <v>131</v>
      </c>
      <c r="F91" s="486"/>
      <c r="G91" s="670"/>
      <c r="H91" s="670"/>
      <c r="R91" s="466"/>
      <c r="T91" s="430"/>
      <c r="U91" s="430"/>
      <c r="V91" s="430"/>
      <c r="W91" s="430"/>
      <c r="X91" s="430"/>
      <c r="Y91" s="430"/>
      <c r="Z91" s="430"/>
      <c r="AA91" s="430"/>
      <c r="AB91" s="430"/>
      <c r="AC91" s="430"/>
      <c r="AD91" s="430"/>
      <c r="AE91" s="430"/>
      <c r="AF91" s="430"/>
      <c r="AG91" s="430"/>
      <c r="AH91" s="430"/>
      <c r="AI91" s="430"/>
      <c r="AJ91" s="430"/>
      <c r="AK91" s="430"/>
      <c r="AL91" s="430"/>
      <c r="AM91" s="430"/>
      <c r="AN91" s="430"/>
      <c r="AO91" s="430"/>
      <c r="AP91" s="430"/>
      <c r="AQ91" s="430"/>
      <c r="AR91" s="430"/>
      <c r="AS91" s="430"/>
      <c r="AT91" s="430"/>
      <c r="AU91" s="430"/>
      <c r="AV91" s="430"/>
      <c r="AW91" s="430"/>
    </row>
    <row r="92" spans="2:49" s="349" customFormat="1" ht="30.4" customHeight="1">
      <c r="B92" s="419"/>
      <c r="C92" s="460"/>
      <c r="D92" s="483" t="s">
        <v>781</v>
      </c>
      <c r="E92" s="489">
        <f>IFERROR(N$82/SUM($E$3,$G$3,$H$3),0)</f>
        <v>0</v>
      </c>
      <c r="G92" s="489"/>
      <c r="H92" s="489"/>
      <c r="R92" s="466"/>
      <c r="T92" s="430"/>
      <c r="U92" s="430"/>
      <c r="V92" s="430"/>
      <c r="W92" s="430"/>
      <c r="X92" s="430"/>
      <c r="Y92" s="430"/>
      <c r="Z92" s="430"/>
      <c r="AA92" s="430"/>
      <c r="AB92" s="430"/>
      <c r="AC92" s="430"/>
      <c r="AD92" s="430"/>
      <c r="AE92" s="430"/>
      <c r="AF92" s="430"/>
      <c r="AG92" s="430"/>
      <c r="AH92" s="430"/>
      <c r="AI92" s="430"/>
      <c r="AJ92" s="430"/>
      <c r="AK92" s="430"/>
      <c r="AL92" s="430"/>
      <c r="AM92" s="430"/>
      <c r="AN92" s="430"/>
      <c r="AO92" s="430"/>
      <c r="AP92" s="430"/>
      <c r="AQ92" s="430"/>
      <c r="AR92" s="430"/>
      <c r="AS92" s="430"/>
      <c r="AT92" s="430"/>
      <c r="AU92" s="430"/>
      <c r="AV92" s="430"/>
      <c r="AW92" s="430"/>
    </row>
    <row r="93" spans="2:49" s="349" customFormat="1" ht="30.4" customHeight="1">
      <c r="B93" s="419"/>
      <c r="C93" s="460"/>
      <c r="D93" s="483" t="s">
        <v>782</v>
      </c>
      <c r="E93" s="489">
        <f>IFERROR(F89/SUM($E$3,$G$3,$H$3),0)</f>
        <v>0</v>
      </c>
      <c r="G93" s="489"/>
      <c r="H93" s="489"/>
      <c r="R93" s="466"/>
      <c r="T93" s="430"/>
      <c r="U93" s="430"/>
      <c r="V93" s="430"/>
      <c r="W93" s="430"/>
      <c r="X93" s="430"/>
      <c r="Y93" s="430"/>
      <c r="Z93" s="430"/>
      <c r="AA93" s="430"/>
      <c r="AB93" s="430"/>
      <c r="AC93" s="430"/>
      <c r="AD93" s="430"/>
      <c r="AE93" s="430"/>
      <c r="AF93" s="430"/>
      <c r="AG93" s="430"/>
      <c r="AH93" s="430"/>
      <c r="AI93" s="430"/>
      <c r="AJ93" s="430"/>
      <c r="AK93" s="430"/>
      <c r="AL93" s="430"/>
      <c r="AM93" s="430"/>
      <c r="AN93" s="430"/>
      <c r="AO93" s="430"/>
      <c r="AP93" s="430"/>
      <c r="AQ93" s="430"/>
      <c r="AR93" s="430"/>
      <c r="AS93" s="430"/>
      <c r="AT93" s="430"/>
      <c r="AU93" s="430"/>
      <c r="AV93" s="430"/>
      <c r="AW93" s="430"/>
    </row>
    <row r="94" spans="2:49" s="349" customFormat="1" ht="21.95" customHeight="1" thickBot="1">
      <c r="B94" s="419"/>
      <c r="C94" s="460"/>
      <c r="D94" s="514" t="s">
        <v>766</v>
      </c>
      <c r="E94" s="516">
        <f>IF(ISERROR(($E$92-$E$93)/$E$93),0,($E$92-$E$93)/$E$93)</f>
        <v>0</v>
      </c>
      <c r="F94" s="473"/>
      <c r="G94" s="490"/>
      <c r="H94" s="490"/>
      <c r="I94" s="467"/>
      <c r="J94" s="467"/>
      <c r="R94" s="466"/>
      <c r="T94" s="430"/>
      <c r="U94" s="430"/>
      <c r="V94" s="430"/>
      <c r="W94" s="430"/>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30"/>
      <c r="AT94" s="430"/>
      <c r="AU94" s="430"/>
      <c r="AV94" s="430"/>
      <c r="AW94" s="430"/>
    </row>
    <row r="95" spans="2:49" s="349" customFormat="1" ht="21.95" customHeight="1">
      <c r="B95" s="419"/>
      <c r="C95" s="420"/>
      <c r="R95" s="466"/>
      <c r="T95" s="430"/>
      <c r="U95" s="430"/>
      <c r="V95" s="430"/>
      <c r="W95" s="430"/>
      <c r="X95" s="430"/>
      <c r="Y95" s="430"/>
      <c r="Z95" s="430"/>
      <c r="AA95" s="430"/>
      <c r="AB95" s="430"/>
      <c r="AC95" s="430"/>
      <c r="AD95" s="430"/>
      <c r="AE95" s="430"/>
      <c r="AF95" s="430"/>
      <c r="AG95" s="430"/>
      <c r="AH95" s="430"/>
      <c r="AI95" s="430"/>
      <c r="AJ95" s="430"/>
      <c r="AK95" s="430"/>
      <c r="AL95" s="430"/>
      <c r="AM95" s="430"/>
      <c r="AN95" s="430"/>
      <c r="AO95" s="430"/>
      <c r="AP95" s="430"/>
      <c r="AQ95" s="430"/>
      <c r="AR95" s="430"/>
      <c r="AS95" s="430"/>
      <c r="AT95" s="430"/>
      <c r="AU95" s="430"/>
      <c r="AV95" s="430"/>
      <c r="AW95" s="430"/>
    </row>
    <row r="96" spans="2:49" s="349" customFormat="1" ht="21.95" customHeight="1">
      <c r="B96" s="419"/>
      <c r="C96" s="420"/>
      <c r="R96" s="466"/>
      <c r="T96" s="430"/>
      <c r="U96" s="430"/>
      <c r="V96" s="430"/>
      <c r="W96" s="430"/>
      <c r="X96" s="430"/>
      <c r="Y96" s="430"/>
      <c r="Z96" s="430"/>
      <c r="AA96" s="430"/>
      <c r="AB96" s="430"/>
      <c r="AC96" s="430"/>
      <c r="AD96" s="430"/>
      <c r="AE96" s="430"/>
      <c r="AF96" s="430"/>
      <c r="AG96" s="430"/>
      <c r="AH96" s="430"/>
      <c r="AI96" s="430"/>
      <c r="AJ96" s="430"/>
      <c r="AK96" s="430"/>
      <c r="AL96" s="430"/>
      <c r="AM96" s="430"/>
      <c r="AN96" s="430"/>
      <c r="AO96" s="430"/>
      <c r="AP96" s="430"/>
      <c r="AQ96" s="430"/>
      <c r="AR96" s="430"/>
      <c r="AS96" s="430"/>
      <c r="AT96" s="430"/>
      <c r="AU96" s="430"/>
      <c r="AV96" s="430"/>
      <c r="AW96" s="430"/>
    </row>
    <row r="97" spans="2:49" s="349" customFormat="1" ht="21.95" customHeight="1">
      <c r="B97" s="419"/>
      <c r="C97" s="420"/>
      <c r="D97" s="521" t="s">
        <v>779</v>
      </c>
      <c r="E97" s="1110" t="str">
        <f>IF($E$5="","",INDEX(Proforma_current_year!$AM:$AM, MATCH($E$5, Proforma_current_year!$A:$A,0)))</f>
        <v/>
      </c>
      <c r="F97" s="1111"/>
      <c r="G97" s="1111"/>
      <c r="H97" s="1112"/>
      <c r="R97" s="466"/>
      <c r="T97" s="430"/>
      <c r="U97" s="430"/>
      <c r="V97" s="430"/>
      <c r="W97" s="430"/>
      <c r="X97" s="430"/>
      <c r="Y97" s="430"/>
      <c r="Z97" s="430"/>
      <c r="AA97" s="430"/>
      <c r="AB97" s="430"/>
      <c r="AC97" s="430"/>
      <c r="AD97" s="430"/>
      <c r="AE97" s="430"/>
      <c r="AF97" s="430"/>
      <c r="AG97" s="430"/>
      <c r="AH97" s="430"/>
      <c r="AI97" s="430"/>
      <c r="AJ97" s="430"/>
      <c r="AK97" s="430"/>
      <c r="AL97" s="430"/>
      <c r="AM97" s="430"/>
      <c r="AN97" s="430"/>
      <c r="AO97" s="430"/>
      <c r="AP97" s="430"/>
      <c r="AQ97" s="430"/>
      <c r="AR97" s="430"/>
      <c r="AS97" s="430"/>
      <c r="AT97" s="430"/>
      <c r="AU97" s="430"/>
      <c r="AV97" s="430"/>
      <c r="AW97" s="430"/>
    </row>
    <row r="98" spans="2:49" s="349" customFormat="1" ht="21.95" customHeight="1" thickBot="1">
      <c r="B98" s="419"/>
      <c r="C98" s="420"/>
      <c r="R98" s="466"/>
      <c r="T98" s="430"/>
      <c r="U98" s="430"/>
      <c r="V98" s="430"/>
      <c r="W98" s="430"/>
      <c r="X98" s="430"/>
      <c r="Y98" s="430"/>
      <c r="Z98" s="430"/>
      <c r="AA98" s="430"/>
      <c r="AB98" s="430"/>
      <c r="AC98" s="430"/>
      <c r="AD98" s="430"/>
      <c r="AE98" s="430"/>
      <c r="AF98" s="430"/>
      <c r="AG98" s="430"/>
      <c r="AH98" s="430"/>
      <c r="AI98" s="430"/>
      <c r="AJ98" s="430"/>
      <c r="AK98" s="430"/>
      <c r="AL98" s="430"/>
      <c r="AM98" s="430"/>
      <c r="AN98" s="430"/>
      <c r="AO98" s="430"/>
      <c r="AP98" s="430"/>
      <c r="AQ98" s="430"/>
      <c r="AR98" s="430"/>
      <c r="AS98" s="430"/>
      <c r="AT98" s="430"/>
      <c r="AU98" s="430"/>
      <c r="AV98" s="430"/>
      <c r="AW98" s="430"/>
    </row>
    <row r="99" spans="2:49" s="349" customFormat="1" ht="21.95" customHeight="1">
      <c r="B99" s="419"/>
      <c r="C99" s="420"/>
      <c r="D99" s="512" t="s">
        <v>786</v>
      </c>
      <c r="E99" s="513" t="s">
        <v>131</v>
      </c>
      <c r="F99" s="486"/>
      <c r="G99" s="671"/>
      <c r="H99" s="671"/>
      <c r="K99" s="523" t="s">
        <v>767</v>
      </c>
      <c r="L99" s="500" t="s">
        <v>1121</v>
      </c>
      <c r="M99" s="500"/>
      <c r="N99" s="500"/>
      <c r="O99" s="500" t="s">
        <v>131</v>
      </c>
      <c r="R99" s="466"/>
      <c r="T99" s="430"/>
      <c r="U99" s="430"/>
      <c r="V99" s="430"/>
      <c r="W99" s="430"/>
      <c r="X99" s="430"/>
      <c r="Y99" s="430"/>
      <c r="Z99" s="430"/>
      <c r="AA99" s="430"/>
      <c r="AB99" s="430"/>
      <c r="AC99" s="430"/>
      <c r="AD99" s="430"/>
      <c r="AE99" s="430"/>
      <c r="AF99" s="430"/>
      <c r="AG99" s="430"/>
      <c r="AH99" s="430"/>
      <c r="AI99" s="430"/>
      <c r="AJ99" s="430"/>
      <c r="AK99" s="430"/>
      <c r="AL99" s="430"/>
      <c r="AM99" s="430"/>
      <c r="AN99" s="430"/>
      <c r="AO99" s="430"/>
      <c r="AP99" s="430"/>
      <c r="AQ99" s="430"/>
      <c r="AR99" s="430"/>
      <c r="AS99" s="430"/>
      <c r="AT99" s="430"/>
      <c r="AU99" s="430"/>
      <c r="AV99" s="430"/>
      <c r="AW99" s="430"/>
    </row>
    <row r="100" spans="2:49" s="349" customFormat="1" ht="21.95" customHeight="1">
      <c r="B100" s="419"/>
      <c r="C100" s="460"/>
      <c r="D100" s="349" t="s">
        <v>1195</v>
      </c>
      <c r="E100" s="517">
        <f>SUM($E$3,$G$3:$H$3)</f>
        <v>0</v>
      </c>
      <c r="G100" s="517"/>
      <c r="H100" s="518"/>
      <c r="I100" s="468"/>
      <c r="J100" s="468"/>
      <c r="K100" s="468" t="s">
        <v>768</v>
      </c>
      <c r="L100" s="522" t="str">
        <f>IF($E$5="","",INDEX('LA Averages_current_year'!$D:$D,MATCH($E$5,'LA Averages_current_year'!$A:$A,0)))</f>
        <v/>
      </c>
      <c r="M100" s="522"/>
      <c r="N100" s="468"/>
      <c r="O100" s="468" t="str">
        <f>IF($E$5="","",INDEX('LA Averages_current_year'!$D:$D,MATCH($E$5,'LA Averages_current_year'!$A:$A,0)))</f>
        <v/>
      </c>
      <c r="R100" s="466"/>
      <c r="T100" s="430"/>
      <c r="U100" s="430"/>
      <c r="V100" s="430"/>
      <c r="W100" s="430"/>
      <c r="X100" s="430"/>
      <c r="Y100" s="430"/>
      <c r="Z100" s="430"/>
      <c r="AA100" s="430"/>
      <c r="AB100" s="430"/>
      <c r="AC100" s="430"/>
      <c r="AD100" s="430"/>
      <c r="AE100" s="430"/>
      <c r="AF100" s="430"/>
      <c r="AG100" s="430"/>
      <c r="AH100" s="430"/>
      <c r="AI100" s="430"/>
      <c r="AJ100" s="430"/>
      <c r="AK100" s="430"/>
      <c r="AL100" s="430"/>
      <c r="AM100" s="430"/>
      <c r="AN100" s="430"/>
      <c r="AO100" s="430"/>
      <c r="AP100" s="430"/>
      <c r="AQ100" s="430"/>
      <c r="AR100" s="430"/>
      <c r="AS100" s="430"/>
      <c r="AT100" s="430"/>
      <c r="AU100" s="430"/>
      <c r="AV100" s="430"/>
      <c r="AW100" s="430"/>
    </row>
    <row r="101" spans="2:49" s="349" customFormat="1" ht="39.95" customHeight="1">
      <c r="B101" s="419"/>
      <c r="C101" s="469"/>
      <c r="D101" s="349" t="s">
        <v>783</v>
      </c>
      <c r="E101" s="519">
        <f>$E$94</f>
        <v>0</v>
      </c>
      <c r="G101" s="519"/>
      <c r="H101" s="519"/>
      <c r="K101" s="485" t="s">
        <v>767</v>
      </c>
      <c r="L101" s="795" t="s">
        <v>1121</v>
      </c>
      <c r="M101" s="460"/>
      <c r="N101" s="797"/>
      <c r="O101" s="460" t="s">
        <v>131</v>
      </c>
      <c r="R101" s="466"/>
      <c r="T101" s="430"/>
      <c r="U101" s="430"/>
      <c r="V101" s="430"/>
      <c r="W101" s="430"/>
      <c r="X101" s="430"/>
      <c r="Y101" s="430"/>
      <c r="Z101" s="430"/>
      <c r="AA101" s="430"/>
      <c r="AB101" s="430"/>
      <c r="AC101" s="430"/>
      <c r="AD101" s="430"/>
      <c r="AE101" s="430"/>
      <c r="AF101" s="430"/>
      <c r="AG101" s="430"/>
      <c r="AH101" s="430"/>
      <c r="AI101" s="430"/>
      <c r="AJ101" s="430"/>
      <c r="AK101" s="430"/>
      <c r="AL101" s="430"/>
      <c r="AM101" s="430"/>
      <c r="AN101" s="430"/>
      <c r="AO101" s="430"/>
      <c r="AP101" s="430"/>
      <c r="AQ101" s="430"/>
      <c r="AR101" s="430"/>
      <c r="AS101" s="430"/>
      <c r="AT101" s="430"/>
      <c r="AU101" s="430"/>
      <c r="AV101" s="430"/>
      <c r="AW101" s="430"/>
    </row>
    <row r="102" spans="2:49" s="349" customFormat="1" ht="29.25" customHeight="1" thickBot="1">
      <c r="B102" s="419"/>
      <c r="C102" s="420"/>
      <c r="D102" s="520" t="s">
        <v>780</v>
      </c>
      <c r="E102" s="519">
        <f>IF($E$97="", 0, IF(AND($E$100&gt;0,$E$101&lt;$E$97),($E$97-$E$101),0))</f>
        <v>0</v>
      </c>
      <c r="G102" s="519"/>
      <c r="H102" s="519"/>
      <c r="K102" s="524" t="s">
        <v>769</v>
      </c>
      <c r="L102" s="796" t="str">
        <f>IF($E$6="","",INDEX('LA Averages_previous_year'!$D:$D,MATCH($E$6,'LA Averages_previous_year'!$A:$A,0)))</f>
        <v/>
      </c>
      <c r="M102" s="524"/>
      <c r="N102" s="796"/>
      <c r="O102" s="796" t="str">
        <f>IF($E$6="","",INDEX('LA Averages_previous_year'!$D:$D,MATCH($E$6,'LA Averages_previous_year'!$A:$A,0)))</f>
        <v/>
      </c>
      <c r="P102" s="429"/>
      <c r="R102" s="466"/>
      <c r="T102" s="430"/>
      <c r="U102" s="430"/>
      <c r="V102" s="430"/>
      <c r="W102" s="430"/>
      <c r="X102" s="430"/>
      <c r="Y102" s="430"/>
      <c r="Z102" s="430"/>
      <c r="AA102" s="430"/>
      <c r="AB102" s="430"/>
      <c r="AC102" s="430"/>
      <c r="AD102" s="430"/>
      <c r="AE102" s="430"/>
      <c r="AF102" s="430"/>
      <c r="AG102" s="430"/>
      <c r="AH102" s="430"/>
      <c r="AI102" s="430"/>
      <c r="AJ102" s="430"/>
      <c r="AK102" s="430"/>
      <c r="AL102" s="430"/>
      <c r="AM102" s="430"/>
      <c r="AN102" s="430"/>
      <c r="AO102" s="430"/>
      <c r="AP102" s="430"/>
      <c r="AQ102" s="430"/>
      <c r="AR102" s="430"/>
      <c r="AS102" s="430"/>
      <c r="AT102" s="430"/>
      <c r="AU102" s="430"/>
      <c r="AV102" s="430"/>
      <c r="AW102" s="430"/>
    </row>
    <row r="103" spans="2:49" s="349" customFormat="1" ht="21.95" customHeight="1" thickBot="1">
      <c r="B103" s="419"/>
      <c r="C103" s="420"/>
      <c r="D103" s="349" t="s">
        <v>1196</v>
      </c>
      <c r="E103" s="477">
        <f>$E$93</f>
        <v>0</v>
      </c>
      <c r="G103" s="477"/>
      <c r="H103" s="477"/>
      <c r="I103" s="470"/>
      <c r="J103" s="470"/>
      <c r="K103" s="429"/>
      <c r="L103" s="429"/>
      <c r="M103" s="429"/>
      <c r="N103" s="429"/>
      <c r="O103" s="429"/>
      <c r="P103" s="429"/>
      <c r="R103" s="466"/>
      <c r="T103" s="430"/>
      <c r="U103" s="430"/>
      <c r="V103" s="430"/>
      <c r="W103" s="430"/>
      <c r="X103" s="430"/>
      <c r="Y103" s="430"/>
      <c r="Z103" s="430"/>
      <c r="AA103" s="430"/>
      <c r="AB103" s="430"/>
      <c r="AC103" s="430"/>
      <c r="AD103" s="430"/>
      <c r="AE103" s="430"/>
      <c r="AF103" s="430"/>
      <c r="AG103" s="430"/>
      <c r="AH103" s="430"/>
      <c r="AI103" s="430"/>
      <c r="AJ103" s="430"/>
      <c r="AK103" s="430"/>
      <c r="AL103" s="430"/>
      <c r="AM103" s="430"/>
      <c r="AN103" s="430"/>
      <c r="AO103" s="430"/>
      <c r="AP103" s="430"/>
      <c r="AQ103" s="430"/>
      <c r="AR103" s="430"/>
      <c r="AS103" s="430"/>
      <c r="AT103" s="430"/>
      <c r="AU103" s="430"/>
      <c r="AV103" s="430"/>
      <c r="AW103" s="430"/>
    </row>
    <row r="104" spans="2:235" s="349" customFormat="1" ht="30" customHeight="1" thickBot="1">
      <c r="B104" s="419"/>
      <c r="C104" s="420"/>
      <c r="D104" s="473" t="s">
        <v>1197</v>
      </c>
      <c r="E104" s="475">
        <f>$E$103*$E$102</f>
        <v>0</v>
      </c>
      <c r="F104" s="473"/>
      <c r="G104" s="465"/>
      <c r="H104" s="465"/>
      <c r="K104" s="523" t="s">
        <v>767</v>
      </c>
      <c r="L104" s="526" t="s">
        <v>770</v>
      </c>
      <c r="M104" s="526"/>
      <c r="N104" s="526" t="s">
        <v>771</v>
      </c>
      <c r="O104" s="526"/>
      <c r="P104" s="429"/>
      <c r="R104" s="466"/>
      <c r="T104" s="430"/>
      <c r="U104" s="430"/>
      <c r="V104" s="430"/>
      <c r="W104" s="430"/>
      <c r="X104" s="430"/>
      <c r="Y104" s="430"/>
      <c r="Z104" s="430"/>
      <c r="AA104" s="430"/>
      <c r="AB104" s="430"/>
      <c r="AC104" s="430"/>
      <c r="AD104" s="430"/>
      <c r="AE104" s="430"/>
      <c r="AF104" s="430"/>
      <c r="AG104" s="430"/>
      <c r="AH104" s="430"/>
      <c r="AI104" s="430"/>
      <c r="AJ104" s="430"/>
      <c r="AK104" s="430"/>
      <c r="AL104" s="430"/>
      <c r="AM104" s="430"/>
      <c r="AN104" s="430"/>
      <c r="AO104" s="430"/>
      <c r="AP104" s="430"/>
      <c r="AQ104" s="430"/>
      <c r="AR104" s="430"/>
      <c r="AS104" s="430"/>
      <c r="AT104" s="430"/>
      <c r="AU104" s="430"/>
      <c r="AV104" s="430"/>
      <c r="AW104" s="430"/>
      <c r="AX104" s="429"/>
      <c r="AY104" s="429"/>
      <c r="AZ104" s="429"/>
      <c r="BA104" s="429"/>
      <c r="BB104" s="429"/>
      <c r="BC104" s="429"/>
      <c r="BD104" s="429"/>
      <c r="BE104" s="429"/>
      <c r="BF104" s="429"/>
      <c r="BG104" s="429"/>
      <c r="BH104" s="429"/>
      <c r="BI104" s="429"/>
      <c r="BJ104" s="429"/>
      <c r="BK104" s="429"/>
      <c r="BL104" s="429"/>
      <c r="BM104" s="429"/>
      <c r="BN104" s="429"/>
      <c r="BO104" s="429"/>
      <c r="BP104" s="429"/>
      <c r="BQ104" s="429"/>
      <c r="BR104" s="429"/>
      <c r="BS104" s="429"/>
      <c r="BT104" s="429"/>
      <c r="BU104" s="429"/>
      <c r="BV104" s="429"/>
      <c r="BW104" s="429"/>
      <c r="BX104" s="429"/>
      <c r="BY104" s="429"/>
      <c r="BZ104" s="429"/>
      <c r="CA104" s="429"/>
      <c r="CB104" s="429"/>
      <c r="CC104" s="429"/>
      <c r="CD104" s="429"/>
      <c r="CE104" s="429"/>
      <c r="CF104" s="429"/>
      <c r="CG104" s="429"/>
      <c r="CH104" s="429"/>
      <c r="CI104" s="429"/>
      <c r="CJ104" s="429"/>
      <c r="CK104" s="429"/>
      <c r="CL104" s="429"/>
      <c r="CM104" s="429"/>
      <c r="CN104" s="429"/>
      <c r="CO104" s="429"/>
      <c r="CP104" s="429"/>
      <c r="CQ104" s="429"/>
      <c r="CR104" s="429"/>
      <c r="CS104" s="429"/>
      <c r="CT104" s="429"/>
      <c r="CU104" s="429"/>
      <c r="CV104" s="429"/>
      <c r="CW104" s="429"/>
      <c r="CX104" s="429"/>
      <c r="CY104" s="429"/>
      <c r="CZ104" s="429"/>
      <c r="DA104" s="429"/>
      <c r="DB104" s="429"/>
      <c r="DC104" s="429"/>
      <c r="DD104" s="429"/>
      <c r="DE104" s="429"/>
      <c r="DF104" s="429"/>
      <c r="DG104" s="429"/>
      <c r="DH104" s="429"/>
      <c r="DI104" s="429"/>
      <c r="DJ104" s="429"/>
      <c r="DK104" s="429"/>
      <c r="DL104" s="429"/>
      <c r="DM104" s="429"/>
      <c r="DN104" s="429"/>
      <c r="DO104" s="429"/>
      <c r="DP104" s="429"/>
      <c r="DQ104" s="429"/>
      <c r="DR104" s="429"/>
      <c r="DS104" s="429"/>
      <c r="DT104" s="429"/>
      <c r="DU104" s="429"/>
      <c r="DV104" s="429"/>
      <c r="DW104" s="429"/>
      <c r="DX104" s="429"/>
      <c r="DY104" s="429"/>
      <c r="DZ104" s="429"/>
      <c r="EA104" s="429"/>
      <c r="EB104" s="429"/>
      <c r="EC104" s="429"/>
      <c r="ED104" s="429"/>
      <c r="EE104" s="429"/>
      <c r="EF104" s="429"/>
      <c r="EG104" s="429"/>
      <c r="EH104" s="429"/>
      <c r="EI104" s="429"/>
      <c r="EJ104" s="429"/>
      <c r="EK104" s="429"/>
      <c r="EL104" s="429"/>
      <c r="EM104" s="429"/>
      <c r="EN104" s="429"/>
      <c r="EO104" s="429"/>
      <c r="EP104" s="429"/>
      <c r="EQ104" s="429"/>
      <c r="ER104" s="429"/>
      <c r="ES104" s="429"/>
      <c r="ET104" s="429"/>
      <c r="EU104" s="429"/>
      <c r="EV104" s="429"/>
      <c r="EW104" s="429"/>
      <c r="EX104" s="429"/>
      <c r="EY104" s="429"/>
      <c r="EZ104" s="429"/>
      <c r="FA104" s="429"/>
      <c r="FB104" s="429"/>
      <c r="FC104" s="429"/>
      <c r="FD104" s="429"/>
      <c r="FE104" s="429"/>
      <c r="FF104" s="429"/>
      <c r="FG104" s="429"/>
      <c r="FH104" s="429"/>
      <c r="FI104" s="429"/>
      <c r="FJ104" s="429"/>
      <c r="FK104" s="429"/>
      <c r="FL104" s="429"/>
      <c r="FM104" s="429"/>
      <c r="FN104" s="429"/>
      <c r="FO104" s="429"/>
      <c r="FP104" s="429"/>
      <c r="FQ104" s="429"/>
      <c r="FR104" s="429"/>
      <c r="FS104" s="429"/>
      <c r="FT104" s="429"/>
      <c r="FU104" s="429"/>
      <c r="FV104" s="429"/>
      <c r="FW104" s="429"/>
      <c r="FX104" s="429"/>
      <c r="FY104" s="429"/>
      <c r="FZ104" s="429"/>
      <c r="GA104" s="429"/>
      <c r="GB104" s="429"/>
      <c r="GC104" s="429"/>
      <c r="GD104" s="429"/>
      <c r="GE104" s="429"/>
      <c r="GF104" s="429"/>
      <c r="GG104" s="429"/>
      <c r="GH104" s="429"/>
      <c r="GI104" s="429"/>
      <c r="GJ104" s="429"/>
      <c r="GK104" s="429"/>
      <c r="GL104" s="429"/>
      <c r="GM104" s="429"/>
      <c r="GN104" s="429"/>
      <c r="GO104" s="429"/>
      <c r="GP104" s="429"/>
      <c r="GQ104" s="429"/>
      <c r="GR104" s="429"/>
      <c r="GS104" s="429"/>
      <c r="GT104" s="429"/>
      <c r="GU104" s="429"/>
      <c r="GV104" s="429"/>
      <c r="GW104" s="429"/>
      <c r="GX104" s="429"/>
      <c r="GY104" s="429"/>
      <c r="GZ104" s="429"/>
      <c r="HA104" s="429"/>
      <c r="HB104" s="429"/>
      <c r="HC104" s="429"/>
      <c r="HD104" s="429"/>
      <c r="HE104" s="429"/>
      <c r="HF104" s="429"/>
      <c r="HG104" s="429"/>
      <c r="HH104" s="429"/>
      <c r="HI104" s="429"/>
      <c r="HJ104" s="429"/>
      <c r="HK104" s="429"/>
      <c r="HL104" s="429"/>
      <c r="HM104" s="429"/>
      <c r="HN104" s="429"/>
      <c r="HO104" s="429"/>
      <c r="HP104" s="429"/>
      <c r="HQ104" s="429"/>
      <c r="HR104" s="429"/>
      <c r="HS104" s="429"/>
      <c r="HT104" s="429"/>
      <c r="HU104" s="429"/>
      <c r="HV104" s="429"/>
      <c r="HW104" s="429"/>
      <c r="HX104" s="429"/>
      <c r="HY104" s="429"/>
      <c r="HZ104" s="429"/>
      <c r="IA104" s="429"/>
    </row>
    <row r="105" spans="2:235" s="349" customFormat="1" ht="30" customHeight="1">
      <c r="B105" s="419"/>
      <c r="C105" s="420"/>
      <c r="D105" s="429"/>
      <c r="E105" s="429"/>
      <c r="F105" s="429"/>
      <c r="G105" s="429"/>
      <c r="H105" s="429"/>
      <c r="K105" s="468" t="s">
        <v>768</v>
      </c>
      <c r="L105" s="652" t="str">
        <f>IF($E$5="","",INDEX('LA Averages_current_year'!$F:$F,MATCH($E$5,'LA Averages_current_year'!$A:$A,0)))</f>
        <v/>
      </c>
      <c r="M105" s="522"/>
      <c r="N105" s="522" t="str">
        <f>IF($E$5="","",INDEX('LA Averages_current_year'!$G:$G,MATCH($E$5,'LA Averages_current_year'!$A:$A,0)))</f>
        <v/>
      </c>
      <c r="O105" s="522"/>
      <c r="P105" s="429"/>
      <c r="R105" s="466"/>
      <c r="T105" s="430"/>
      <c r="U105" s="430"/>
      <c r="V105" s="430"/>
      <c r="W105" s="430"/>
      <c r="X105" s="430"/>
      <c r="Y105" s="430"/>
      <c r="Z105" s="430"/>
      <c r="AA105" s="430"/>
      <c r="AB105" s="430"/>
      <c r="AC105" s="430"/>
      <c r="AD105" s="430"/>
      <c r="AE105" s="430"/>
      <c r="AF105" s="430"/>
      <c r="AG105" s="430"/>
      <c r="AH105" s="430"/>
      <c r="AI105" s="430"/>
      <c r="AJ105" s="430"/>
      <c r="AK105" s="430"/>
      <c r="AL105" s="430"/>
      <c r="AM105" s="430"/>
      <c r="AN105" s="430"/>
      <c r="AO105" s="430"/>
      <c r="AP105" s="430"/>
      <c r="AQ105" s="430"/>
      <c r="AR105" s="430"/>
      <c r="AS105" s="430"/>
      <c r="AT105" s="430"/>
      <c r="AU105" s="430"/>
      <c r="AV105" s="430"/>
      <c r="AW105" s="430"/>
      <c r="AX105" s="429"/>
      <c r="AY105" s="429"/>
      <c r="AZ105" s="429"/>
      <c r="BA105" s="429"/>
      <c r="BB105" s="429"/>
      <c r="BC105" s="429"/>
      <c r="BD105" s="429"/>
      <c r="BE105" s="429"/>
      <c r="BF105" s="429"/>
      <c r="BG105" s="429"/>
      <c r="BH105" s="429"/>
      <c r="BI105" s="429"/>
      <c r="BJ105" s="429"/>
      <c r="BK105" s="429"/>
      <c r="BL105" s="429"/>
      <c r="BM105" s="429"/>
      <c r="BN105" s="429"/>
      <c r="BO105" s="429"/>
      <c r="BP105" s="429"/>
      <c r="BQ105" s="429"/>
      <c r="BR105" s="429"/>
      <c r="BS105" s="429"/>
      <c r="BT105" s="429"/>
      <c r="BU105" s="429"/>
      <c r="BV105" s="429"/>
      <c r="BW105" s="429"/>
      <c r="BX105" s="429"/>
      <c r="BY105" s="429"/>
      <c r="BZ105" s="429"/>
      <c r="CA105" s="429"/>
      <c r="CB105" s="429"/>
      <c r="CC105" s="429"/>
      <c r="CD105" s="429"/>
      <c r="CE105" s="429"/>
      <c r="CF105" s="429"/>
      <c r="CG105" s="429"/>
      <c r="CH105" s="429"/>
      <c r="CI105" s="429"/>
      <c r="CJ105" s="429"/>
      <c r="CK105" s="429"/>
      <c r="CL105" s="429"/>
      <c r="CM105" s="429"/>
      <c r="CN105" s="429"/>
      <c r="CO105" s="429"/>
      <c r="CP105" s="429"/>
      <c r="CQ105" s="429"/>
      <c r="CR105" s="429"/>
      <c r="CS105" s="429"/>
      <c r="CT105" s="429"/>
      <c r="CU105" s="429"/>
      <c r="CV105" s="429"/>
      <c r="CW105" s="429"/>
      <c r="CX105" s="429"/>
      <c r="CY105" s="429"/>
      <c r="CZ105" s="429"/>
      <c r="DA105" s="429"/>
      <c r="DB105" s="429"/>
      <c r="DC105" s="429"/>
      <c r="DD105" s="429"/>
      <c r="DE105" s="429"/>
      <c r="DF105" s="429"/>
      <c r="DG105" s="429"/>
      <c r="DH105" s="429"/>
      <c r="DI105" s="429"/>
      <c r="DJ105" s="429"/>
      <c r="DK105" s="429"/>
      <c r="DL105" s="429"/>
      <c r="DM105" s="429"/>
      <c r="DN105" s="429"/>
      <c r="DO105" s="429"/>
      <c r="DP105" s="429"/>
      <c r="DQ105" s="429"/>
      <c r="DR105" s="429"/>
      <c r="DS105" s="429"/>
      <c r="DT105" s="429"/>
      <c r="DU105" s="429"/>
      <c r="DV105" s="429"/>
      <c r="DW105" s="429"/>
      <c r="DX105" s="429"/>
      <c r="DY105" s="429"/>
      <c r="DZ105" s="429"/>
      <c r="EA105" s="429"/>
      <c r="EB105" s="429"/>
      <c r="EC105" s="429"/>
      <c r="ED105" s="429"/>
      <c r="EE105" s="429"/>
      <c r="EF105" s="429"/>
      <c r="EG105" s="429"/>
      <c r="EH105" s="429"/>
      <c r="EI105" s="429"/>
      <c r="EJ105" s="429"/>
      <c r="EK105" s="429"/>
      <c r="EL105" s="429"/>
      <c r="EM105" s="429"/>
      <c r="EN105" s="429"/>
      <c r="EO105" s="429"/>
      <c r="EP105" s="429"/>
      <c r="EQ105" s="429"/>
      <c r="ER105" s="429"/>
      <c r="ES105" s="429"/>
      <c r="ET105" s="429"/>
      <c r="EU105" s="429"/>
      <c r="EV105" s="429"/>
      <c r="EW105" s="429"/>
      <c r="EX105" s="429"/>
      <c r="EY105" s="429"/>
      <c r="EZ105" s="429"/>
      <c r="FA105" s="429"/>
      <c r="FB105" s="429"/>
      <c r="FC105" s="429"/>
      <c r="FD105" s="429"/>
      <c r="FE105" s="429"/>
      <c r="FF105" s="429"/>
      <c r="FG105" s="429"/>
      <c r="FH105" s="429"/>
      <c r="FI105" s="429"/>
      <c r="FJ105" s="429"/>
      <c r="FK105" s="429"/>
      <c r="FL105" s="429"/>
      <c r="FM105" s="429"/>
      <c r="FN105" s="429"/>
      <c r="FO105" s="429"/>
      <c r="FP105" s="429"/>
      <c r="FQ105" s="429"/>
      <c r="FR105" s="429"/>
      <c r="FS105" s="429"/>
      <c r="FT105" s="429"/>
      <c r="FU105" s="429"/>
      <c r="FV105" s="429"/>
      <c r="FW105" s="429"/>
      <c r="FX105" s="429"/>
      <c r="FY105" s="429"/>
      <c r="FZ105" s="429"/>
      <c r="GA105" s="429"/>
      <c r="GB105" s="429"/>
      <c r="GC105" s="429"/>
      <c r="GD105" s="429"/>
      <c r="GE105" s="429"/>
      <c r="GF105" s="429"/>
      <c r="GG105" s="429"/>
      <c r="GH105" s="429"/>
      <c r="GI105" s="429"/>
      <c r="GJ105" s="429"/>
      <c r="GK105" s="429"/>
      <c r="GL105" s="429"/>
      <c r="GM105" s="429"/>
      <c r="GN105" s="429"/>
      <c r="GO105" s="429"/>
      <c r="GP105" s="429"/>
      <c r="GQ105" s="429"/>
      <c r="GR105" s="429"/>
      <c r="GS105" s="429"/>
      <c r="GT105" s="429"/>
      <c r="GU105" s="429"/>
      <c r="GV105" s="429"/>
      <c r="GW105" s="429"/>
      <c r="GX105" s="429"/>
      <c r="GY105" s="429"/>
      <c r="GZ105" s="429"/>
      <c r="HA105" s="429"/>
      <c r="HB105" s="429"/>
      <c r="HC105" s="429"/>
      <c r="HD105" s="429"/>
      <c r="HE105" s="429"/>
      <c r="HF105" s="429"/>
      <c r="HG105" s="429"/>
      <c r="HH105" s="429"/>
      <c r="HI105" s="429"/>
      <c r="HJ105" s="429"/>
      <c r="HK105" s="429"/>
      <c r="HL105" s="429"/>
      <c r="HM105" s="429"/>
      <c r="HN105" s="429"/>
      <c r="HO105" s="429"/>
      <c r="HP105" s="429"/>
      <c r="HQ105" s="429"/>
      <c r="HR105" s="429"/>
      <c r="HS105" s="429"/>
      <c r="HT105" s="429"/>
      <c r="HU105" s="429"/>
      <c r="HV105" s="429"/>
      <c r="HW105" s="429"/>
      <c r="HX105" s="429"/>
      <c r="HY105" s="429"/>
      <c r="HZ105" s="429"/>
      <c r="IA105" s="429"/>
    </row>
    <row r="106" spans="2:49" s="429" customFormat="1" ht="39.95" customHeight="1">
      <c r="B106" s="419"/>
      <c r="C106" s="420"/>
      <c r="D106" s="349"/>
      <c r="E106" s="349"/>
      <c r="F106" s="349"/>
      <c r="G106" s="349"/>
      <c r="H106" s="349"/>
      <c r="I106" s="349"/>
      <c r="J106" s="349"/>
      <c r="K106" s="883"/>
      <c r="L106" s="460" t="s">
        <v>1122</v>
      </c>
      <c r="M106" s="460"/>
      <c r="N106" s="460" t="s">
        <v>1250</v>
      </c>
      <c r="O106" s="460"/>
      <c r="Q106" s="349"/>
      <c r="R106" s="466"/>
      <c r="S106" s="349"/>
      <c r="T106" s="430"/>
      <c r="U106" s="430"/>
      <c r="V106" s="430"/>
      <c r="W106" s="430"/>
      <c r="X106" s="430"/>
      <c r="Y106" s="430"/>
      <c r="Z106" s="430"/>
      <c r="AA106" s="430"/>
      <c r="AB106" s="430"/>
      <c r="AC106" s="430"/>
      <c r="AD106" s="430"/>
      <c r="AE106" s="430"/>
      <c r="AF106" s="430"/>
      <c r="AG106" s="430"/>
      <c r="AH106" s="430"/>
      <c r="AI106" s="430"/>
      <c r="AJ106" s="430"/>
      <c r="AK106" s="430"/>
      <c r="AL106" s="430"/>
      <c r="AM106" s="430"/>
      <c r="AN106" s="430"/>
      <c r="AO106" s="430"/>
      <c r="AP106" s="430"/>
      <c r="AQ106" s="430"/>
      <c r="AR106" s="430"/>
      <c r="AS106" s="430"/>
      <c r="AT106" s="430"/>
      <c r="AU106" s="430"/>
      <c r="AV106" s="430"/>
      <c r="AW106" s="430"/>
    </row>
    <row r="107" spans="2:49" s="429" customFormat="1" ht="30" customHeight="1">
      <c r="B107" s="419"/>
      <c r="C107" s="420"/>
      <c r="D107" s="349"/>
      <c r="E107" s="349"/>
      <c r="F107" s="349"/>
      <c r="G107" s="349"/>
      <c r="H107" s="349"/>
      <c r="I107" s="349"/>
      <c r="J107" s="349"/>
      <c r="K107" s="798"/>
      <c r="L107" s="652" t="str">
        <f>IF($E$5="","",INDEX('LA Averages_current_year'!$H:$H,MATCH($E$5,'LA Averages_current_year'!$A:$A,0)))</f>
        <v/>
      </c>
      <c r="M107" s="652"/>
      <c r="N107" s="884" t="str">
        <f>IF($E$5="","",INDEX('LA Averages_current_year'!$I:$I,MATCH($E$5,'LA Averages_current_year'!$A:$A,0)))</f>
        <v/>
      </c>
      <c r="O107" s="652"/>
      <c r="Q107" s="349"/>
      <c r="R107" s="466"/>
      <c r="S107" s="349"/>
      <c r="T107" s="430"/>
      <c r="U107" s="430"/>
      <c r="V107" s="430"/>
      <c r="W107" s="430"/>
      <c r="X107" s="430"/>
      <c r="Y107" s="430"/>
      <c r="Z107" s="430"/>
      <c r="AA107" s="430"/>
      <c r="AB107" s="430"/>
      <c r="AC107" s="430"/>
      <c r="AD107" s="430"/>
      <c r="AE107" s="430"/>
      <c r="AF107" s="430"/>
      <c r="AG107" s="430"/>
      <c r="AH107" s="430"/>
      <c r="AI107" s="430"/>
      <c r="AJ107" s="430"/>
      <c r="AK107" s="430"/>
      <c r="AL107" s="430"/>
      <c r="AM107" s="430"/>
      <c r="AN107" s="430"/>
      <c r="AO107" s="430"/>
      <c r="AP107" s="430"/>
      <c r="AQ107" s="430"/>
      <c r="AR107" s="430"/>
      <c r="AS107" s="430"/>
      <c r="AT107" s="430"/>
      <c r="AU107" s="430"/>
      <c r="AV107" s="430"/>
      <c r="AW107" s="430"/>
    </row>
    <row r="108" spans="2:49" s="429" customFormat="1" ht="30" customHeight="1">
      <c r="B108" s="419"/>
      <c r="C108" s="420"/>
      <c r="D108" s="349"/>
      <c r="E108" s="349"/>
      <c r="F108" s="349"/>
      <c r="G108" s="349"/>
      <c r="H108" s="349"/>
      <c r="I108" s="349"/>
      <c r="J108" s="349"/>
      <c r="K108" s="468"/>
      <c r="L108" s="885" t="s">
        <v>1251</v>
      </c>
      <c r="M108" s="652"/>
      <c r="N108" s="652"/>
      <c r="O108" s="885" t="s">
        <v>131</v>
      </c>
      <c r="Q108" s="349"/>
      <c r="R108" s="466"/>
      <c r="S108" s="349"/>
      <c r="T108" s="430"/>
      <c r="U108" s="430"/>
      <c r="V108" s="430"/>
      <c r="W108" s="430"/>
      <c r="X108" s="430"/>
      <c r="Y108" s="430"/>
      <c r="Z108" s="430"/>
      <c r="AA108" s="430"/>
      <c r="AB108" s="430"/>
      <c r="AC108" s="430"/>
      <c r="AD108" s="430"/>
      <c r="AE108" s="430"/>
      <c r="AF108" s="430"/>
      <c r="AG108" s="430"/>
      <c r="AH108" s="430"/>
      <c r="AI108" s="430"/>
      <c r="AJ108" s="430"/>
      <c r="AK108" s="430"/>
      <c r="AL108" s="430"/>
      <c r="AM108" s="430"/>
      <c r="AN108" s="430"/>
      <c r="AO108" s="430"/>
      <c r="AP108" s="430"/>
      <c r="AQ108" s="430"/>
      <c r="AR108" s="430"/>
      <c r="AS108" s="430"/>
      <c r="AT108" s="430"/>
      <c r="AU108" s="430"/>
      <c r="AV108" s="430"/>
      <c r="AW108" s="430"/>
    </row>
    <row r="109" spans="2:49" s="429" customFormat="1" ht="30" customHeight="1">
      <c r="B109" s="419"/>
      <c r="C109" s="420"/>
      <c r="D109" s="349"/>
      <c r="E109" s="349"/>
      <c r="F109" s="349"/>
      <c r="G109" s="349"/>
      <c r="H109" s="349"/>
      <c r="I109" s="349"/>
      <c r="J109" s="349"/>
      <c r="K109" s="468"/>
      <c r="L109" s="884" t="str">
        <f>IF($E$5="","",INDEX('LA Averages_current_year'!$J:$J,MATCH($E$5,'LA Averages_current_year'!$A:$A,0)))</f>
        <v/>
      </c>
      <c r="M109" s="652"/>
      <c r="N109" s="652"/>
      <c r="O109" s="884" t="str">
        <f>IF($E$5="","",INDEX('LA Averages_current_year'!$E:$E,MATCH($E$5,'LA Averages_current_year'!$A:$A,0)))</f>
        <v/>
      </c>
      <c r="Q109" s="349"/>
      <c r="R109" s="466"/>
      <c r="S109" s="349"/>
      <c r="T109" s="430"/>
      <c r="U109" s="430"/>
      <c r="V109" s="430"/>
      <c r="W109" s="430"/>
      <c r="X109" s="430"/>
      <c r="Y109" s="430"/>
      <c r="Z109" s="430"/>
      <c r="AA109" s="430"/>
      <c r="AB109" s="430"/>
      <c r="AC109" s="430"/>
      <c r="AD109" s="430"/>
      <c r="AE109" s="430"/>
      <c r="AF109" s="430"/>
      <c r="AG109" s="430"/>
      <c r="AH109" s="430"/>
      <c r="AI109" s="430"/>
      <c r="AJ109" s="430"/>
      <c r="AK109" s="430"/>
      <c r="AL109" s="430"/>
      <c r="AM109" s="430"/>
      <c r="AN109" s="430"/>
      <c r="AO109" s="430"/>
      <c r="AP109" s="430"/>
      <c r="AQ109" s="430"/>
      <c r="AR109" s="430"/>
      <c r="AS109" s="430"/>
      <c r="AT109" s="430"/>
      <c r="AU109" s="430"/>
      <c r="AV109" s="430"/>
      <c r="AW109" s="430"/>
    </row>
    <row r="110" spans="2:49" s="429" customFormat="1" ht="30" customHeight="1">
      <c r="B110" s="419"/>
      <c r="C110" s="420"/>
      <c r="D110" s="349"/>
      <c r="E110" s="349"/>
      <c r="F110" s="349"/>
      <c r="G110" s="349"/>
      <c r="H110" s="349"/>
      <c r="I110" s="349"/>
      <c r="J110" s="349"/>
      <c r="K110" s="485" t="s">
        <v>767</v>
      </c>
      <c r="L110" s="460" t="s">
        <v>770</v>
      </c>
      <c r="M110" s="460"/>
      <c r="N110" s="460" t="s">
        <v>771</v>
      </c>
      <c r="O110" s="460" t="s">
        <v>131</v>
      </c>
      <c r="Q110" s="349"/>
      <c r="R110" s="466"/>
      <c r="S110" s="349"/>
      <c r="T110" s="430"/>
      <c r="U110" s="430"/>
      <c r="V110" s="430"/>
      <c r="W110" s="430"/>
      <c r="X110" s="430"/>
      <c r="Y110" s="430"/>
      <c r="Z110" s="430"/>
      <c r="AA110" s="430"/>
      <c r="AB110" s="430"/>
      <c r="AC110" s="430"/>
      <c r="AD110" s="430"/>
      <c r="AE110" s="430"/>
      <c r="AF110" s="430"/>
      <c r="AG110" s="430"/>
      <c r="AH110" s="430"/>
      <c r="AI110" s="430"/>
      <c r="AJ110" s="430"/>
      <c r="AK110" s="430"/>
      <c r="AL110" s="430"/>
      <c r="AM110" s="430"/>
      <c r="AN110" s="430"/>
      <c r="AO110" s="430"/>
      <c r="AP110" s="430"/>
      <c r="AQ110" s="430"/>
      <c r="AR110" s="430"/>
      <c r="AS110" s="430"/>
      <c r="AT110" s="430"/>
      <c r="AU110" s="430"/>
      <c r="AV110" s="430"/>
      <c r="AW110" s="430"/>
    </row>
    <row r="111" spans="2:49" s="429" customFormat="1" ht="21.95" customHeight="1">
      <c r="B111" s="419"/>
      <c r="C111" s="420"/>
      <c r="D111" s="349"/>
      <c r="E111" s="349"/>
      <c r="F111" s="349"/>
      <c r="G111" s="349"/>
      <c r="H111" s="349"/>
      <c r="I111" s="349"/>
      <c r="J111" s="349"/>
      <c r="K111" s="468" t="s">
        <v>769</v>
      </c>
      <c r="L111" s="798" t="str">
        <f>IF($E$6="","",INDEX('LA Averages_previous_year'!$F:$F,MATCH($E$6,'LA Averages_previous_year'!$A:$A,0)))</f>
        <v/>
      </c>
      <c r="M111" s="468"/>
      <c r="N111" s="798" t="str">
        <f>IF($E$6="","",INDEX('LA Averages_previous_year'!$G:$G,MATCH($E$6,'LA Averages_previous_year'!$A:$A,0)))</f>
        <v/>
      </c>
      <c r="O111" s="468"/>
      <c r="Q111" s="349"/>
      <c r="R111" s="466"/>
      <c r="S111" s="349"/>
      <c r="T111" s="430"/>
      <c r="U111" s="430"/>
      <c r="V111" s="430"/>
      <c r="W111" s="430"/>
      <c r="X111" s="430"/>
      <c r="Y111" s="430"/>
      <c r="Z111" s="430"/>
      <c r="AA111" s="430"/>
      <c r="AB111" s="430"/>
      <c r="AC111" s="430"/>
      <c r="AD111" s="430"/>
      <c r="AE111" s="430"/>
      <c r="AF111" s="430"/>
      <c r="AG111" s="430"/>
      <c r="AH111" s="430"/>
      <c r="AI111" s="430"/>
      <c r="AJ111" s="430"/>
      <c r="AK111" s="430"/>
      <c r="AL111" s="430"/>
      <c r="AM111" s="430"/>
      <c r="AN111" s="430"/>
      <c r="AO111" s="430"/>
      <c r="AP111" s="430"/>
      <c r="AQ111" s="430"/>
      <c r="AR111" s="430"/>
      <c r="AS111" s="430"/>
      <c r="AT111" s="430"/>
      <c r="AU111" s="430"/>
      <c r="AV111" s="430"/>
      <c r="AW111" s="430"/>
    </row>
    <row r="112" spans="2:49" s="429" customFormat="1" ht="25.15" customHeight="1">
      <c r="B112" s="419"/>
      <c r="C112" s="420"/>
      <c r="D112" s="349"/>
      <c r="E112" s="349"/>
      <c r="F112" s="349"/>
      <c r="G112" s="349"/>
      <c r="H112" s="349"/>
      <c r="I112" s="349"/>
      <c r="J112" s="349"/>
      <c r="K112" s="485"/>
      <c r="L112" s="797" t="s">
        <v>1210</v>
      </c>
      <c r="M112" s="460"/>
      <c r="N112" s="797" t="s">
        <v>1123</v>
      </c>
      <c r="O112" s="460"/>
      <c r="Q112" s="349"/>
      <c r="R112" s="466"/>
      <c r="S112" s="349"/>
      <c r="T112" s="430"/>
      <c r="U112" s="430"/>
      <c r="V112" s="430"/>
      <c r="W112" s="430"/>
      <c r="X112" s="430"/>
      <c r="Y112" s="430"/>
      <c r="Z112" s="430"/>
      <c r="AA112" s="430"/>
      <c r="AB112" s="430"/>
      <c r="AC112" s="430"/>
      <c r="AD112" s="430"/>
      <c r="AE112" s="430"/>
      <c r="AF112" s="430"/>
      <c r="AG112" s="430"/>
      <c r="AH112" s="430"/>
      <c r="AI112" s="430"/>
      <c r="AJ112" s="430"/>
      <c r="AK112" s="430"/>
      <c r="AL112" s="430"/>
      <c r="AM112" s="430"/>
      <c r="AN112" s="430"/>
      <c r="AO112" s="430"/>
      <c r="AP112" s="430"/>
      <c r="AQ112" s="430"/>
      <c r="AR112" s="430"/>
      <c r="AS112" s="430"/>
      <c r="AT112" s="430"/>
      <c r="AU112" s="430"/>
      <c r="AV112" s="430"/>
      <c r="AW112" s="430"/>
    </row>
    <row r="113" spans="2:49" s="429" customFormat="1" ht="25.15" customHeight="1" thickBot="1">
      <c r="B113" s="419"/>
      <c r="C113" s="420"/>
      <c r="D113" s="349"/>
      <c r="E113" s="349"/>
      <c r="F113" s="349"/>
      <c r="G113" s="349"/>
      <c r="H113" s="349"/>
      <c r="I113" s="349"/>
      <c r="J113" s="349"/>
      <c r="K113" s="524"/>
      <c r="L113" s="799" t="str">
        <f>IF($E$6="","",INDEX('LA Averages_previous_year'!$H:$H,MATCH($E$6,'LA Averages_previous_year'!$A:$A,0)))</f>
        <v/>
      </c>
      <c r="M113" s="525"/>
      <c r="N113" s="799" t="str">
        <f>IF($E$6="","",INDEX('LA Averages_previous_year'!$I:$I,MATCH($E$6,'LA Averages_previous_year'!$A:$A,0)))</f>
        <v/>
      </c>
      <c r="O113" s="799" t="str">
        <f>IF($E$6="","",INDEX('LA Averages_previous_year'!$E:$E,MATCH($E$6,'LA Averages_previous_year'!$A:$A,0)))</f>
        <v/>
      </c>
      <c r="Q113" s="349"/>
      <c r="R113" s="466"/>
      <c r="S113" s="349"/>
      <c r="T113" s="430"/>
      <c r="U113" s="430"/>
      <c r="V113" s="430"/>
      <c r="W113" s="430"/>
      <c r="X113" s="430"/>
      <c r="Y113" s="430"/>
      <c r="Z113" s="430"/>
      <c r="AA113" s="430"/>
      <c r="AB113" s="430"/>
      <c r="AC113" s="430"/>
      <c r="AD113" s="430"/>
      <c r="AE113" s="430"/>
      <c r="AF113" s="430"/>
      <c r="AG113" s="430"/>
      <c r="AH113" s="430"/>
      <c r="AI113" s="430"/>
      <c r="AJ113" s="430"/>
      <c r="AK113" s="430"/>
      <c r="AL113" s="430"/>
      <c r="AM113" s="430"/>
      <c r="AN113" s="430"/>
      <c r="AO113" s="430"/>
      <c r="AP113" s="430"/>
      <c r="AQ113" s="430"/>
      <c r="AR113" s="430"/>
      <c r="AS113" s="430"/>
      <c r="AT113" s="430"/>
      <c r="AU113" s="430"/>
      <c r="AV113" s="430"/>
      <c r="AW113" s="430"/>
    </row>
    <row r="114" spans="2:49" s="429" customFormat="1" ht="25.15" customHeight="1">
      <c r="B114" s="419"/>
      <c r="C114" s="420"/>
      <c r="D114" s="349"/>
      <c r="E114" s="349"/>
      <c r="F114" s="349"/>
      <c r="G114" s="349"/>
      <c r="H114" s="349"/>
      <c r="I114" s="349"/>
      <c r="J114" s="349"/>
      <c r="K114" s="465"/>
      <c r="L114" s="349"/>
      <c r="M114" s="349"/>
      <c r="N114" s="349"/>
      <c r="O114" s="349"/>
      <c r="P114" s="349"/>
      <c r="Q114" s="349"/>
      <c r="R114" s="466"/>
      <c r="S114" s="349"/>
      <c r="T114" s="430"/>
      <c r="U114" s="430"/>
      <c r="V114" s="430"/>
      <c r="W114" s="430"/>
      <c r="X114" s="430"/>
      <c r="Y114" s="430"/>
      <c r="Z114" s="430"/>
      <c r="AA114" s="430"/>
      <c r="AB114" s="430"/>
      <c r="AC114" s="430"/>
      <c r="AD114" s="430"/>
      <c r="AE114" s="430"/>
      <c r="AF114" s="430"/>
      <c r="AG114" s="430"/>
      <c r="AH114" s="430"/>
      <c r="AI114" s="430"/>
      <c r="AJ114" s="430"/>
      <c r="AK114" s="430"/>
      <c r="AL114" s="430"/>
      <c r="AM114" s="430"/>
      <c r="AN114" s="430"/>
      <c r="AO114" s="430"/>
      <c r="AP114" s="430"/>
      <c r="AQ114" s="430"/>
      <c r="AR114" s="430"/>
      <c r="AS114" s="430"/>
      <c r="AT114" s="430"/>
      <c r="AU114" s="430"/>
      <c r="AV114" s="430"/>
      <c r="AW114" s="430"/>
    </row>
    <row r="115" spans="2:49" s="429" customFormat="1" ht="25.15" customHeight="1">
      <c r="B115" s="419"/>
      <c r="C115" s="420"/>
      <c r="D115" s="503" t="s">
        <v>787</v>
      </c>
      <c r="E115" s="673">
        <f>IF($E$100&gt;0,$E$102*$E$103*$E$100,0)</f>
        <v>0</v>
      </c>
      <c r="F115" s="349"/>
      <c r="G115" s="465"/>
      <c r="H115" s="465"/>
      <c r="J115" s="349" t="s">
        <v>794</v>
      </c>
      <c r="K115" s="465"/>
      <c r="L115" s="349"/>
      <c r="M115" s="349"/>
      <c r="N115" s="349"/>
      <c r="O115" s="349"/>
      <c r="P115" s="349"/>
      <c r="Q115" s="349"/>
      <c r="R115" s="466"/>
      <c r="S115" s="349"/>
      <c r="T115" s="430"/>
      <c r="U115" s="430"/>
      <c r="V115" s="430"/>
      <c r="W115" s="430"/>
      <c r="X115" s="430"/>
      <c r="Y115" s="430"/>
      <c r="Z115" s="430"/>
      <c r="AA115" s="430"/>
      <c r="AB115" s="430"/>
      <c r="AC115" s="430"/>
      <c r="AD115" s="430"/>
      <c r="AE115" s="430"/>
      <c r="AF115" s="430"/>
      <c r="AG115" s="430"/>
      <c r="AH115" s="430"/>
      <c r="AI115" s="430"/>
      <c r="AJ115" s="430"/>
      <c r="AK115" s="430"/>
      <c r="AL115" s="430"/>
      <c r="AM115" s="430"/>
      <c r="AN115" s="430"/>
      <c r="AO115" s="430"/>
      <c r="AP115" s="430"/>
      <c r="AQ115" s="430"/>
      <c r="AR115" s="430"/>
      <c r="AS115" s="430"/>
      <c r="AT115" s="430"/>
      <c r="AU115" s="430"/>
      <c r="AV115" s="430"/>
      <c r="AW115" s="430"/>
    </row>
    <row r="116" spans="2:49" s="429" customFormat="1" ht="25.15" customHeight="1">
      <c r="B116" s="419"/>
      <c r="C116" s="420"/>
      <c r="D116" s="465" t="s">
        <v>776</v>
      </c>
      <c r="E116" s="465"/>
      <c r="F116" s="465"/>
      <c r="G116" s="465"/>
      <c r="H116" s="465"/>
      <c r="I116" s="349"/>
      <c r="J116" s="349"/>
      <c r="K116" s="349"/>
      <c r="L116" s="349"/>
      <c r="M116" s="349"/>
      <c r="N116" s="349"/>
      <c r="O116" s="349"/>
      <c r="P116" s="349"/>
      <c r="Q116" s="349"/>
      <c r="R116" s="466"/>
      <c r="S116" s="349"/>
      <c r="T116" s="430"/>
      <c r="U116" s="430"/>
      <c r="V116" s="430"/>
      <c r="W116" s="430"/>
      <c r="X116" s="430"/>
      <c r="Y116" s="430"/>
      <c r="Z116" s="430"/>
      <c r="AA116" s="430"/>
      <c r="AB116" s="430"/>
      <c r="AC116" s="430"/>
      <c r="AD116" s="430"/>
      <c r="AE116" s="430"/>
      <c r="AF116" s="430"/>
      <c r="AG116" s="430"/>
      <c r="AH116" s="430"/>
      <c r="AI116" s="430"/>
      <c r="AJ116" s="430"/>
      <c r="AK116" s="430"/>
      <c r="AL116" s="430"/>
      <c r="AM116" s="430"/>
      <c r="AN116" s="430"/>
      <c r="AO116" s="430"/>
      <c r="AP116" s="430"/>
      <c r="AQ116" s="430"/>
      <c r="AR116" s="430"/>
      <c r="AS116" s="430"/>
      <c r="AT116" s="430"/>
      <c r="AU116" s="430"/>
      <c r="AV116" s="430"/>
      <c r="AW116" s="430"/>
    </row>
    <row r="117" spans="2:49" s="429" customFormat="1" ht="25.15" customHeight="1">
      <c r="B117" s="419"/>
      <c r="C117" s="420"/>
      <c r="E117" s="672"/>
      <c r="H117" s="349"/>
      <c r="I117" s="349"/>
      <c r="J117" s="349"/>
      <c r="K117" s="465"/>
      <c r="L117" s="349"/>
      <c r="M117" s="349"/>
      <c r="N117" s="349"/>
      <c r="O117" s="349"/>
      <c r="P117" s="349"/>
      <c r="Q117" s="349"/>
      <c r="R117" s="466"/>
      <c r="S117" s="349"/>
      <c r="T117" s="430"/>
      <c r="U117" s="430"/>
      <c r="V117" s="430"/>
      <c r="W117" s="430"/>
      <c r="X117" s="430"/>
      <c r="Y117" s="430"/>
      <c r="Z117" s="430"/>
      <c r="AA117" s="430"/>
      <c r="AB117" s="430"/>
      <c r="AC117" s="430"/>
      <c r="AD117" s="430"/>
      <c r="AE117" s="430"/>
      <c r="AF117" s="430"/>
      <c r="AG117" s="430"/>
      <c r="AH117" s="430"/>
      <c r="AI117" s="430"/>
      <c r="AJ117" s="430"/>
      <c r="AK117" s="430"/>
      <c r="AL117" s="430"/>
      <c r="AM117" s="430"/>
      <c r="AN117" s="430"/>
      <c r="AO117" s="430"/>
      <c r="AP117" s="430"/>
      <c r="AQ117" s="430"/>
      <c r="AR117" s="430"/>
      <c r="AS117" s="430"/>
      <c r="AT117" s="430"/>
      <c r="AU117" s="430"/>
      <c r="AV117" s="430"/>
      <c r="AW117" s="430"/>
    </row>
    <row r="118" spans="2:49" s="429" customFormat="1" ht="30" customHeight="1">
      <c r="B118" s="419"/>
      <c r="C118" s="349"/>
      <c r="D118" s="349"/>
      <c r="E118" s="471"/>
      <c r="F118" s="465"/>
      <c r="G118" s="465"/>
      <c r="H118" s="349"/>
      <c r="I118" s="465"/>
      <c r="J118" s="465"/>
      <c r="K118" s="349"/>
      <c r="L118" s="349"/>
      <c r="M118" s="349"/>
      <c r="N118" s="349"/>
      <c r="O118" s="349"/>
      <c r="P118" s="349"/>
      <c r="Q118" s="349"/>
      <c r="R118" s="466"/>
      <c r="S118" s="349"/>
      <c r="T118" s="430"/>
      <c r="U118" s="430"/>
      <c r="V118" s="430"/>
      <c r="W118" s="430"/>
      <c r="X118" s="430"/>
      <c r="Y118" s="430"/>
      <c r="Z118" s="430"/>
      <c r="AA118" s="430"/>
      <c r="AB118" s="430"/>
      <c r="AC118" s="430"/>
      <c r="AD118" s="430"/>
      <c r="AE118" s="430"/>
      <c r="AF118" s="430"/>
      <c r="AG118" s="430"/>
      <c r="AH118" s="430"/>
      <c r="AI118" s="430"/>
      <c r="AJ118" s="430"/>
      <c r="AK118" s="430"/>
      <c r="AL118" s="430"/>
      <c r="AM118" s="430"/>
      <c r="AN118" s="430"/>
      <c r="AO118" s="430"/>
      <c r="AP118" s="430"/>
      <c r="AQ118" s="430"/>
      <c r="AR118" s="430"/>
      <c r="AS118" s="430"/>
      <c r="AT118" s="430"/>
      <c r="AU118" s="430"/>
      <c r="AV118" s="430"/>
      <c r="AW118" s="430"/>
    </row>
    <row r="119" spans="2:49" s="429" customFormat="1" ht="30" customHeight="1" thickBot="1">
      <c r="B119" s="472"/>
      <c r="C119" s="473"/>
      <c r="D119" s="473"/>
      <c r="E119" s="474"/>
      <c r="F119" s="475"/>
      <c r="G119" s="475"/>
      <c r="H119" s="473"/>
      <c r="I119" s="473"/>
      <c r="J119" s="473"/>
      <c r="K119" s="473"/>
      <c r="L119" s="473"/>
      <c r="M119" s="473"/>
      <c r="N119" s="473"/>
      <c r="O119" s="473"/>
      <c r="P119" s="473"/>
      <c r="Q119" s="473"/>
      <c r="R119" s="476"/>
      <c r="S119" s="349"/>
      <c r="T119" s="430"/>
      <c r="U119" s="430"/>
      <c r="V119" s="430"/>
      <c r="W119" s="430"/>
      <c r="X119" s="430"/>
      <c r="Y119" s="430"/>
      <c r="Z119" s="430"/>
      <c r="AA119" s="430"/>
      <c r="AB119" s="430"/>
      <c r="AC119" s="430"/>
      <c r="AD119" s="430"/>
      <c r="AE119" s="430"/>
      <c r="AF119" s="430"/>
      <c r="AG119" s="430"/>
      <c r="AH119" s="430"/>
      <c r="AI119" s="430"/>
      <c r="AJ119" s="430"/>
      <c r="AK119" s="430"/>
      <c r="AL119" s="430"/>
      <c r="AM119" s="430"/>
      <c r="AN119" s="430"/>
      <c r="AO119" s="430"/>
      <c r="AP119" s="430"/>
      <c r="AQ119" s="430"/>
      <c r="AR119" s="430"/>
      <c r="AS119" s="430"/>
      <c r="AT119" s="430"/>
      <c r="AU119" s="430"/>
      <c r="AV119" s="430"/>
      <c r="AW119" s="430"/>
    </row>
    <row r="120" spans="2:49" s="429" customFormat="1" ht="30" customHeight="1">
      <c r="B120" s="349"/>
      <c r="C120" s="477"/>
      <c r="D120" s="349"/>
      <c r="E120" s="349"/>
      <c r="F120" s="349"/>
      <c r="G120" s="349"/>
      <c r="H120" s="349"/>
      <c r="I120" s="349"/>
      <c r="J120" s="349"/>
      <c r="K120" s="349"/>
      <c r="L120" s="349"/>
      <c r="M120" s="349"/>
      <c r="N120" s="349"/>
      <c r="O120" s="349"/>
      <c r="P120" s="349"/>
      <c r="Q120" s="349"/>
      <c r="R120" s="349"/>
      <c r="S120" s="349"/>
      <c r="T120" s="430"/>
      <c r="U120" s="430"/>
      <c r="V120" s="430"/>
      <c r="W120" s="430"/>
      <c r="X120" s="430"/>
      <c r="Y120" s="430"/>
      <c r="Z120" s="430"/>
      <c r="AA120" s="430"/>
      <c r="AB120" s="430"/>
      <c r="AC120" s="430"/>
      <c r="AD120" s="430"/>
      <c r="AE120" s="430"/>
      <c r="AF120" s="430"/>
      <c r="AG120" s="430"/>
      <c r="AH120" s="430"/>
      <c r="AI120" s="430"/>
      <c r="AJ120" s="430"/>
      <c r="AK120" s="430"/>
      <c r="AL120" s="430"/>
      <c r="AM120" s="430"/>
      <c r="AN120" s="430"/>
      <c r="AO120" s="430"/>
      <c r="AP120" s="430"/>
      <c r="AQ120" s="430"/>
      <c r="AR120" s="430"/>
      <c r="AS120" s="430"/>
      <c r="AT120" s="430"/>
      <c r="AU120" s="430"/>
      <c r="AV120" s="430"/>
      <c r="AW120" s="430"/>
    </row>
    <row r="121" spans="19:49" s="429" customFormat="1" ht="30" customHeight="1">
      <c r="S121" s="349"/>
      <c r="T121" s="430"/>
      <c r="U121" s="430"/>
      <c r="V121" s="430"/>
      <c r="W121" s="430"/>
      <c r="X121" s="430"/>
      <c r="Y121" s="430"/>
      <c r="Z121" s="430"/>
      <c r="AA121" s="430"/>
      <c r="AB121" s="430"/>
      <c r="AC121" s="430"/>
      <c r="AD121" s="430"/>
      <c r="AE121" s="430"/>
      <c r="AF121" s="430"/>
      <c r="AG121" s="430"/>
      <c r="AH121" s="430"/>
      <c r="AI121" s="430"/>
      <c r="AJ121" s="430"/>
      <c r="AK121" s="430"/>
      <c r="AL121" s="430"/>
      <c r="AM121" s="430"/>
      <c r="AN121" s="430"/>
      <c r="AO121" s="430"/>
      <c r="AP121" s="430"/>
      <c r="AQ121" s="430"/>
      <c r="AR121" s="430"/>
      <c r="AS121" s="430"/>
      <c r="AT121" s="430"/>
      <c r="AU121" s="430"/>
      <c r="AV121" s="430"/>
      <c r="AW121" s="430"/>
    </row>
    <row r="122" spans="19:49" s="429" customFormat="1" ht="30" customHeight="1">
      <c r="S122" s="349"/>
      <c r="T122" s="430"/>
      <c r="U122" s="430"/>
      <c r="V122" s="430"/>
      <c r="W122" s="430"/>
      <c r="X122" s="430"/>
      <c r="Y122" s="430"/>
      <c r="Z122" s="430"/>
      <c r="AA122" s="430"/>
      <c r="AB122" s="430"/>
      <c r="AC122" s="430"/>
      <c r="AD122" s="430"/>
      <c r="AE122" s="430"/>
      <c r="AF122" s="430"/>
      <c r="AG122" s="430"/>
      <c r="AH122" s="430"/>
      <c r="AI122" s="430"/>
      <c r="AJ122" s="430"/>
      <c r="AK122" s="430"/>
      <c r="AL122" s="430"/>
      <c r="AM122" s="430"/>
      <c r="AN122" s="430"/>
      <c r="AO122" s="430"/>
      <c r="AP122" s="430"/>
      <c r="AQ122" s="430"/>
      <c r="AR122" s="430"/>
      <c r="AS122" s="430"/>
      <c r="AT122" s="430"/>
      <c r="AU122" s="430"/>
      <c r="AV122" s="430"/>
      <c r="AW122" s="430"/>
    </row>
    <row r="123" spans="4:49" s="429" customFormat="1" ht="30" customHeight="1">
      <c r="D123" s="478"/>
      <c r="S123" s="349"/>
      <c r="T123" s="430"/>
      <c r="U123" s="430"/>
      <c r="V123" s="430"/>
      <c r="W123" s="430"/>
      <c r="X123" s="430"/>
      <c r="Y123" s="430"/>
      <c r="Z123" s="430"/>
      <c r="AA123" s="430"/>
      <c r="AB123" s="430"/>
      <c r="AC123" s="430"/>
      <c r="AD123" s="430"/>
      <c r="AE123" s="430"/>
      <c r="AF123" s="430"/>
      <c r="AG123" s="430"/>
      <c r="AH123" s="430"/>
      <c r="AI123" s="430"/>
      <c r="AJ123" s="430"/>
      <c r="AK123" s="430"/>
      <c r="AL123" s="430"/>
      <c r="AM123" s="430"/>
      <c r="AN123" s="430"/>
      <c r="AO123" s="430"/>
      <c r="AP123" s="430"/>
      <c r="AQ123" s="430"/>
      <c r="AR123" s="430"/>
      <c r="AS123" s="430"/>
      <c r="AT123" s="430"/>
      <c r="AU123" s="430"/>
      <c r="AV123" s="430"/>
      <c r="AW123" s="430"/>
    </row>
    <row r="124" spans="20:49" s="429" customFormat="1" ht="25.5" customHeight="1">
      <c r="T124" s="430"/>
      <c r="U124" s="430"/>
      <c r="V124" s="430"/>
      <c r="W124" s="430"/>
      <c r="X124" s="430"/>
      <c r="Y124" s="430"/>
      <c r="Z124" s="430"/>
      <c r="AA124" s="430"/>
      <c r="AB124" s="430"/>
      <c r="AC124" s="430"/>
      <c r="AD124" s="430"/>
      <c r="AE124" s="430"/>
      <c r="AF124" s="430"/>
      <c r="AG124" s="430"/>
      <c r="AH124" s="430"/>
      <c r="AI124" s="430"/>
      <c r="AJ124" s="430"/>
      <c r="AK124" s="430"/>
      <c r="AL124" s="430"/>
      <c r="AM124" s="430"/>
      <c r="AN124" s="430"/>
      <c r="AO124" s="430"/>
      <c r="AP124" s="430"/>
      <c r="AQ124" s="430"/>
      <c r="AR124" s="430"/>
      <c r="AS124" s="430"/>
      <c r="AT124" s="430"/>
      <c r="AU124" s="430"/>
      <c r="AV124" s="430"/>
      <c r="AW124" s="430"/>
    </row>
    <row r="125" spans="20:49" s="429" customFormat="1" ht="51.75" customHeight="1" hidden="1">
      <c r="T125" s="430"/>
      <c r="U125" s="430"/>
      <c r="V125" s="430"/>
      <c r="W125" s="430"/>
      <c r="X125" s="430"/>
      <c r="Y125" s="430"/>
      <c r="Z125" s="430"/>
      <c r="AA125" s="430"/>
      <c r="AB125" s="430"/>
      <c r="AC125" s="430"/>
      <c r="AD125" s="430"/>
      <c r="AE125" s="430"/>
      <c r="AF125" s="430"/>
      <c r="AG125" s="430"/>
      <c r="AH125" s="430"/>
      <c r="AI125" s="430"/>
      <c r="AJ125" s="430"/>
      <c r="AK125" s="430"/>
      <c r="AL125" s="430"/>
      <c r="AM125" s="430"/>
      <c r="AN125" s="430"/>
      <c r="AO125" s="430"/>
      <c r="AP125" s="430"/>
      <c r="AQ125" s="430"/>
      <c r="AR125" s="430"/>
      <c r="AS125" s="430"/>
      <c r="AT125" s="430"/>
      <c r="AU125" s="430"/>
      <c r="AV125" s="430"/>
      <c r="AW125" s="430"/>
    </row>
    <row r="126" spans="3:49" s="429" customFormat="1" ht="28.15" customHeight="1" hidden="1">
      <c r="C126" s="430"/>
      <c r="D126" s="430"/>
      <c r="E126" s="430"/>
      <c r="F126" s="430"/>
      <c r="G126" s="430"/>
      <c r="H126" s="430"/>
      <c r="T126" s="430"/>
      <c r="U126" s="430"/>
      <c r="V126" s="430"/>
      <c r="W126" s="430"/>
      <c r="X126" s="430"/>
      <c r="Y126" s="430"/>
      <c r="Z126" s="430"/>
      <c r="AA126" s="430"/>
      <c r="AB126" s="430"/>
      <c r="AC126" s="430"/>
      <c r="AD126" s="430"/>
      <c r="AE126" s="430"/>
      <c r="AF126" s="430"/>
      <c r="AG126" s="430"/>
      <c r="AH126" s="430"/>
      <c r="AI126" s="430"/>
      <c r="AJ126" s="430"/>
      <c r="AK126" s="430"/>
      <c r="AL126" s="430"/>
      <c r="AM126" s="430"/>
      <c r="AN126" s="430"/>
      <c r="AO126" s="430"/>
      <c r="AP126" s="430"/>
      <c r="AQ126" s="430"/>
      <c r="AR126" s="430"/>
      <c r="AS126" s="430"/>
      <c r="AT126" s="430"/>
      <c r="AU126" s="430"/>
      <c r="AV126" s="430"/>
      <c r="AW126" s="430"/>
    </row>
    <row r="127" spans="3:49" s="429" customFormat="1" ht="28.15" customHeight="1" hidden="1">
      <c r="C127" s="430"/>
      <c r="D127" s="430"/>
      <c r="E127" s="430"/>
      <c r="F127" s="430"/>
      <c r="G127" s="430"/>
      <c r="H127" s="430"/>
      <c r="T127" s="430"/>
      <c r="U127" s="430"/>
      <c r="V127" s="430"/>
      <c r="W127" s="430"/>
      <c r="X127" s="430"/>
      <c r="Y127" s="430"/>
      <c r="Z127" s="430"/>
      <c r="AA127" s="430"/>
      <c r="AB127" s="430"/>
      <c r="AC127" s="430"/>
      <c r="AD127" s="430"/>
      <c r="AE127" s="430"/>
      <c r="AF127" s="430"/>
      <c r="AG127" s="430"/>
      <c r="AH127" s="430"/>
      <c r="AI127" s="430"/>
      <c r="AJ127" s="430"/>
      <c r="AK127" s="430"/>
      <c r="AL127" s="430"/>
      <c r="AM127" s="430"/>
      <c r="AN127" s="430"/>
      <c r="AO127" s="430"/>
      <c r="AP127" s="430"/>
      <c r="AQ127" s="430"/>
      <c r="AR127" s="430"/>
      <c r="AS127" s="430"/>
      <c r="AT127" s="430"/>
      <c r="AU127" s="430"/>
      <c r="AV127" s="430"/>
      <c r="AW127" s="430"/>
    </row>
    <row r="128" spans="2:49" s="429" customFormat="1" ht="35.25" customHeight="1" hidden="1">
      <c r="B128" s="430"/>
      <c r="C128" s="430"/>
      <c r="D128" s="430"/>
      <c r="E128" s="430"/>
      <c r="F128" s="430"/>
      <c r="G128" s="430"/>
      <c r="H128" s="430"/>
      <c r="I128" s="430"/>
      <c r="J128" s="430"/>
      <c r="K128" s="430"/>
      <c r="L128" s="430"/>
      <c r="M128" s="430"/>
      <c r="N128" s="430"/>
      <c r="O128" s="430"/>
      <c r="P128" s="430"/>
      <c r="Q128" s="430"/>
      <c r="R128" s="430"/>
      <c r="T128" s="430"/>
      <c r="U128" s="430"/>
      <c r="V128" s="430"/>
      <c r="W128" s="430"/>
      <c r="X128" s="430"/>
      <c r="Y128" s="430"/>
      <c r="Z128" s="430"/>
      <c r="AA128" s="430"/>
      <c r="AB128" s="430"/>
      <c r="AC128" s="430"/>
      <c r="AD128" s="430"/>
      <c r="AE128" s="430"/>
      <c r="AF128" s="430"/>
      <c r="AG128" s="430"/>
      <c r="AH128" s="430"/>
      <c r="AI128" s="430"/>
      <c r="AJ128" s="430"/>
      <c r="AK128" s="430"/>
      <c r="AL128" s="430"/>
      <c r="AM128" s="430"/>
      <c r="AN128" s="430"/>
      <c r="AO128" s="430"/>
      <c r="AP128" s="430"/>
      <c r="AQ128" s="430"/>
      <c r="AR128" s="430"/>
      <c r="AS128" s="430"/>
      <c r="AT128" s="430"/>
      <c r="AU128" s="430"/>
      <c r="AV128" s="430"/>
      <c r="AW128" s="430"/>
    </row>
    <row r="129" spans="2:49" s="429" customFormat="1" ht="32.25" customHeight="1" hidden="1">
      <c r="B129" s="430"/>
      <c r="C129" s="430"/>
      <c r="D129" s="430"/>
      <c r="E129" s="430"/>
      <c r="F129" s="430"/>
      <c r="G129" s="430"/>
      <c r="H129" s="430"/>
      <c r="I129" s="430"/>
      <c r="J129" s="430"/>
      <c r="K129" s="430"/>
      <c r="L129" s="430"/>
      <c r="M129" s="430"/>
      <c r="N129" s="430"/>
      <c r="O129" s="430"/>
      <c r="P129" s="430"/>
      <c r="Q129" s="430"/>
      <c r="R129" s="430"/>
      <c r="T129" s="430"/>
      <c r="U129" s="430"/>
      <c r="V129" s="430"/>
      <c r="W129" s="430"/>
      <c r="X129" s="430"/>
      <c r="Y129" s="430"/>
      <c r="Z129" s="430"/>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row>
    <row r="130" spans="2:49" s="429" customFormat="1" hidden="1">
      <c r="B130" s="430"/>
      <c r="C130" s="430"/>
      <c r="D130" s="430"/>
      <c r="E130" s="430"/>
      <c r="F130" s="430"/>
      <c r="G130" s="430"/>
      <c r="H130" s="430"/>
      <c r="I130" s="430"/>
      <c r="J130" s="430"/>
      <c r="K130" s="430"/>
      <c r="L130" s="430"/>
      <c r="M130" s="430"/>
      <c r="N130" s="430"/>
      <c r="O130" s="430"/>
      <c r="P130" s="430"/>
      <c r="Q130" s="430"/>
      <c r="R130" s="430"/>
      <c r="T130" s="430"/>
      <c r="U130" s="430"/>
      <c r="V130" s="430"/>
      <c r="W130" s="430"/>
      <c r="X130" s="430"/>
      <c r="Y130" s="430"/>
      <c r="Z130" s="430"/>
      <c r="AA130" s="430"/>
      <c r="AB130" s="430"/>
      <c r="AC130" s="430"/>
      <c r="AD130" s="430"/>
      <c r="AE130" s="430"/>
      <c r="AF130" s="430"/>
      <c r="AG130" s="430"/>
      <c r="AH130" s="430"/>
      <c r="AI130" s="430"/>
      <c r="AJ130" s="430"/>
      <c r="AK130" s="430"/>
      <c r="AL130" s="430"/>
      <c r="AM130" s="430"/>
      <c r="AN130" s="430"/>
      <c r="AO130" s="430"/>
      <c r="AP130" s="430"/>
      <c r="AQ130" s="430"/>
      <c r="AR130" s="430"/>
      <c r="AS130" s="430"/>
      <c r="AT130" s="430"/>
      <c r="AU130" s="430"/>
      <c r="AV130" s="430"/>
      <c r="AW130" s="430"/>
    </row>
    <row r="131" spans="2:49" s="429" customFormat="1" ht="28.15" customHeight="1" hidden="1">
      <c r="B131" s="430"/>
      <c r="C131" s="479"/>
      <c r="D131" s="430"/>
      <c r="E131" s="430"/>
      <c r="F131" s="430"/>
      <c r="G131" s="430"/>
      <c r="H131" s="430"/>
      <c r="I131" s="430"/>
      <c r="J131" s="430"/>
      <c r="K131" s="430"/>
      <c r="L131" s="430"/>
      <c r="M131" s="430"/>
      <c r="N131" s="430"/>
      <c r="O131" s="430"/>
      <c r="P131" s="430"/>
      <c r="Q131" s="430"/>
      <c r="R131" s="430"/>
      <c r="T131" s="430"/>
      <c r="U131" s="430"/>
      <c r="V131" s="430"/>
      <c r="W131" s="430"/>
      <c r="X131" s="430"/>
      <c r="Y131" s="430"/>
      <c r="Z131" s="430"/>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row>
    <row r="132" spans="2:235" s="429" customFormat="1" hidden="1">
      <c r="B132" s="430"/>
      <c r="C132" s="430"/>
      <c r="D132" s="430"/>
      <c r="E132" s="430"/>
      <c r="F132" s="430"/>
      <c r="G132" s="430"/>
      <c r="H132" s="430"/>
      <c r="I132" s="430"/>
      <c r="J132" s="430"/>
      <c r="K132" s="430"/>
      <c r="L132" s="430"/>
      <c r="M132" s="430"/>
      <c r="N132" s="430"/>
      <c r="O132" s="430"/>
      <c r="P132" s="430"/>
      <c r="Q132" s="430"/>
      <c r="R132" s="430"/>
      <c r="S132" s="430"/>
      <c r="T132" s="430"/>
      <c r="U132" s="430"/>
      <c r="V132" s="430"/>
      <c r="W132" s="430"/>
      <c r="X132" s="430"/>
      <c r="Y132" s="430"/>
      <c r="Z132" s="430"/>
      <c r="AA132" s="430"/>
      <c r="AB132" s="430"/>
      <c r="AC132" s="430"/>
      <c r="AD132" s="430"/>
      <c r="AE132" s="430"/>
      <c r="AF132" s="430"/>
      <c r="AG132" s="430"/>
      <c r="AH132" s="430"/>
      <c r="AI132" s="430"/>
      <c r="AJ132" s="430"/>
      <c r="AK132" s="430"/>
      <c r="AL132" s="430"/>
      <c r="AM132" s="430"/>
      <c r="AN132" s="430"/>
      <c r="AO132" s="430"/>
      <c r="AP132" s="430"/>
      <c r="AQ132" s="430"/>
      <c r="AR132" s="430"/>
      <c r="AS132" s="430"/>
      <c r="AT132" s="430"/>
      <c r="AU132" s="430"/>
      <c r="AV132" s="430"/>
      <c r="AW132" s="430"/>
      <c r="AX132" s="430"/>
      <c r="AY132" s="430"/>
      <c r="AZ132" s="430"/>
      <c r="BA132" s="430"/>
      <c r="BB132" s="430"/>
      <c r="BC132" s="430"/>
      <c r="BD132" s="430"/>
      <c r="BE132" s="430"/>
      <c r="BF132" s="430"/>
      <c r="BG132" s="430"/>
      <c r="BH132" s="430"/>
      <c r="BI132" s="430"/>
      <c r="BJ132" s="430"/>
      <c r="BK132" s="430"/>
      <c r="BL132" s="430"/>
      <c r="BM132" s="430"/>
      <c r="BN132" s="430"/>
      <c r="BO132" s="430"/>
      <c r="BP132" s="430"/>
      <c r="BQ132" s="430"/>
      <c r="BR132" s="430"/>
      <c r="BS132" s="430"/>
      <c r="BT132" s="430"/>
      <c r="BU132" s="430"/>
      <c r="BV132" s="430"/>
      <c r="BW132" s="430"/>
      <c r="BX132" s="430"/>
      <c r="BY132" s="430"/>
      <c r="BZ132" s="430"/>
      <c r="CA132" s="430"/>
      <c r="CB132" s="430"/>
      <c r="CC132" s="430"/>
      <c r="CD132" s="430"/>
      <c r="CE132" s="430"/>
      <c r="CF132" s="430"/>
      <c r="CG132" s="430"/>
      <c r="CH132" s="430"/>
      <c r="CI132" s="430"/>
      <c r="CJ132" s="430"/>
      <c r="CK132" s="430"/>
      <c r="CL132" s="430"/>
      <c r="CM132" s="430"/>
      <c r="CN132" s="430"/>
      <c r="CO132" s="430"/>
      <c r="CP132" s="430"/>
      <c r="CQ132" s="430"/>
      <c r="CR132" s="430"/>
      <c r="CS132" s="430"/>
      <c r="CT132" s="430"/>
      <c r="CU132" s="430"/>
      <c r="CV132" s="430"/>
      <c r="CW132" s="430"/>
      <c r="CX132" s="430"/>
      <c r="CY132" s="430"/>
      <c r="CZ132" s="430"/>
      <c r="DA132" s="430"/>
      <c r="DB132" s="430"/>
      <c r="DC132" s="430"/>
      <c r="DD132" s="430"/>
      <c r="DE132" s="430"/>
      <c r="DF132" s="430"/>
      <c r="DG132" s="430"/>
      <c r="DH132" s="430"/>
      <c r="DI132" s="430"/>
      <c r="DJ132" s="430"/>
      <c r="DK132" s="430"/>
      <c r="DL132" s="430"/>
      <c r="DM132" s="430"/>
      <c r="DN132" s="430"/>
      <c r="DO132" s="430"/>
      <c r="DP132" s="430"/>
      <c r="DQ132" s="430"/>
      <c r="DR132" s="430"/>
      <c r="DS132" s="430"/>
      <c r="DT132" s="430"/>
      <c r="DU132" s="430"/>
      <c r="DV132" s="430"/>
      <c r="DW132" s="430"/>
      <c r="DX132" s="430"/>
      <c r="DY132" s="430"/>
      <c r="DZ132" s="430"/>
      <c r="EA132" s="430"/>
      <c r="EB132" s="430"/>
      <c r="EC132" s="430"/>
      <c r="ED132" s="430"/>
      <c r="EE132" s="430"/>
      <c r="EF132" s="430"/>
      <c r="EG132" s="430"/>
      <c r="EH132" s="430"/>
      <c r="EI132" s="430"/>
      <c r="EJ132" s="430"/>
      <c r="EK132" s="430"/>
      <c r="EL132" s="430"/>
      <c r="EM132" s="430"/>
      <c r="EN132" s="430"/>
      <c r="EO132" s="430"/>
      <c r="EP132" s="430"/>
      <c r="EQ132" s="430"/>
      <c r="ER132" s="430"/>
      <c r="ES132" s="430"/>
      <c r="ET132" s="430"/>
      <c r="EU132" s="430"/>
      <c r="EV132" s="430"/>
      <c r="EW132" s="430"/>
      <c r="EX132" s="430"/>
      <c r="EY132" s="430"/>
      <c r="EZ132" s="430"/>
      <c r="FA132" s="430"/>
      <c r="FB132" s="430"/>
      <c r="FC132" s="430"/>
      <c r="FD132" s="430"/>
      <c r="FE132" s="430"/>
      <c r="FF132" s="430"/>
      <c r="FG132" s="430"/>
      <c r="FH132" s="430"/>
      <c r="FI132" s="430"/>
      <c r="FJ132" s="430"/>
      <c r="FK132" s="430"/>
      <c r="FL132" s="430"/>
      <c r="FM132" s="430"/>
      <c r="FN132" s="430"/>
      <c r="FO132" s="430"/>
      <c r="FP132" s="430"/>
      <c r="FQ132" s="430"/>
      <c r="FR132" s="430"/>
      <c r="FS132" s="430"/>
      <c r="FT132" s="430"/>
      <c r="FU132" s="430"/>
      <c r="FV132" s="430"/>
      <c r="FW132" s="430"/>
      <c r="FX132" s="430"/>
      <c r="FY132" s="430"/>
      <c r="FZ132" s="430"/>
      <c r="GA132" s="430"/>
      <c r="GB132" s="430"/>
      <c r="GC132" s="430"/>
      <c r="GD132" s="430"/>
      <c r="GE132" s="430"/>
      <c r="GF132" s="430"/>
      <c r="GG132" s="430"/>
      <c r="GH132" s="430"/>
      <c r="GI132" s="430"/>
      <c r="GJ132" s="430"/>
      <c r="GK132" s="430"/>
      <c r="GL132" s="430"/>
      <c r="GM132" s="430"/>
      <c r="GN132" s="430"/>
      <c r="GO132" s="430"/>
      <c r="GP132" s="430"/>
      <c r="GQ132" s="430"/>
      <c r="GR132" s="430"/>
      <c r="GS132" s="430"/>
      <c r="GT132" s="430"/>
      <c r="GU132" s="430"/>
      <c r="GV132" s="430"/>
      <c r="GW132" s="430"/>
      <c r="GX132" s="430"/>
      <c r="GY132" s="430"/>
      <c r="GZ132" s="430"/>
      <c r="HA132" s="430"/>
      <c r="HB132" s="430"/>
      <c r="HC132" s="430"/>
      <c r="HD132" s="430"/>
      <c r="HE132" s="430"/>
      <c r="HF132" s="430"/>
      <c r="HG132" s="430"/>
      <c r="HH132" s="430"/>
      <c r="HI132" s="430"/>
      <c r="HJ132" s="430"/>
      <c r="HK132" s="430"/>
      <c r="HL132" s="430"/>
      <c r="HM132" s="430"/>
      <c r="HN132" s="430"/>
      <c r="HO132" s="430"/>
      <c r="HP132" s="430"/>
      <c r="HQ132" s="430"/>
      <c r="HR132" s="430"/>
      <c r="HS132" s="430"/>
      <c r="HT132" s="430"/>
      <c r="HU132" s="430"/>
      <c r="HV132" s="430"/>
      <c r="HW132" s="430"/>
      <c r="HX132" s="430"/>
      <c r="HY132" s="430"/>
      <c r="HZ132" s="430"/>
      <c r="IA132" s="430"/>
    </row>
    <row r="133" spans="2:235" s="429" customFormat="1" hidden="1">
      <c r="B133" s="430"/>
      <c r="C133" s="430"/>
      <c r="D133" s="430"/>
      <c r="E133" s="430"/>
      <c r="F133" s="430"/>
      <c r="G133" s="430"/>
      <c r="H133" s="430"/>
      <c r="I133" s="430"/>
      <c r="J133" s="430"/>
      <c r="K133" s="430"/>
      <c r="L133" s="430"/>
      <c r="M133" s="430"/>
      <c r="N133" s="430"/>
      <c r="O133" s="430"/>
      <c r="P133" s="430"/>
      <c r="Q133" s="430"/>
      <c r="R133" s="430"/>
      <c r="S133" s="430"/>
      <c r="T133" s="430"/>
      <c r="U133" s="430"/>
      <c r="V133" s="430"/>
      <c r="W133" s="430"/>
      <c r="X133" s="430"/>
      <c r="Y133" s="430"/>
      <c r="Z133" s="430"/>
      <c r="AA133" s="430"/>
      <c r="AB133" s="430"/>
      <c r="AC133" s="430"/>
      <c r="AD133" s="430"/>
      <c r="AE133" s="430"/>
      <c r="AF133" s="430"/>
      <c r="AG133" s="430"/>
      <c r="AH133" s="430"/>
      <c r="AI133" s="430"/>
      <c r="AJ133" s="430"/>
      <c r="AK133" s="430"/>
      <c r="AL133" s="430"/>
      <c r="AM133" s="430"/>
      <c r="AN133" s="430"/>
      <c r="AO133" s="430"/>
      <c r="AP133" s="430"/>
      <c r="AQ133" s="430"/>
      <c r="AR133" s="430"/>
      <c r="AS133" s="430"/>
      <c r="AT133" s="430"/>
      <c r="AU133" s="430"/>
      <c r="AV133" s="430"/>
      <c r="AW133" s="430"/>
      <c r="AX133" s="430"/>
      <c r="AY133" s="430"/>
      <c r="AZ133" s="430"/>
      <c r="BA133" s="430"/>
      <c r="BB133" s="430"/>
      <c r="BC133" s="430"/>
      <c r="BD133" s="430"/>
      <c r="BE133" s="430"/>
      <c r="BF133" s="430"/>
      <c r="BG133" s="430"/>
      <c r="BH133" s="430"/>
      <c r="BI133" s="430"/>
      <c r="BJ133" s="430"/>
      <c r="BK133" s="430"/>
      <c r="BL133" s="430"/>
      <c r="BM133" s="430"/>
      <c r="BN133" s="430"/>
      <c r="BO133" s="430"/>
      <c r="BP133" s="430"/>
      <c r="BQ133" s="430"/>
      <c r="BR133" s="430"/>
      <c r="BS133" s="430"/>
      <c r="BT133" s="430"/>
      <c r="BU133" s="430"/>
      <c r="BV133" s="430"/>
      <c r="BW133" s="430"/>
      <c r="BX133" s="430"/>
      <c r="BY133" s="430"/>
      <c r="BZ133" s="430"/>
      <c r="CA133" s="430"/>
      <c r="CB133" s="430"/>
      <c r="CC133" s="430"/>
      <c r="CD133" s="430"/>
      <c r="CE133" s="430"/>
      <c r="CF133" s="430"/>
      <c r="CG133" s="430"/>
      <c r="CH133" s="430"/>
      <c r="CI133" s="430"/>
      <c r="CJ133" s="430"/>
      <c r="CK133" s="430"/>
      <c r="CL133" s="430"/>
      <c r="CM133" s="430"/>
      <c r="CN133" s="430"/>
      <c r="CO133" s="430"/>
      <c r="CP133" s="430"/>
      <c r="CQ133" s="430"/>
      <c r="CR133" s="430"/>
      <c r="CS133" s="430"/>
      <c r="CT133" s="430"/>
      <c r="CU133" s="430"/>
      <c r="CV133" s="430"/>
      <c r="CW133" s="430"/>
      <c r="CX133" s="430"/>
      <c r="CY133" s="430"/>
      <c r="CZ133" s="430"/>
      <c r="DA133" s="430"/>
      <c r="DB133" s="430"/>
      <c r="DC133" s="430"/>
      <c r="DD133" s="430"/>
      <c r="DE133" s="430"/>
      <c r="DF133" s="430"/>
      <c r="DG133" s="430"/>
      <c r="DH133" s="430"/>
      <c r="DI133" s="430"/>
      <c r="DJ133" s="430"/>
      <c r="DK133" s="430"/>
      <c r="DL133" s="430"/>
      <c r="DM133" s="430"/>
      <c r="DN133" s="430"/>
      <c r="DO133" s="430"/>
      <c r="DP133" s="430"/>
      <c r="DQ133" s="430"/>
      <c r="DR133" s="430"/>
      <c r="DS133" s="430"/>
      <c r="DT133" s="430"/>
      <c r="DU133" s="430"/>
      <c r="DV133" s="430"/>
      <c r="DW133" s="430"/>
      <c r="DX133" s="430"/>
      <c r="DY133" s="430"/>
      <c r="DZ133" s="430"/>
      <c r="EA133" s="430"/>
      <c r="EB133" s="430"/>
      <c r="EC133" s="430"/>
      <c r="ED133" s="430"/>
      <c r="EE133" s="430"/>
      <c r="EF133" s="430"/>
      <c r="EG133" s="430"/>
      <c r="EH133" s="430"/>
      <c r="EI133" s="430"/>
      <c r="EJ133" s="430"/>
      <c r="EK133" s="430"/>
      <c r="EL133" s="430"/>
      <c r="EM133" s="430"/>
      <c r="EN133" s="430"/>
      <c r="EO133" s="430"/>
      <c r="EP133" s="430"/>
      <c r="EQ133" s="430"/>
      <c r="ER133" s="430"/>
      <c r="ES133" s="430"/>
      <c r="ET133" s="430"/>
      <c r="EU133" s="430"/>
      <c r="EV133" s="430"/>
      <c r="EW133" s="430"/>
      <c r="EX133" s="430"/>
      <c r="EY133" s="430"/>
      <c r="EZ133" s="430"/>
      <c r="FA133" s="430"/>
      <c r="FB133" s="430"/>
      <c r="FC133" s="430"/>
      <c r="FD133" s="430"/>
      <c r="FE133" s="430"/>
      <c r="FF133" s="430"/>
      <c r="FG133" s="430"/>
      <c r="FH133" s="430"/>
      <c r="FI133" s="430"/>
      <c r="FJ133" s="430"/>
      <c r="FK133" s="430"/>
      <c r="FL133" s="430"/>
      <c r="FM133" s="430"/>
      <c r="FN133" s="430"/>
      <c r="FO133" s="430"/>
      <c r="FP133" s="430"/>
      <c r="FQ133" s="430"/>
      <c r="FR133" s="430"/>
      <c r="FS133" s="430"/>
      <c r="FT133" s="430"/>
      <c r="FU133" s="430"/>
      <c r="FV133" s="430"/>
      <c r="FW133" s="430"/>
      <c r="FX133" s="430"/>
      <c r="FY133" s="430"/>
      <c r="FZ133" s="430"/>
      <c r="GA133" s="430"/>
      <c r="GB133" s="430"/>
      <c r="GC133" s="430"/>
      <c r="GD133" s="430"/>
      <c r="GE133" s="430"/>
      <c r="GF133" s="430"/>
      <c r="GG133" s="430"/>
      <c r="GH133" s="430"/>
      <c r="GI133" s="430"/>
      <c r="GJ133" s="430"/>
      <c r="GK133" s="430"/>
      <c r="GL133" s="430"/>
      <c r="GM133" s="430"/>
      <c r="GN133" s="430"/>
      <c r="GO133" s="430"/>
      <c r="GP133" s="430"/>
      <c r="GQ133" s="430"/>
      <c r="GR133" s="430"/>
      <c r="GS133" s="430"/>
      <c r="GT133" s="430"/>
      <c r="GU133" s="430"/>
      <c r="GV133" s="430"/>
      <c r="GW133" s="430"/>
      <c r="GX133" s="430"/>
      <c r="GY133" s="430"/>
      <c r="GZ133" s="430"/>
      <c r="HA133" s="430"/>
      <c r="HB133" s="430"/>
      <c r="HC133" s="430"/>
      <c r="HD133" s="430"/>
      <c r="HE133" s="430"/>
      <c r="HF133" s="430"/>
      <c r="HG133" s="430"/>
      <c r="HH133" s="430"/>
      <c r="HI133" s="430"/>
      <c r="HJ133" s="430"/>
      <c r="HK133" s="430"/>
      <c r="HL133" s="430"/>
      <c r="HM133" s="430"/>
      <c r="HN133" s="430"/>
      <c r="HO133" s="430"/>
      <c r="HP133" s="430"/>
      <c r="HQ133" s="430"/>
      <c r="HR133" s="430"/>
      <c r="HS133" s="430"/>
      <c r="HT133" s="430"/>
      <c r="HU133" s="430"/>
      <c r="HV133" s="430"/>
      <c r="HW133" s="430"/>
      <c r="HX133" s="430"/>
      <c r="HY133" s="430"/>
      <c r="HZ133" s="430"/>
      <c r="IA133" s="430"/>
    </row>
    <row r="134" spans="2:2" ht="10.15" customHeight="1" hidden="1">
      <c r="B134" s="430"/>
    </row>
    <row r="135" spans="2:2" ht="20.25" customHeight="1" hidden="1">
      <c r="B135" s="430"/>
    </row>
    <row r="136" spans="2:8" ht="23.25" customHeight="1" hidden="1">
      <c r="B136" s="430"/>
      <c r="C136" s="429"/>
      <c r="D136" s="429"/>
      <c r="E136" s="429"/>
      <c r="F136" s="429"/>
      <c r="G136" s="429"/>
      <c r="H136" s="429"/>
    </row>
    <row r="137" spans="2:8" ht="80.25" customHeight="1" hidden="1">
      <c r="B137" s="430"/>
      <c r="C137" s="429"/>
      <c r="D137" s="429"/>
      <c r="E137" s="429"/>
      <c r="F137" s="429"/>
      <c r="G137" s="429"/>
      <c r="H137" s="429"/>
    </row>
    <row r="138" spans="3:18" ht="20.25" customHeight="1" hidden="1">
      <c r="C138" s="429"/>
      <c r="D138" s="429"/>
      <c r="E138" s="429"/>
      <c r="F138" s="429"/>
      <c r="G138" s="429"/>
      <c r="H138" s="429"/>
      <c r="I138" s="429"/>
      <c r="J138" s="429"/>
      <c r="K138" s="429"/>
      <c r="L138" s="429"/>
      <c r="M138" s="429"/>
      <c r="N138" s="429"/>
      <c r="O138" s="429"/>
      <c r="P138" s="429"/>
      <c r="Q138" s="429"/>
      <c r="R138" s="429"/>
    </row>
    <row r="139" spans="3:18" ht="34.5" customHeight="1" hidden="1">
      <c r="C139" s="429"/>
      <c r="D139" s="429"/>
      <c r="E139" s="429"/>
      <c r="F139" s="429"/>
      <c r="G139" s="429"/>
      <c r="H139" s="429"/>
      <c r="I139" s="429"/>
      <c r="J139" s="429"/>
      <c r="K139" s="429"/>
      <c r="L139" s="429"/>
      <c r="M139" s="429"/>
      <c r="N139" s="429"/>
      <c r="O139" s="429"/>
      <c r="P139" s="429"/>
      <c r="Q139" s="429"/>
      <c r="R139" s="429"/>
    </row>
    <row r="140" spans="3:18" ht="50.25" customHeight="1" hidden="1">
      <c r="C140" s="429"/>
      <c r="D140" s="429"/>
      <c r="E140" s="429"/>
      <c r="F140" s="429"/>
      <c r="G140" s="429"/>
      <c r="H140" s="429"/>
      <c r="I140" s="429"/>
      <c r="J140" s="429"/>
      <c r="K140" s="429"/>
      <c r="L140" s="429"/>
      <c r="M140" s="429"/>
      <c r="N140" s="429"/>
      <c r="O140" s="429"/>
      <c r="P140" s="429"/>
      <c r="Q140" s="429"/>
      <c r="R140" s="429"/>
    </row>
    <row r="141" spans="3:18" ht="20.25" customHeight="1" hidden="1">
      <c r="C141" s="429"/>
      <c r="D141" s="429"/>
      <c r="E141" s="429"/>
      <c r="F141" s="429"/>
      <c r="G141" s="429"/>
      <c r="H141" s="429"/>
      <c r="I141" s="429"/>
      <c r="J141" s="429"/>
      <c r="K141" s="429"/>
      <c r="L141" s="429"/>
      <c r="M141" s="429"/>
      <c r="N141" s="429"/>
      <c r="O141" s="429"/>
      <c r="P141" s="429"/>
      <c r="Q141" s="429"/>
      <c r="R141" s="429"/>
    </row>
    <row r="142" spans="3:244" ht="20.25" customHeight="1" hidden="1">
      <c r="C142" s="429"/>
      <c r="D142" s="429"/>
      <c r="E142" s="429"/>
      <c r="F142" s="429"/>
      <c r="G142" s="429"/>
      <c r="H142" s="429"/>
      <c r="I142" s="429"/>
      <c r="J142" s="429"/>
      <c r="K142" s="429"/>
      <c r="L142" s="429"/>
      <c r="M142" s="429"/>
      <c r="N142" s="429"/>
      <c r="O142" s="429"/>
      <c r="P142" s="429"/>
      <c r="Q142" s="429"/>
      <c r="R142" s="429"/>
      <c r="S142" s="429"/>
      <c r="AX142" s="429"/>
      <c r="AY142" s="429"/>
      <c r="AZ142" s="429"/>
      <c r="BA142" s="429"/>
      <c r="BB142" s="429"/>
      <c r="BC142" s="429"/>
      <c r="BD142" s="429"/>
      <c r="BE142" s="429"/>
      <c r="BF142" s="429"/>
      <c r="BG142" s="429"/>
      <c r="BH142" s="429"/>
      <c r="BI142" s="429"/>
      <c r="BJ142" s="429"/>
      <c r="BK142" s="429"/>
      <c r="BL142" s="429"/>
      <c r="BM142" s="429"/>
      <c r="BN142" s="429"/>
      <c r="BO142" s="429"/>
      <c r="BP142" s="429"/>
      <c r="BQ142" s="429"/>
      <c r="BR142" s="429"/>
      <c r="BS142" s="429"/>
      <c r="BT142" s="429"/>
      <c r="BU142" s="429"/>
      <c r="BV142" s="429"/>
      <c r="BW142" s="429"/>
      <c r="BX142" s="429"/>
      <c r="BY142" s="429"/>
      <c r="BZ142" s="429"/>
      <c r="CA142" s="429"/>
      <c r="CB142" s="429"/>
      <c r="CC142" s="429"/>
      <c r="CD142" s="429"/>
      <c r="CE142" s="429"/>
      <c r="CF142" s="429"/>
      <c r="CG142" s="429"/>
      <c r="CH142" s="429"/>
      <c r="CI142" s="429"/>
      <c r="CJ142" s="429"/>
      <c r="CK142" s="429"/>
      <c r="CL142" s="429"/>
      <c r="CM142" s="429"/>
      <c r="CN142" s="429"/>
      <c r="CO142" s="429"/>
      <c r="CP142" s="429"/>
      <c r="CQ142" s="429"/>
      <c r="CR142" s="429"/>
      <c r="CS142" s="429"/>
      <c r="CT142" s="429"/>
      <c r="CU142" s="429"/>
      <c r="CV142" s="429"/>
      <c r="CW142" s="429"/>
      <c r="CX142" s="429"/>
      <c r="CY142" s="429"/>
      <c r="CZ142" s="429"/>
      <c r="DA142" s="429"/>
      <c r="DB142" s="429"/>
      <c r="DC142" s="429"/>
      <c r="DD142" s="429"/>
      <c r="DE142" s="429"/>
      <c r="DF142" s="429"/>
      <c r="DG142" s="429"/>
      <c r="DH142" s="429"/>
      <c r="DI142" s="429"/>
      <c r="DJ142" s="429"/>
      <c r="DK142" s="429"/>
      <c r="DL142" s="429"/>
      <c r="DM142" s="429"/>
      <c r="DN142" s="429"/>
      <c r="DO142" s="429"/>
      <c r="DP142" s="429"/>
      <c r="DQ142" s="429"/>
      <c r="DR142" s="429"/>
      <c r="DS142" s="429"/>
      <c r="DT142" s="429"/>
      <c r="DU142" s="429"/>
      <c r="DV142" s="429"/>
      <c r="DW142" s="429"/>
      <c r="DX142" s="429"/>
      <c r="DY142" s="429"/>
      <c r="DZ142" s="429"/>
      <c r="EA142" s="429"/>
      <c r="EB142" s="429"/>
      <c r="EC142" s="429"/>
      <c r="ED142" s="429"/>
      <c r="EE142" s="429"/>
      <c r="EF142" s="429"/>
      <c r="EG142" s="429"/>
      <c r="EH142" s="429"/>
      <c r="EI142" s="429"/>
      <c r="EJ142" s="429"/>
      <c r="EK142" s="429"/>
      <c r="EL142" s="429"/>
      <c r="EM142" s="429"/>
      <c r="EN142" s="429"/>
      <c r="EO142" s="429"/>
      <c r="EP142" s="429"/>
      <c r="EQ142" s="429"/>
      <c r="ER142" s="429"/>
      <c r="ES142" s="429"/>
      <c r="ET142" s="429"/>
      <c r="EU142" s="429"/>
      <c r="EV142" s="429"/>
      <c r="EW142" s="429"/>
      <c r="EX142" s="429"/>
      <c r="EY142" s="429"/>
      <c r="EZ142" s="429"/>
      <c r="FA142" s="429"/>
      <c r="FB142" s="429"/>
      <c r="FC142" s="429"/>
      <c r="FD142" s="429"/>
      <c r="FE142" s="429"/>
      <c r="FF142" s="429"/>
      <c r="FG142" s="429"/>
      <c r="FH142" s="429"/>
      <c r="FI142" s="429"/>
      <c r="FJ142" s="429"/>
      <c r="FK142" s="429"/>
      <c r="FL142" s="429"/>
      <c r="FM142" s="429"/>
      <c r="FN142" s="429"/>
      <c r="FO142" s="429"/>
      <c r="FP142" s="429"/>
      <c r="FQ142" s="429"/>
      <c r="FR142" s="429"/>
      <c r="FS142" s="429"/>
      <c r="FT142" s="429"/>
      <c r="FU142" s="429"/>
      <c r="FV142" s="429"/>
      <c r="FW142" s="429"/>
      <c r="FX142" s="429"/>
      <c r="FY142" s="429"/>
      <c r="FZ142" s="429"/>
      <c r="GA142" s="429"/>
      <c r="GB142" s="429"/>
      <c r="GC142" s="429"/>
      <c r="GD142" s="429"/>
      <c r="GE142" s="429"/>
      <c r="GF142" s="429"/>
      <c r="GG142" s="429"/>
      <c r="GH142" s="429"/>
      <c r="GI142" s="429"/>
      <c r="GJ142" s="429"/>
      <c r="GK142" s="429"/>
      <c r="GL142" s="429"/>
      <c r="GM142" s="429"/>
      <c r="GN142" s="429"/>
      <c r="GO142" s="429"/>
      <c r="GP142" s="429"/>
      <c r="GQ142" s="429"/>
      <c r="GR142" s="429"/>
      <c r="GS142" s="429"/>
      <c r="GT142" s="429"/>
      <c r="GU142" s="429"/>
      <c r="GV142" s="429"/>
      <c r="GW142" s="429"/>
      <c r="GX142" s="429"/>
      <c r="GY142" s="429"/>
      <c r="GZ142" s="429"/>
      <c r="HA142" s="429"/>
      <c r="HB142" s="429"/>
      <c r="HC142" s="429"/>
      <c r="HD142" s="429"/>
      <c r="HE142" s="429"/>
      <c r="HF142" s="429"/>
      <c r="HG142" s="429"/>
      <c r="HH142" s="429"/>
      <c r="HI142" s="429"/>
      <c r="HJ142" s="429"/>
      <c r="HK142" s="429"/>
      <c r="HL142" s="429"/>
      <c r="HM142" s="429"/>
      <c r="HN142" s="429"/>
      <c r="HO142" s="429"/>
      <c r="HP142" s="429"/>
      <c r="HQ142" s="429"/>
      <c r="HR142" s="429"/>
      <c r="HS142" s="429"/>
      <c r="HT142" s="429"/>
      <c r="HU142" s="429"/>
      <c r="HV142" s="429"/>
      <c r="HW142" s="429"/>
      <c r="HX142" s="429"/>
      <c r="HY142" s="429"/>
      <c r="HZ142" s="429"/>
      <c r="IA142" s="429"/>
      <c r="IB142" s="429"/>
      <c r="IC142" s="429"/>
      <c r="ID142" s="429"/>
      <c r="IE142" s="429"/>
      <c r="IF142" s="429"/>
      <c r="IG142" s="429"/>
      <c r="IH142" s="429"/>
      <c r="II142" s="429"/>
      <c r="IJ142" s="429"/>
    </row>
    <row r="143" spans="3:244" ht="28.15" customHeight="1" hidden="1">
      <c r="C143" s="429"/>
      <c r="D143" s="429"/>
      <c r="E143" s="429"/>
      <c r="F143" s="429"/>
      <c r="G143" s="429"/>
      <c r="H143" s="429"/>
      <c r="I143" s="429"/>
      <c r="J143" s="429"/>
      <c r="K143" s="429"/>
      <c r="L143" s="429"/>
      <c r="M143" s="429"/>
      <c r="N143" s="429"/>
      <c r="O143" s="429"/>
      <c r="P143" s="429"/>
      <c r="Q143" s="429"/>
      <c r="R143" s="429"/>
      <c r="S143" s="429"/>
      <c r="AX143" s="429"/>
      <c r="AY143" s="429"/>
      <c r="AZ143" s="429"/>
      <c r="BA143" s="429"/>
      <c r="BB143" s="429"/>
      <c r="BC143" s="429"/>
      <c r="BD143" s="429"/>
      <c r="BE143" s="429"/>
      <c r="BF143" s="429"/>
      <c r="BG143" s="429"/>
      <c r="BH143" s="429"/>
      <c r="BI143" s="429"/>
      <c r="BJ143" s="429"/>
      <c r="BK143" s="429"/>
      <c r="BL143" s="429"/>
      <c r="BM143" s="429"/>
      <c r="BN143" s="429"/>
      <c r="BO143" s="429"/>
      <c r="BP143" s="429"/>
      <c r="BQ143" s="429"/>
      <c r="BR143" s="429"/>
      <c r="BS143" s="429"/>
      <c r="BT143" s="429"/>
      <c r="BU143" s="429"/>
      <c r="BV143" s="429"/>
      <c r="BW143" s="429"/>
      <c r="BX143" s="429"/>
      <c r="BY143" s="429"/>
      <c r="BZ143" s="429"/>
      <c r="CA143" s="429"/>
      <c r="CB143" s="429"/>
      <c r="CC143" s="429"/>
      <c r="CD143" s="429"/>
      <c r="CE143" s="429"/>
      <c r="CF143" s="429"/>
      <c r="CG143" s="429"/>
      <c r="CH143" s="429"/>
      <c r="CI143" s="429"/>
      <c r="CJ143" s="429"/>
      <c r="CK143" s="429"/>
      <c r="CL143" s="429"/>
      <c r="CM143" s="429"/>
      <c r="CN143" s="429"/>
      <c r="CO143" s="429"/>
      <c r="CP143" s="429"/>
      <c r="CQ143" s="429"/>
      <c r="CR143" s="429"/>
      <c r="CS143" s="429"/>
      <c r="CT143" s="429"/>
      <c r="CU143" s="429"/>
      <c r="CV143" s="429"/>
      <c r="CW143" s="429"/>
      <c r="CX143" s="429"/>
      <c r="CY143" s="429"/>
      <c r="CZ143" s="429"/>
      <c r="DA143" s="429"/>
      <c r="DB143" s="429"/>
      <c r="DC143" s="429"/>
      <c r="DD143" s="429"/>
      <c r="DE143" s="429"/>
      <c r="DF143" s="429"/>
      <c r="DG143" s="429"/>
      <c r="DH143" s="429"/>
      <c r="DI143" s="429"/>
      <c r="DJ143" s="429"/>
      <c r="DK143" s="429"/>
      <c r="DL143" s="429"/>
      <c r="DM143" s="429"/>
      <c r="DN143" s="429"/>
      <c r="DO143" s="429"/>
      <c r="DP143" s="429"/>
      <c r="DQ143" s="429"/>
      <c r="DR143" s="429"/>
      <c r="DS143" s="429"/>
      <c r="DT143" s="429"/>
      <c r="DU143" s="429"/>
      <c r="DV143" s="429"/>
      <c r="DW143" s="429"/>
      <c r="DX143" s="429"/>
      <c r="DY143" s="429"/>
      <c r="DZ143" s="429"/>
      <c r="EA143" s="429"/>
      <c r="EB143" s="429"/>
      <c r="EC143" s="429"/>
      <c r="ED143" s="429"/>
      <c r="EE143" s="429"/>
      <c r="EF143" s="429"/>
      <c r="EG143" s="429"/>
      <c r="EH143" s="429"/>
      <c r="EI143" s="429"/>
      <c r="EJ143" s="429"/>
      <c r="EK143" s="429"/>
      <c r="EL143" s="429"/>
      <c r="EM143" s="429"/>
      <c r="EN143" s="429"/>
      <c r="EO143" s="429"/>
      <c r="EP143" s="429"/>
      <c r="EQ143" s="429"/>
      <c r="ER143" s="429"/>
      <c r="ES143" s="429"/>
      <c r="ET143" s="429"/>
      <c r="EU143" s="429"/>
      <c r="EV143" s="429"/>
      <c r="EW143" s="429"/>
      <c r="EX143" s="429"/>
      <c r="EY143" s="429"/>
      <c r="EZ143" s="429"/>
      <c r="FA143" s="429"/>
      <c r="FB143" s="429"/>
      <c r="FC143" s="429"/>
      <c r="FD143" s="429"/>
      <c r="FE143" s="429"/>
      <c r="FF143" s="429"/>
      <c r="FG143" s="429"/>
      <c r="FH143" s="429"/>
      <c r="FI143" s="429"/>
      <c r="FJ143" s="429"/>
      <c r="FK143" s="429"/>
      <c r="FL143" s="429"/>
      <c r="FM143" s="429"/>
      <c r="FN143" s="429"/>
      <c r="FO143" s="429"/>
      <c r="FP143" s="429"/>
      <c r="FQ143" s="429"/>
      <c r="FR143" s="429"/>
      <c r="FS143" s="429"/>
      <c r="FT143" s="429"/>
      <c r="FU143" s="429"/>
      <c r="FV143" s="429"/>
      <c r="FW143" s="429"/>
      <c r="FX143" s="429"/>
      <c r="FY143" s="429"/>
      <c r="FZ143" s="429"/>
      <c r="GA143" s="429"/>
      <c r="GB143" s="429"/>
      <c r="GC143" s="429"/>
      <c r="GD143" s="429"/>
      <c r="GE143" s="429"/>
      <c r="GF143" s="429"/>
      <c r="GG143" s="429"/>
      <c r="GH143" s="429"/>
      <c r="GI143" s="429"/>
      <c r="GJ143" s="429"/>
      <c r="GK143" s="429"/>
      <c r="GL143" s="429"/>
      <c r="GM143" s="429"/>
      <c r="GN143" s="429"/>
      <c r="GO143" s="429"/>
      <c r="GP143" s="429"/>
      <c r="GQ143" s="429"/>
      <c r="GR143" s="429"/>
      <c r="GS143" s="429"/>
      <c r="GT143" s="429"/>
      <c r="GU143" s="429"/>
      <c r="GV143" s="429"/>
      <c r="GW143" s="429"/>
      <c r="GX143" s="429"/>
      <c r="GY143" s="429"/>
      <c r="GZ143" s="429"/>
      <c r="HA143" s="429"/>
      <c r="HB143" s="429"/>
      <c r="HC143" s="429"/>
      <c r="HD143" s="429"/>
      <c r="HE143" s="429"/>
      <c r="HF143" s="429"/>
      <c r="HG143" s="429"/>
      <c r="HH143" s="429"/>
      <c r="HI143" s="429"/>
      <c r="HJ143" s="429"/>
      <c r="HK143" s="429"/>
      <c r="HL143" s="429"/>
      <c r="HM143" s="429"/>
      <c r="HN143" s="429"/>
      <c r="HO143" s="429"/>
      <c r="HP143" s="429"/>
      <c r="HQ143" s="429"/>
      <c r="HR143" s="429"/>
      <c r="HS143" s="429"/>
      <c r="HT143" s="429"/>
      <c r="HU143" s="429"/>
      <c r="HV143" s="429"/>
      <c r="HW143" s="429"/>
      <c r="HX143" s="429"/>
      <c r="HY143" s="429"/>
      <c r="HZ143" s="429"/>
      <c r="IA143" s="429"/>
      <c r="IB143" s="429"/>
      <c r="IC143" s="429"/>
      <c r="ID143" s="429"/>
      <c r="IE143" s="429"/>
      <c r="IF143" s="429"/>
      <c r="IG143" s="429"/>
      <c r="IH143" s="429"/>
      <c r="II143" s="429"/>
      <c r="IJ143" s="429"/>
    </row>
    <row r="144" spans="20:49" s="429" customFormat="1" hidden="1">
      <c r="T144" s="430"/>
      <c r="U144" s="430"/>
      <c r="V144" s="430"/>
      <c r="W144" s="430"/>
      <c r="X144" s="430"/>
      <c r="Y144" s="430"/>
      <c r="Z144" s="430"/>
      <c r="AA144" s="430"/>
      <c r="AB144" s="430"/>
      <c r="AC144" s="430"/>
      <c r="AD144" s="430"/>
      <c r="AE144" s="430"/>
      <c r="AF144" s="430"/>
      <c r="AG144" s="430"/>
      <c r="AH144" s="430"/>
      <c r="AI144" s="430"/>
      <c r="AJ144" s="430"/>
      <c r="AK144" s="430"/>
      <c r="AL144" s="430"/>
      <c r="AM144" s="430"/>
      <c r="AN144" s="430"/>
      <c r="AO144" s="430"/>
      <c r="AP144" s="430"/>
      <c r="AQ144" s="430"/>
      <c r="AR144" s="430"/>
      <c r="AS144" s="430"/>
      <c r="AT144" s="430"/>
      <c r="AU144" s="430"/>
      <c r="AV144" s="430"/>
      <c r="AW144" s="430"/>
    </row>
    <row r="145" spans="20:49" s="429" customFormat="1" hidden="1">
      <c r="T145" s="430"/>
      <c r="U145" s="430"/>
      <c r="V145" s="430"/>
      <c r="W145" s="430"/>
      <c r="X145" s="430"/>
      <c r="Y145" s="430"/>
      <c r="Z145" s="430"/>
      <c r="AA145" s="430"/>
      <c r="AB145" s="430"/>
      <c r="AC145" s="430"/>
      <c r="AD145" s="430"/>
      <c r="AE145" s="430"/>
      <c r="AF145" s="430"/>
      <c r="AG145" s="430"/>
      <c r="AH145" s="430"/>
      <c r="AI145" s="430"/>
      <c r="AJ145" s="430"/>
      <c r="AK145" s="430"/>
      <c r="AL145" s="430"/>
      <c r="AM145" s="430"/>
      <c r="AN145" s="430"/>
      <c r="AO145" s="430"/>
      <c r="AP145" s="430"/>
      <c r="AQ145" s="430"/>
      <c r="AR145" s="430"/>
      <c r="AS145" s="430"/>
      <c r="AT145" s="430"/>
      <c r="AU145" s="430"/>
      <c r="AV145" s="430"/>
      <c r="AW145" s="430"/>
    </row>
    <row r="146" spans="20:49" s="429" customFormat="1" hidden="1">
      <c r="T146" s="430"/>
      <c r="U146" s="430"/>
      <c r="V146" s="430"/>
      <c r="W146" s="430"/>
      <c r="X146" s="430"/>
      <c r="Y146" s="430"/>
      <c r="Z146" s="430"/>
      <c r="AA146" s="430"/>
      <c r="AB146" s="430"/>
      <c r="AC146" s="430"/>
      <c r="AD146" s="430"/>
      <c r="AE146" s="430"/>
      <c r="AF146" s="430"/>
      <c r="AG146" s="430"/>
      <c r="AH146" s="430"/>
      <c r="AI146" s="430"/>
      <c r="AJ146" s="430"/>
      <c r="AK146" s="430"/>
      <c r="AL146" s="430"/>
      <c r="AM146" s="430"/>
      <c r="AN146" s="430"/>
      <c r="AO146" s="430"/>
      <c r="AP146" s="430"/>
      <c r="AQ146" s="430"/>
      <c r="AR146" s="430"/>
      <c r="AS146" s="430"/>
      <c r="AT146" s="430"/>
      <c r="AU146" s="430"/>
      <c r="AV146" s="430"/>
      <c r="AW146" s="430"/>
    </row>
    <row r="147" spans="20:49" s="429" customFormat="1" hidden="1">
      <c r="T147" s="430"/>
      <c r="U147" s="430"/>
      <c r="V147" s="430"/>
      <c r="W147" s="430"/>
      <c r="X147" s="430"/>
      <c r="Y147" s="430"/>
      <c r="Z147" s="430"/>
      <c r="AA147" s="430"/>
      <c r="AB147" s="430"/>
      <c r="AC147" s="430"/>
      <c r="AD147" s="430"/>
      <c r="AE147" s="430"/>
      <c r="AF147" s="430"/>
      <c r="AG147" s="430"/>
      <c r="AH147" s="430"/>
      <c r="AI147" s="430"/>
      <c r="AJ147" s="430"/>
      <c r="AK147" s="430"/>
      <c r="AL147" s="430"/>
      <c r="AM147" s="430"/>
      <c r="AN147" s="430"/>
      <c r="AO147" s="430"/>
      <c r="AP147" s="430"/>
      <c r="AQ147" s="430"/>
      <c r="AR147" s="430"/>
      <c r="AS147" s="430"/>
      <c r="AT147" s="430"/>
      <c r="AU147" s="430"/>
      <c r="AV147" s="430"/>
      <c r="AW147" s="430"/>
    </row>
    <row r="148" spans="20:49" s="429" customFormat="1" hidden="1">
      <c r="T148" s="430"/>
      <c r="U148" s="430"/>
      <c r="V148" s="430"/>
      <c r="W148" s="430"/>
      <c r="X148" s="430"/>
      <c r="Y148" s="430"/>
      <c r="Z148" s="430"/>
      <c r="AA148" s="430"/>
      <c r="AB148" s="430"/>
      <c r="AC148" s="430"/>
      <c r="AD148" s="430"/>
      <c r="AE148" s="430"/>
      <c r="AF148" s="430"/>
      <c r="AG148" s="430"/>
      <c r="AH148" s="430"/>
      <c r="AI148" s="430"/>
      <c r="AJ148" s="430"/>
      <c r="AK148" s="430"/>
      <c r="AL148" s="430"/>
      <c r="AM148" s="430"/>
      <c r="AN148" s="430"/>
      <c r="AO148" s="430"/>
      <c r="AP148" s="430"/>
      <c r="AQ148" s="430"/>
      <c r="AR148" s="430"/>
      <c r="AS148" s="430"/>
      <c r="AT148" s="430"/>
      <c r="AU148" s="430"/>
      <c r="AV148" s="430"/>
      <c r="AW148" s="430"/>
    </row>
    <row r="149" spans="20:49" s="429" customFormat="1" hidden="1">
      <c r="T149" s="430"/>
      <c r="U149" s="430"/>
      <c r="V149" s="430"/>
      <c r="W149" s="430"/>
      <c r="X149" s="430"/>
      <c r="Y149" s="430"/>
      <c r="Z149" s="430"/>
      <c r="AA149" s="430"/>
      <c r="AB149" s="430"/>
      <c r="AC149" s="430"/>
      <c r="AD149" s="430"/>
      <c r="AE149" s="430"/>
      <c r="AF149" s="430"/>
      <c r="AG149" s="430"/>
      <c r="AH149" s="430"/>
      <c r="AI149" s="430"/>
      <c r="AJ149" s="430"/>
      <c r="AK149" s="430"/>
      <c r="AL149" s="430"/>
      <c r="AM149" s="430"/>
      <c r="AN149" s="430"/>
      <c r="AO149" s="430"/>
      <c r="AP149" s="430"/>
      <c r="AQ149" s="430"/>
      <c r="AR149" s="430"/>
      <c r="AS149" s="430"/>
      <c r="AT149" s="430"/>
      <c r="AU149" s="430"/>
      <c r="AV149" s="430"/>
      <c r="AW149" s="430"/>
    </row>
    <row r="150" spans="20:49" s="429" customFormat="1" hidden="1">
      <c r="T150" s="430"/>
      <c r="U150" s="430"/>
      <c r="V150" s="430"/>
      <c r="W150" s="430"/>
      <c r="X150" s="430"/>
      <c r="Y150" s="430"/>
      <c r="Z150" s="430"/>
      <c r="AA150" s="430"/>
      <c r="AB150" s="430"/>
      <c r="AC150" s="430"/>
      <c r="AD150" s="430"/>
      <c r="AE150" s="430"/>
      <c r="AF150" s="430"/>
      <c r="AG150" s="430"/>
      <c r="AH150" s="430"/>
      <c r="AI150" s="430"/>
      <c r="AJ150" s="430"/>
      <c r="AK150" s="430"/>
      <c r="AL150" s="430"/>
      <c r="AM150" s="430"/>
      <c r="AN150" s="430"/>
      <c r="AO150" s="430"/>
      <c r="AP150" s="430"/>
      <c r="AQ150" s="430"/>
      <c r="AR150" s="430"/>
      <c r="AS150" s="430"/>
      <c r="AT150" s="430"/>
      <c r="AU150" s="430"/>
      <c r="AV150" s="430"/>
      <c r="AW150" s="430"/>
    </row>
    <row r="151" spans="20:49" s="429" customFormat="1" hidden="1">
      <c r="T151" s="430"/>
      <c r="U151" s="430"/>
      <c r="V151" s="430"/>
      <c r="W151" s="430"/>
      <c r="X151" s="430"/>
      <c r="Y151" s="430"/>
      <c r="Z151" s="430"/>
      <c r="AA151" s="430"/>
      <c r="AB151" s="430"/>
      <c r="AC151" s="430"/>
      <c r="AD151" s="430"/>
      <c r="AE151" s="430"/>
      <c r="AF151" s="430"/>
      <c r="AG151" s="430"/>
      <c r="AH151" s="430"/>
      <c r="AI151" s="430"/>
      <c r="AJ151" s="430"/>
      <c r="AK151" s="430"/>
      <c r="AL151" s="430"/>
      <c r="AM151" s="430"/>
      <c r="AN151" s="430"/>
      <c r="AO151" s="430"/>
      <c r="AP151" s="430"/>
      <c r="AQ151" s="430"/>
      <c r="AR151" s="430"/>
      <c r="AS151" s="430"/>
      <c r="AT151" s="430"/>
      <c r="AU151" s="430"/>
      <c r="AV151" s="430"/>
      <c r="AW151" s="430"/>
    </row>
    <row r="152" spans="20:49" s="429" customFormat="1" hidden="1">
      <c r="T152" s="430"/>
      <c r="U152" s="430"/>
      <c r="V152" s="430"/>
      <c r="W152" s="430"/>
      <c r="X152" s="430"/>
      <c r="Y152" s="430"/>
      <c r="Z152" s="430"/>
      <c r="AA152" s="430"/>
      <c r="AB152" s="430"/>
      <c r="AC152" s="430"/>
      <c r="AD152" s="430"/>
      <c r="AE152" s="430"/>
      <c r="AF152" s="430"/>
      <c r="AG152" s="430"/>
      <c r="AH152" s="430"/>
      <c r="AI152" s="430"/>
      <c r="AJ152" s="430"/>
      <c r="AK152" s="430"/>
      <c r="AL152" s="430"/>
      <c r="AM152" s="430"/>
      <c r="AN152" s="430"/>
      <c r="AO152" s="430"/>
      <c r="AP152" s="430"/>
      <c r="AQ152" s="430"/>
      <c r="AR152" s="430"/>
      <c r="AS152" s="430"/>
      <c r="AT152" s="430"/>
      <c r="AU152" s="430"/>
      <c r="AV152" s="430"/>
      <c r="AW152" s="430"/>
    </row>
    <row r="153" spans="20:49" s="429" customFormat="1" hidden="1">
      <c r="T153" s="430"/>
      <c r="U153" s="430"/>
      <c r="V153" s="430"/>
      <c r="W153" s="430"/>
      <c r="X153" s="430"/>
      <c r="Y153" s="430"/>
      <c r="Z153" s="430"/>
      <c r="AA153" s="430"/>
      <c r="AB153" s="430"/>
      <c r="AC153" s="430"/>
      <c r="AD153" s="430"/>
      <c r="AE153" s="430"/>
      <c r="AF153" s="430"/>
      <c r="AG153" s="430"/>
      <c r="AH153" s="430"/>
      <c r="AI153" s="430"/>
      <c r="AJ153" s="430"/>
      <c r="AK153" s="430"/>
      <c r="AL153" s="430"/>
      <c r="AM153" s="430"/>
      <c r="AN153" s="430"/>
      <c r="AO153" s="430"/>
      <c r="AP153" s="430"/>
      <c r="AQ153" s="430"/>
      <c r="AR153" s="430"/>
      <c r="AS153" s="430"/>
      <c r="AT153" s="430"/>
      <c r="AU153" s="430"/>
      <c r="AV153" s="430"/>
      <c r="AW153" s="430"/>
    </row>
    <row r="154" spans="20:49" s="429" customFormat="1" hidden="1">
      <c r="T154" s="430"/>
      <c r="U154" s="430"/>
      <c r="V154" s="430"/>
      <c r="W154" s="430"/>
      <c r="X154" s="430"/>
      <c r="Y154" s="430"/>
      <c r="Z154" s="430"/>
      <c r="AA154" s="430"/>
      <c r="AB154" s="430"/>
      <c r="AC154" s="430"/>
      <c r="AD154" s="430"/>
      <c r="AE154" s="430"/>
      <c r="AF154" s="430"/>
      <c r="AG154" s="430"/>
      <c r="AH154" s="430"/>
      <c r="AI154" s="430"/>
      <c r="AJ154" s="430"/>
      <c r="AK154" s="430"/>
      <c r="AL154" s="430"/>
      <c r="AM154" s="430"/>
      <c r="AN154" s="430"/>
      <c r="AO154" s="430"/>
      <c r="AP154" s="430"/>
      <c r="AQ154" s="430"/>
      <c r="AR154" s="430"/>
      <c r="AS154" s="430"/>
      <c r="AT154" s="430"/>
      <c r="AU154" s="430"/>
      <c r="AV154" s="430"/>
      <c r="AW154" s="430"/>
    </row>
    <row r="155" spans="20:49" s="429" customFormat="1" hidden="1">
      <c r="T155" s="430"/>
      <c r="U155" s="430"/>
      <c r="V155" s="430"/>
      <c r="W155" s="430"/>
      <c r="X155" s="430"/>
      <c r="Y155" s="430"/>
      <c r="Z155" s="430"/>
      <c r="AA155" s="430"/>
      <c r="AB155" s="430"/>
      <c r="AC155" s="430"/>
      <c r="AD155" s="430"/>
      <c r="AE155" s="430"/>
      <c r="AF155" s="430"/>
      <c r="AG155" s="430"/>
      <c r="AH155" s="430"/>
      <c r="AI155" s="430"/>
      <c r="AJ155" s="430"/>
      <c r="AK155" s="430"/>
      <c r="AL155" s="430"/>
      <c r="AM155" s="430"/>
      <c r="AN155" s="430"/>
      <c r="AO155" s="430"/>
      <c r="AP155" s="430"/>
      <c r="AQ155" s="430"/>
      <c r="AR155" s="430"/>
      <c r="AS155" s="430"/>
      <c r="AT155" s="430"/>
      <c r="AU155" s="430"/>
      <c r="AV155" s="430"/>
      <c r="AW155" s="430"/>
    </row>
    <row r="156" spans="20:49" s="429" customFormat="1" hidden="1">
      <c r="T156" s="430"/>
      <c r="U156" s="430"/>
      <c r="V156" s="430"/>
      <c r="W156" s="430"/>
      <c r="X156" s="430"/>
      <c r="Y156" s="430"/>
      <c r="Z156" s="430"/>
      <c r="AA156" s="430"/>
      <c r="AB156" s="430"/>
      <c r="AC156" s="430"/>
      <c r="AD156" s="430"/>
      <c r="AE156" s="430"/>
      <c r="AF156" s="430"/>
      <c r="AG156" s="430"/>
      <c r="AH156" s="430"/>
      <c r="AI156" s="430"/>
      <c r="AJ156" s="430"/>
      <c r="AK156" s="430"/>
      <c r="AL156" s="430"/>
      <c r="AM156" s="430"/>
      <c r="AN156" s="430"/>
      <c r="AO156" s="430"/>
      <c r="AP156" s="430"/>
      <c r="AQ156" s="430"/>
      <c r="AR156" s="430"/>
      <c r="AS156" s="430"/>
      <c r="AT156" s="430"/>
      <c r="AU156" s="430"/>
      <c r="AV156" s="430"/>
      <c r="AW156" s="430"/>
    </row>
    <row r="157" spans="20:49" s="429" customFormat="1" hidden="1">
      <c r="T157" s="430"/>
      <c r="U157" s="430"/>
      <c r="V157" s="430"/>
      <c r="W157" s="430"/>
      <c r="X157" s="430"/>
      <c r="Y157" s="430"/>
      <c r="Z157" s="430"/>
      <c r="AA157" s="430"/>
      <c r="AB157" s="430"/>
      <c r="AC157" s="430"/>
      <c r="AD157" s="430"/>
      <c r="AE157" s="430"/>
      <c r="AF157" s="430"/>
      <c r="AG157" s="430"/>
      <c r="AH157" s="430"/>
      <c r="AI157" s="430"/>
      <c r="AJ157" s="430"/>
      <c r="AK157" s="430"/>
      <c r="AL157" s="430"/>
      <c r="AM157" s="430"/>
      <c r="AN157" s="430"/>
      <c r="AO157" s="430"/>
      <c r="AP157" s="430"/>
      <c r="AQ157" s="430"/>
      <c r="AR157" s="430"/>
      <c r="AS157" s="430"/>
      <c r="AT157" s="430"/>
      <c r="AU157" s="430"/>
      <c r="AV157" s="430"/>
      <c r="AW157" s="430"/>
    </row>
    <row r="158" spans="20:49" s="429" customFormat="1" hidden="1">
      <c r="T158" s="430"/>
      <c r="U158" s="430"/>
      <c r="V158" s="430"/>
      <c r="W158" s="430"/>
      <c r="X158" s="430"/>
      <c r="Y158" s="430"/>
      <c r="Z158" s="430"/>
      <c r="AA158" s="430"/>
      <c r="AB158" s="430"/>
      <c r="AC158" s="430"/>
      <c r="AD158" s="430"/>
      <c r="AE158" s="430"/>
      <c r="AF158" s="430"/>
      <c r="AG158" s="430"/>
      <c r="AH158" s="430"/>
      <c r="AI158" s="430"/>
      <c r="AJ158" s="430"/>
      <c r="AK158" s="430"/>
      <c r="AL158" s="430"/>
      <c r="AM158" s="430"/>
      <c r="AN158" s="430"/>
      <c r="AO158" s="430"/>
      <c r="AP158" s="430"/>
      <c r="AQ158" s="430"/>
      <c r="AR158" s="430"/>
      <c r="AS158" s="430"/>
      <c r="AT158" s="430"/>
      <c r="AU158" s="430"/>
      <c r="AV158" s="430"/>
      <c r="AW158" s="430"/>
    </row>
    <row r="159" spans="20:49" s="429" customFormat="1" hidden="1">
      <c r="T159" s="430"/>
      <c r="U159" s="430"/>
      <c r="V159" s="430"/>
      <c r="W159" s="430"/>
      <c r="X159" s="430"/>
      <c r="Y159" s="430"/>
      <c r="Z159" s="430"/>
      <c r="AA159" s="430"/>
      <c r="AB159" s="430"/>
      <c r="AC159" s="430"/>
      <c r="AD159" s="430"/>
      <c r="AE159" s="430"/>
      <c r="AF159" s="430"/>
      <c r="AG159" s="430"/>
      <c r="AH159" s="430"/>
      <c r="AI159" s="430"/>
      <c r="AJ159" s="430"/>
      <c r="AK159" s="430"/>
      <c r="AL159" s="430"/>
      <c r="AM159" s="430"/>
      <c r="AN159" s="430"/>
      <c r="AO159" s="430"/>
      <c r="AP159" s="430"/>
      <c r="AQ159" s="430"/>
      <c r="AR159" s="430"/>
      <c r="AS159" s="430"/>
      <c r="AT159" s="430"/>
      <c r="AU159" s="430"/>
      <c r="AV159" s="430"/>
      <c r="AW159" s="430"/>
    </row>
    <row r="160" spans="20:49" s="429" customFormat="1" hidden="1">
      <c r="T160" s="430"/>
      <c r="U160" s="430"/>
      <c r="V160" s="430"/>
      <c r="W160" s="430"/>
      <c r="X160" s="430"/>
      <c r="Y160" s="430"/>
      <c r="Z160" s="430"/>
      <c r="AA160" s="430"/>
      <c r="AB160" s="430"/>
      <c r="AC160" s="430"/>
      <c r="AD160" s="430"/>
      <c r="AE160" s="430"/>
      <c r="AF160" s="430"/>
      <c r="AG160" s="430"/>
      <c r="AH160" s="430"/>
      <c r="AI160" s="430"/>
      <c r="AJ160" s="430"/>
      <c r="AK160" s="430"/>
      <c r="AL160" s="430"/>
      <c r="AM160" s="430"/>
      <c r="AN160" s="430"/>
      <c r="AO160" s="430"/>
      <c r="AP160" s="430"/>
      <c r="AQ160" s="430"/>
      <c r="AR160" s="430"/>
      <c r="AS160" s="430"/>
      <c r="AT160" s="430"/>
      <c r="AU160" s="430"/>
      <c r="AV160" s="430"/>
      <c r="AW160" s="430"/>
    </row>
    <row r="161" spans="20:49" s="429" customFormat="1" hidden="1">
      <c r="T161" s="430"/>
      <c r="U161" s="430"/>
      <c r="V161" s="430"/>
      <c r="W161" s="430"/>
      <c r="X161" s="430"/>
      <c r="Y161" s="430"/>
      <c r="Z161" s="430"/>
      <c r="AA161" s="430"/>
      <c r="AB161" s="430"/>
      <c r="AC161" s="430"/>
      <c r="AD161" s="430"/>
      <c r="AE161" s="430"/>
      <c r="AF161" s="430"/>
      <c r="AG161" s="430"/>
      <c r="AH161" s="430"/>
      <c r="AI161" s="430"/>
      <c r="AJ161" s="430"/>
      <c r="AK161" s="430"/>
      <c r="AL161" s="430"/>
      <c r="AM161" s="430"/>
      <c r="AN161" s="430"/>
      <c r="AO161" s="430"/>
      <c r="AP161" s="430"/>
      <c r="AQ161" s="430"/>
      <c r="AR161" s="430"/>
      <c r="AS161" s="430"/>
      <c r="AT161" s="430"/>
      <c r="AU161" s="430"/>
      <c r="AV161" s="430"/>
      <c r="AW161" s="430"/>
    </row>
    <row r="162" spans="20:49" s="429" customFormat="1" hidden="1">
      <c r="T162" s="430"/>
      <c r="U162" s="430"/>
      <c r="V162" s="430"/>
      <c r="W162" s="430"/>
      <c r="X162" s="430"/>
      <c r="Y162" s="430"/>
      <c r="Z162" s="430"/>
      <c r="AA162" s="430"/>
      <c r="AB162" s="430"/>
      <c r="AC162" s="430"/>
      <c r="AD162" s="430"/>
      <c r="AE162" s="430"/>
      <c r="AF162" s="430"/>
      <c r="AG162" s="430"/>
      <c r="AH162" s="430"/>
      <c r="AI162" s="430"/>
      <c r="AJ162" s="430"/>
      <c r="AK162" s="430"/>
      <c r="AL162" s="430"/>
      <c r="AM162" s="430"/>
      <c r="AN162" s="430"/>
      <c r="AO162" s="430"/>
      <c r="AP162" s="430"/>
      <c r="AQ162" s="430"/>
      <c r="AR162" s="430"/>
      <c r="AS162" s="430"/>
      <c r="AT162" s="430"/>
      <c r="AU162" s="430"/>
      <c r="AV162" s="430"/>
      <c r="AW162" s="430"/>
    </row>
    <row r="163" spans="20:49" s="429" customFormat="1" hidden="1">
      <c r="T163" s="430"/>
      <c r="U163" s="430"/>
      <c r="V163" s="430"/>
      <c r="W163" s="430"/>
      <c r="X163" s="430"/>
      <c r="Y163" s="430"/>
      <c r="Z163" s="430"/>
      <c r="AA163" s="430"/>
      <c r="AB163" s="430"/>
      <c r="AC163" s="430"/>
      <c r="AD163" s="430"/>
      <c r="AE163" s="430"/>
      <c r="AF163" s="430"/>
      <c r="AG163" s="430"/>
      <c r="AH163" s="430"/>
      <c r="AI163" s="430"/>
      <c r="AJ163" s="430"/>
      <c r="AK163" s="430"/>
      <c r="AL163" s="430"/>
      <c r="AM163" s="430"/>
      <c r="AN163" s="430"/>
      <c r="AO163" s="430"/>
      <c r="AP163" s="430"/>
      <c r="AQ163" s="430"/>
      <c r="AR163" s="430"/>
      <c r="AS163" s="430"/>
      <c r="AT163" s="430"/>
      <c r="AU163" s="430"/>
      <c r="AV163" s="430"/>
      <c r="AW163" s="430"/>
    </row>
    <row r="164" spans="20:49" s="429" customFormat="1" hidden="1">
      <c r="T164" s="430"/>
      <c r="U164" s="430"/>
      <c r="V164" s="430"/>
      <c r="W164" s="430"/>
      <c r="X164" s="430"/>
      <c r="Y164" s="430"/>
      <c r="Z164" s="430"/>
      <c r="AA164" s="430"/>
      <c r="AB164" s="430"/>
      <c r="AC164" s="430"/>
      <c r="AD164" s="430"/>
      <c r="AE164" s="430"/>
      <c r="AF164" s="430"/>
      <c r="AG164" s="430"/>
      <c r="AH164" s="430"/>
      <c r="AI164" s="430"/>
      <c r="AJ164" s="430"/>
      <c r="AK164" s="430"/>
      <c r="AL164" s="430"/>
      <c r="AM164" s="430"/>
      <c r="AN164" s="430"/>
      <c r="AO164" s="430"/>
      <c r="AP164" s="430"/>
      <c r="AQ164" s="430"/>
      <c r="AR164" s="430"/>
      <c r="AS164" s="430"/>
      <c r="AT164" s="430"/>
      <c r="AU164" s="430"/>
      <c r="AV164" s="430"/>
      <c r="AW164" s="430"/>
    </row>
    <row r="165" spans="20:49" s="429" customFormat="1" hidden="1">
      <c r="T165" s="430"/>
      <c r="U165" s="430"/>
      <c r="V165" s="430"/>
      <c r="W165" s="430"/>
      <c r="X165" s="430"/>
      <c r="Y165" s="430"/>
      <c r="Z165" s="430"/>
      <c r="AA165" s="430"/>
      <c r="AB165" s="430"/>
      <c r="AC165" s="430"/>
      <c r="AD165" s="430"/>
      <c r="AE165" s="430"/>
      <c r="AF165" s="430"/>
      <c r="AG165" s="430"/>
      <c r="AH165" s="430"/>
      <c r="AI165" s="430"/>
      <c r="AJ165" s="430"/>
      <c r="AK165" s="430"/>
      <c r="AL165" s="430"/>
      <c r="AM165" s="430"/>
      <c r="AN165" s="430"/>
      <c r="AO165" s="430"/>
      <c r="AP165" s="430"/>
      <c r="AQ165" s="430"/>
      <c r="AR165" s="430"/>
      <c r="AS165" s="430"/>
      <c r="AT165" s="430"/>
      <c r="AU165" s="430"/>
      <c r="AV165" s="430"/>
      <c r="AW165" s="430"/>
    </row>
    <row r="166" spans="20:49" s="429" customFormat="1" hidden="1">
      <c r="T166" s="430"/>
      <c r="U166" s="430"/>
      <c r="V166" s="430"/>
      <c r="W166" s="430"/>
      <c r="X166" s="430"/>
      <c r="Y166" s="430"/>
      <c r="Z166" s="430"/>
      <c r="AA166" s="430"/>
      <c r="AB166" s="430"/>
      <c r="AC166" s="430"/>
      <c r="AD166" s="430"/>
      <c r="AE166" s="430"/>
      <c r="AF166" s="430"/>
      <c r="AG166" s="430"/>
      <c r="AH166" s="430"/>
      <c r="AI166" s="430"/>
      <c r="AJ166" s="430"/>
      <c r="AK166" s="430"/>
      <c r="AL166" s="430"/>
      <c r="AM166" s="430"/>
      <c r="AN166" s="430"/>
      <c r="AO166" s="430"/>
      <c r="AP166" s="430"/>
      <c r="AQ166" s="430"/>
      <c r="AR166" s="430"/>
      <c r="AS166" s="430"/>
      <c r="AT166" s="430"/>
      <c r="AU166" s="430"/>
      <c r="AV166" s="430"/>
      <c r="AW166" s="430"/>
    </row>
    <row r="167" spans="20:49" s="429" customFormat="1" hidden="1">
      <c r="T167" s="430"/>
      <c r="U167" s="430"/>
      <c r="V167" s="430"/>
      <c r="W167" s="430"/>
      <c r="X167" s="430"/>
      <c r="Y167" s="430"/>
      <c r="Z167" s="430"/>
      <c r="AA167" s="430"/>
      <c r="AB167" s="430"/>
      <c r="AC167" s="430"/>
      <c r="AD167" s="430"/>
      <c r="AE167" s="430"/>
      <c r="AF167" s="430"/>
      <c r="AG167" s="430"/>
      <c r="AH167" s="430"/>
      <c r="AI167" s="430"/>
      <c r="AJ167" s="430"/>
      <c r="AK167" s="430"/>
      <c r="AL167" s="430"/>
      <c r="AM167" s="430"/>
      <c r="AN167" s="430"/>
      <c r="AO167" s="430"/>
      <c r="AP167" s="430"/>
      <c r="AQ167" s="430"/>
      <c r="AR167" s="430"/>
      <c r="AS167" s="430"/>
      <c r="AT167" s="430"/>
      <c r="AU167" s="430"/>
      <c r="AV167" s="430"/>
      <c r="AW167" s="430"/>
    </row>
    <row r="168" spans="20:49" s="429" customFormat="1" hidden="1">
      <c r="T168" s="430"/>
      <c r="U168" s="430"/>
      <c r="V168" s="430"/>
      <c r="W168" s="430"/>
      <c r="X168" s="430"/>
      <c r="Y168" s="430"/>
      <c r="Z168" s="430"/>
      <c r="AA168" s="430"/>
      <c r="AB168" s="430"/>
      <c r="AC168" s="430"/>
      <c r="AD168" s="430"/>
      <c r="AE168" s="430"/>
      <c r="AF168" s="430"/>
      <c r="AG168" s="430"/>
      <c r="AH168" s="430"/>
      <c r="AI168" s="430"/>
      <c r="AJ168" s="430"/>
      <c r="AK168" s="430"/>
      <c r="AL168" s="430"/>
      <c r="AM168" s="430"/>
      <c r="AN168" s="430"/>
      <c r="AO168" s="430"/>
      <c r="AP168" s="430"/>
      <c r="AQ168" s="430"/>
      <c r="AR168" s="430"/>
      <c r="AS168" s="430"/>
      <c r="AT168" s="430"/>
      <c r="AU168" s="430"/>
      <c r="AV168" s="430"/>
      <c r="AW168" s="430"/>
    </row>
    <row r="169" spans="20:49" s="429" customFormat="1" hidden="1">
      <c r="T169" s="430"/>
      <c r="U169" s="430"/>
      <c r="V169" s="430"/>
      <c r="W169" s="430"/>
      <c r="X169" s="430"/>
      <c r="Y169" s="430"/>
      <c r="Z169" s="430"/>
      <c r="AA169" s="430"/>
      <c r="AB169" s="430"/>
      <c r="AC169" s="430"/>
      <c r="AD169" s="430"/>
      <c r="AE169" s="430"/>
      <c r="AF169" s="430"/>
      <c r="AG169" s="430"/>
      <c r="AH169" s="430"/>
      <c r="AI169" s="430"/>
      <c r="AJ169" s="430"/>
      <c r="AK169" s="430"/>
      <c r="AL169" s="430"/>
      <c r="AM169" s="430"/>
      <c r="AN169" s="430"/>
      <c r="AO169" s="430"/>
      <c r="AP169" s="430"/>
      <c r="AQ169" s="430"/>
      <c r="AR169" s="430"/>
      <c r="AS169" s="430"/>
      <c r="AT169" s="430"/>
      <c r="AU169" s="430"/>
      <c r="AV169" s="430"/>
      <c r="AW169" s="430"/>
    </row>
    <row r="170" spans="20:49" s="429" customFormat="1" hidden="1">
      <c r="T170" s="430"/>
      <c r="U170" s="430"/>
      <c r="V170" s="430"/>
      <c r="W170" s="430"/>
      <c r="X170" s="430"/>
      <c r="Y170" s="430"/>
      <c r="Z170" s="430"/>
      <c r="AA170" s="430"/>
      <c r="AB170" s="430"/>
      <c r="AC170" s="430"/>
      <c r="AD170" s="430"/>
      <c r="AE170" s="430"/>
      <c r="AF170" s="430"/>
      <c r="AG170" s="430"/>
      <c r="AH170" s="430"/>
      <c r="AI170" s="430"/>
      <c r="AJ170" s="430"/>
      <c r="AK170" s="430"/>
      <c r="AL170" s="430"/>
      <c r="AM170" s="430"/>
      <c r="AN170" s="430"/>
      <c r="AO170" s="430"/>
      <c r="AP170" s="430"/>
      <c r="AQ170" s="430"/>
      <c r="AR170" s="430"/>
      <c r="AS170" s="430"/>
      <c r="AT170" s="430"/>
      <c r="AU170" s="430"/>
      <c r="AV170" s="430"/>
      <c r="AW170" s="430"/>
    </row>
    <row r="171" spans="20:49" s="429" customFormat="1" hidden="1">
      <c r="T171" s="430"/>
      <c r="U171" s="430"/>
      <c r="V171" s="430"/>
      <c r="W171" s="430"/>
      <c r="X171" s="430"/>
      <c r="Y171" s="430"/>
      <c r="Z171" s="430"/>
      <c r="AA171" s="430"/>
      <c r="AB171" s="430"/>
      <c r="AC171" s="430"/>
      <c r="AD171" s="430"/>
      <c r="AE171" s="430"/>
      <c r="AF171" s="430"/>
      <c r="AG171" s="430"/>
      <c r="AH171" s="430"/>
      <c r="AI171" s="430"/>
      <c r="AJ171" s="430"/>
      <c r="AK171" s="430"/>
      <c r="AL171" s="430"/>
      <c r="AM171" s="430"/>
      <c r="AN171" s="430"/>
      <c r="AO171" s="430"/>
      <c r="AP171" s="430"/>
      <c r="AQ171" s="430"/>
      <c r="AR171" s="430"/>
      <c r="AS171" s="430"/>
      <c r="AT171" s="430"/>
      <c r="AU171" s="430"/>
      <c r="AV171" s="430"/>
      <c r="AW171" s="430"/>
    </row>
    <row r="172" spans="20:49" s="429" customFormat="1" hidden="1">
      <c r="T172" s="430"/>
      <c r="U172" s="430"/>
      <c r="V172" s="430"/>
      <c r="W172" s="430"/>
      <c r="X172" s="430"/>
      <c r="Y172" s="430"/>
      <c r="Z172" s="430"/>
      <c r="AA172" s="430"/>
      <c r="AB172" s="430"/>
      <c r="AC172" s="430"/>
      <c r="AD172" s="430"/>
      <c r="AE172" s="430"/>
      <c r="AF172" s="430"/>
      <c r="AG172" s="430"/>
      <c r="AH172" s="430"/>
      <c r="AI172" s="430"/>
      <c r="AJ172" s="430"/>
      <c r="AK172" s="430"/>
      <c r="AL172" s="430"/>
      <c r="AM172" s="430"/>
      <c r="AN172" s="430"/>
      <c r="AO172" s="430"/>
      <c r="AP172" s="430"/>
      <c r="AQ172" s="430"/>
      <c r="AR172" s="430"/>
      <c r="AS172" s="430"/>
      <c r="AT172" s="430"/>
      <c r="AU172" s="430"/>
      <c r="AV172" s="430"/>
      <c r="AW172" s="430"/>
    </row>
    <row r="173" spans="20:49" s="429" customFormat="1" hidden="1">
      <c r="T173" s="430"/>
      <c r="U173" s="430"/>
      <c r="V173" s="430"/>
      <c r="W173" s="430"/>
      <c r="X173" s="430"/>
      <c r="Y173" s="430"/>
      <c r="Z173" s="430"/>
      <c r="AA173" s="430"/>
      <c r="AB173" s="430"/>
      <c r="AC173" s="430"/>
      <c r="AD173" s="430"/>
      <c r="AE173" s="430"/>
      <c r="AF173" s="430"/>
      <c r="AG173" s="430"/>
      <c r="AH173" s="430"/>
      <c r="AI173" s="430"/>
      <c r="AJ173" s="430"/>
      <c r="AK173" s="430"/>
      <c r="AL173" s="430"/>
      <c r="AM173" s="430"/>
      <c r="AN173" s="430"/>
      <c r="AO173" s="430"/>
      <c r="AP173" s="430"/>
      <c r="AQ173" s="430"/>
      <c r="AR173" s="430"/>
      <c r="AS173" s="430"/>
      <c r="AT173" s="430"/>
      <c r="AU173" s="430"/>
      <c r="AV173" s="430"/>
      <c r="AW173" s="430"/>
    </row>
    <row r="174" spans="20:49" s="429" customFormat="1" hidden="1">
      <c r="T174" s="430"/>
      <c r="U174" s="430"/>
      <c r="V174" s="430"/>
      <c r="W174" s="430"/>
      <c r="X174" s="430"/>
      <c r="Y174" s="430"/>
      <c r="Z174" s="430"/>
      <c r="AA174" s="430"/>
      <c r="AB174" s="430"/>
      <c r="AC174" s="430"/>
      <c r="AD174" s="430"/>
      <c r="AE174" s="430"/>
      <c r="AF174" s="430"/>
      <c r="AG174" s="430"/>
      <c r="AH174" s="430"/>
      <c r="AI174" s="430"/>
      <c r="AJ174" s="430"/>
      <c r="AK174" s="430"/>
      <c r="AL174" s="430"/>
      <c r="AM174" s="430"/>
      <c r="AN174" s="430"/>
      <c r="AO174" s="430"/>
      <c r="AP174" s="430"/>
      <c r="AQ174" s="430"/>
      <c r="AR174" s="430"/>
      <c r="AS174" s="430"/>
      <c r="AT174" s="430"/>
      <c r="AU174" s="430"/>
      <c r="AV174" s="430"/>
      <c r="AW174" s="430"/>
    </row>
    <row r="175" spans="20:49" s="429" customFormat="1" hidden="1">
      <c r="T175" s="430"/>
      <c r="U175" s="430"/>
      <c r="V175" s="430"/>
      <c r="W175" s="430"/>
      <c r="X175" s="430"/>
      <c r="Y175" s="430"/>
      <c r="Z175" s="430"/>
      <c r="AA175" s="430"/>
      <c r="AB175" s="430"/>
      <c r="AC175" s="430"/>
      <c r="AD175" s="430"/>
      <c r="AE175" s="430"/>
      <c r="AF175" s="430"/>
      <c r="AG175" s="430"/>
      <c r="AH175" s="430"/>
      <c r="AI175" s="430"/>
      <c r="AJ175" s="430"/>
      <c r="AK175" s="430"/>
      <c r="AL175" s="430"/>
      <c r="AM175" s="430"/>
      <c r="AN175" s="430"/>
      <c r="AO175" s="430"/>
      <c r="AP175" s="430"/>
      <c r="AQ175" s="430"/>
      <c r="AR175" s="430"/>
      <c r="AS175" s="430"/>
      <c r="AT175" s="430"/>
      <c r="AU175" s="430"/>
      <c r="AV175" s="430"/>
      <c r="AW175" s="430"/>
    </row>
    <row r="176" spans="20:49" s="429" customFormat="1" hidden="1">
      <c r="T176" s="430"/>
      <c r="U176" s="430"/>
      <c r="V176" s="430"/>
      <c r="W176" s="430"/>
      <c r="X176" s="430"/>
      <c r="Y176" s="430"/>
      <c r="Z176" s="430"/>
      <c r="AA176" s="430"/>
      <c r="AB176" s="430"/>
      <c r="AC176" s="430"/>
      <c r="AD176" s="430"/>
      <c r="AE176" s="430"/>
      <c r="AF176" s="430"/>
      <c r="AG176" s="430"/>
      <c r="AH176" s="430"/>
      <c r="AI176" s="430"/>
      <c r="AJ176" s="430"/>
      <c r="AK176" s="430"/>
      <c r="AL176" s="430"/>
      <c r="AM176" s="430"/>
      <c r="AN176" s="430"/>
      <c r="AO176" s="430"/>
      <c r="AP176" s="430"/>
      <c r="AQ176" s="430"/>
      <c r="AR176" s="430"/>
      <c r="AS176" s="430"/>
      <c r="AT176" s="430"/>
      <c r="AU176" s="430"/>
      <c r="AV176" s="430"/>
      <c r="AW176" s="430"/>
    </row>
    <row r="177" spans="20:49" s="429" customFormat="1" hidden="1">
      <c r="T177" s="430"/>
      <c r="U177" s="430"/>
      <c r="V177" s="430"/>
      <c r="W177" s="430"/>
      <c r="X177" s="430"/>
      <c r="Y177" s="430"/>
      <c r="Z177" s="430"/>
      <c r="AA177" s="430"/>
      <c r="AB177" s="430"/>
      <c r="AC177" s="430"/>
      <c r="AD177" s="430"/>
      <c r="AE177" s="430"/>
      <c r="AF177" s="430"/>
      <c r="AG177" s="430"/>
      <c r="AH177" s="430"/>
      <c r="AI177" s="430"/>
      <c r="AJ177" s="430"/>
      <c r="AK177" s="430"/>
      <c r="AL177" s="430"/>
      <c r="AM177" s="430"/>
      <c r="AN177" s="430"/>
      <c r="AO177" s="430"/>
      <c r="AP177" s="430"/>
      <c r="AQ177" s="430"/>
      <c r="AR177" s="430"/>
      <c r="AS177" s="430"/>
      <c r="AT177" s="430"/>
      <c r="AU177" s="430"/>
      <c r="AV177" s="430"/>
      <c r="AW177" s="430"/>
    </row>
    <row r="178" spans="20:49" s="429" customFormat="1" hidden="1">
      <c r="T178" s="430"/>
      <c r="U178" s="430"/>
      <c r="V178" s="430"/>
      <c r="W178" s="430"/>
      <c r="X178" s="430"/>
      <c r="Y178" s="430"/>
      <c r="Z178" s="430"/>
      <c r="AA178" s="430"/>
      <c r="AB178" s="430"/>
      <c r="AC178" s="430"/>
      <c r="AD178" s="430"/>
      <c r="AE178" s="430"/>
      <c r="AF178" s="430"/>
      <c r="AG178" s="430"/>
      <c r="AH178" s="430"/>
      <c r="AI178" s="430"/>
      <c r="AJ178" s="430"/>
      <c r="AK178" s="430"/>
      <c r="AL178" s="430"/>
      <c r="AM178" s="430"/>
      <c r="AN178" s="430"/>
      <c r="AO178" s="430"/>
      <c r="AP178" s="430"/>
      <c r="AQ178" s="430"/>
      <c r="AR178" s="430"/>
      <c r="AS178" s="430"/>
      <c r="AT178" s="430"/>
      <c r="AU178" s="430"/>
      <c r="AV178" s="430"/>
      <c r="AW178" s="430"/>
    </row>
    <row r="179" spans="3:49" s="429" customFormat="1" hidden="1">
      <c r="C179" s="430"/>
      <c r="D179" s="430"/>
      <c r="E179" s="430"/>
      <c r="F179" s="430"/>
      <c r="G179" s="430"/>
      <c r="H179" s="430"/>
      <c r="T179" s="430"/>
      <c r="U179" s="430"/>
      <c r="V179" s="430"/>
      <c r="W179" s="430"/>
      <c r="X179" s="430"/>
      <c r="Y179" s="430"/>
      <c r="Z179" s="430"/>
      <c r="AA179" s="430"/>
      <c r="AB179" s="430"/>
      <c r="AC179" s="430"/>
      <c r="AD179" s="430"/>
      <c r="AE179" s="430"/>
      <c r="AF179" s="430"/>
      <c r="AG179" s="430"/>
      <c r="AH179" s="430"/>
      <c r="AI179" s="430"/>
      <c r="AJ179" s="430"/>
      <c r="AK179" s="430"/>
      <c r="AL179" s="430"/>
      <c r="AM179" s="430"/>
      <c r="AN179" s="430"/>
      <c r="AO179" s="430"/>
      <c r="AP179" s="430"/>
      <c r="AQ179" s="430"/>
      <c r="AR179" s="430"/>
      <c r="AS179" s="430"/>
      <c r="AT179" s="430"/>
      <c r="AU179" s="430"/>
      <c r="AV179" s="430"/>
      <c r="AW179" s="430"/>
    </row>
    <row r="180" spans="3:49" s="429" customFormat="1" hidden="1">
      <c r="C180" s="430"/>
      <c r="D180" s="430"/>
      <c r="E180" s="430"/>
      <c r="F180" s="430"/>
      <c r="G180" s="430"/>
      <c r="H180" s="430"/>
      <c r="I180" s="430"/>
      <c r="J180" s="430"/>
      <c r="K180" s="430"/>
      <c r="L180" s="430"/>
      <c r="M180" s="430"/>
      <c r="N180" s="430"/>
      <c r="O180" s="430"/>
      <c r="P180" s="430"/>
      <c r="Q180" s="430"/>
      <c r="R180" s="430"/>
      <c r="T180" s="430"/>
      <c r="U180" s="430"/>
      <c r="V180" s="430"/>
      <c r="W180" s="430"/>
      <c r="X180" s="430"/>
      <c r="Y180" s="430"/>
      <c r="Z180" s="430"/>
      <c r="AA180" s="430"/>
      <c r="AB180" s="430"/>
      <c r="AC180" s="430"/>
      <c r="AD180" s="430"/>
      <c r="AE180" s="430"/>
      <c r="AF180" s="430"/>
      <c r="AG180" s="430"/>
      <c r="AH180" s="430"/>
      <c r="AI180" s="430"/>
      <c r="AJ180" s="430"/>
      <c r="AK180" s="430"/>
      <c r="AL180" s="430"/>
      <c r="AM180" s="430"/>
      <c r="AN180" s="430"/>
      <c r="AO180" s="430"/>
      <c r="AP180" s="430"/>
      <c r="AQ180" s="430"/>
      <c r="AR180" s="430"/>
      <c r="AS180" s="430"/>
      <c r="AT180" s="430"/>
      <c r="AU180" s="430"/>
      <c r="AV180" s="430"/>
      <c r="AW180" s="430"/>
    </row>
    <row r="181" spans="3:49" s="429" customFormat="1" hidden="1">
      <c r="C181" s="430"/>
      <c r="D181" s="430"/>
      <c r="E181" s="430"/>
      <c r="F181" s="430"/>
      <c r="G181" s="430"/>
      <c r="H181" s="430"/>
      <c r="I181" s="430"/>
      <c r="J181" s="430"/>
      <c r="K181" s="430"/>
      <c r="L181" s="430"/>
      <c r="M181" s="430"/>
      <c r="N181" s="430"/>
      <c r="O181" s="430"/>
      <c r="P181" s="430"/>
      <c r="Q181" s="430"/>
      <c r="R181" s="430"/>
      <c r="T181" s="430"/>
      <c r="U181" s="430"/>
      <c r="V181" s="430"/>
      <c r="W181" s="430"/>
      <c r="X181" s="430"/>
      <c r="Y181" s="430"/>
      <c r="Z181" s="430"/>
      <c r="AA181" s="430"/>
      <c r="AB181" s="430"/>
      <c r="AC181" s="430"/>
      <c r="AD181" s="430"/>
      <c r="AE181" s="430"/>
      <c r="AF181" s="430"/>
      <c r="AG181" s="430"/>
      <c r="AH181" s="430"/>
      <c r="AI181" s="430"/>
      <c r="AJ181" s="430"/>
      <c r="AK181" s="430"/>
      <c r="AL181" s="430"/>
      <c r="AM181" s="430"/>
      <c r="AN181" s="430"/>
      <c r="AO181" s="430"/>
      <c r="AP181" s="430"/>
      <c r="AQ181" s="430"/>
      <c r="AR181" s="430"/>
      <c r="AS181" s="430"/>
      <c r="AT181" s="430"/>
      <c r="AU181" s="430"/>
      <c r="AV181" s="430"/>
      <c r="AW181" s="430"/>
    </row>
    <row r="182" spans="3:49" s="429" customFormat="1" hidden="1">
      <c r="C182" s="430"/>
      <c r="D182" s="430"/>
      <c r="E182" s="430"/>
      <c r="F182" s="430"/>
      <c r="G182" s="430"/>
      <c r="H182" s="430"/>
      <c r="I182" s="430"/>
      <c r="J182" s="430"/>
      <c r="K182" s="349"/>
      <c r="L182" s="349"/>
      <c r="M182" s="349"/>
      <c r="N182" s="349"/>
      <c r="O182" s="430"/>
      <c r="P182" s="430"/>
      <c r="Q182" s="430"/>
      <c r="R182" s="430"/>
      <c r="T182" s="430"/>
      <c r="U182" s="430"/>
      <c r="V182" s="430"/>
      <c r="W182" s="430"/>
      <c r="X182" s="430"/>
      <c r="Y182" s="430"/>
      <c r="Z182" s="430"/>
      <c r="AA182" s="430"/>
      <c r="AB182" s="430"/>
      <c r="AC182" s="430"/>
      <c r="AD182" s="430"/>
      <c r="AE182" s="430"/>
      <c r="AF182" s="430"/>
      <c r="AG182" s="430"/>
      <c r="AH182" s="430"/>
      <c r="AI182" s="430"/>
      <c r="AJ182" s="430"/>
      <c r="AK182" s="430"/>
      <c r="AL182" s="430"/>
      <c r="AM182" s="430"/>
      <c r="AN182" s="430"/>
      <c r="AO182" s="430"/>
      <c r="AP182" s="430"/>
      <c r="AQ182" s="430"/>
      <c r="AR182" s="430"/>
      <c r="AS182" s="430"/>
      <c r="AT182" s="430"/>
      <c r="AU182" s="430"/>
      <c r="AV182" s="430"/>
      <c r="AW182" s="430"/>
    </row>
    <row r="183" spans="3:49" s="429" customFormat="1" hidden="1">
      <c r="C183" s="430"/>
      <c r="D183" s="430"/>
      <c r="E183" s="430"/>
      <c r="F183" s="430"/>
      <c r="G183" s="430"/>
      <c r="H183" s="430"/>
      <c r="I183" s="430"/>
      <c r="J183" s="430"/>
      <c r="K183" s="349"/>
      <c r="L183" s="349"/>
      <c r="M183" s="349"/>
      <c r="N183" s="349"/>
      <c r="O183" s="430"/>
      <c r="P183" s="430"/>
      <c r="Q183" s="430"/>
      <c r="R183" s="430"/>
      <c r="T183" s="430"/>
      <c r="U183" s="430"/>
      <c r="V183" s="430"/>
      <c r="W183" s="430"/>
      <c r="X183" s="430"/>
      <c r="Y183" s="430"/>
      <c r="Z183" s="430"/>
      <c r="AA183" s="430"/>
      <c r="AB183" s="430"/>
      <c r="AC183" s="430"/>
      <c r="AD183" s="430"/>
      <c r="AE183" s="430"/>
      <c r="AF183" s="430"/>
      <c r="AG183" s="430"/>
      <c r="AH183" s="430"/>
      <c r="AI183" s="430"/>
      <c r="AJ183" s="430"/>
      <c r="AK183" s="430"/>
      <c r="AL183" s="430"/>
      <c r="AM183" s="430"/>
      <c r="AN183" s="430"/>
      <c r="AO183" s="430"/>
      <c r="AP183" s="430"/>
      <c r="AQ183" s="430"/>
      <c r="AR183" s="430"/>
      <c r="AS183" s="430"/>
      <c r="AT183" s="430"/>
      <c r="AU183" s="430"/>
      <c r="AV183" s="430"/>
      <c r="AW183" s="430"/>
    </row>
    <row r="184" spans="3:244" s="429" customFormat="1" hidden="1">
      <c r="C184" s="430"/>
      <c r="D184" s="430"/>
      <c r="E184" s="430"/>
      <c r="F184" s="430"/>
      <c r="G184" s="430"/>
      <c r="H184" s="430"/>
      <c r="I184" s="430"/>
      <c r="J184" s="430"/>
      <c r="K184" s="480"/>
      <c r="L184" s="349"/>
      <c r="M184" s="349"/>
      <c r="N184" s="349"/>
      <c r="O184" s="430"/>
      <c r="P184" s="430"/>
      <c r="Q184" s="430"/>
      <c r="R184" s="430"/>
      <c r="S184" s="430"/>
      <c r="T184" s="430"/>
      <c r="U184" s="430"/>
      <c r="V184" s="430"/>
      <c r="W184" s="430"/>
      <c r="X184" s="430"/>
      <c r="Y184" s="430"/>
      <c r="Z184" s="430"/>
      <c r="AA184" s="430"/>
      <c r="AB184" s="430"/>
      <c r="AC184" s="430"/>
      <c r="AD184" s="430"/>
      <c r="AE184" s="430"/>
      <c r="AF184" s="430"/>
      <c r="AG184" s="430"/>
      <c r="AH184" s="430"/>
      <c r="AI184" s="430"/>
      <c r="AJ184" s="430"/>
      <c r="AK184" s="430"/>
      <c r="AL184" s="430"/>
      <c r="AM184" s="430"/>
      <c r="AN184" s="430"/>
      <c r="AO184" s="430"/>
      <c r="AP184" s="430"/>
      <c r="AQ184" s="430"/>
      <c r="AR184" s="430"/>
      <c r="AS184" s="430"/>
      <c r="AT184" s="430"/>
      <c r="AU184" s="430"/>
      <c r="AV184" s="430"/>
      <c r="AW184" s="430"/>
      <c r="AX184" s="430"/>
      <c r="AY184" s="430"/>
      <c r="AZ184" s="430"/>
      <c r="BA184" s="430"/>
      <c r="BB184" s="430"/>
      <c r="BC184" s="430"/>
      <c r="BD184" s="430"/>
      <c r="BE184" s="430"/>
      <c r="BF184" s="430"/>
      <c r="BG184" s="430"/>
      <c r="BH184" s="430"/>
      <c r="BI184" s="430"/>
      <c r="BJ184" s="430"/>
      <c r="BK184" s="430"/>
      <c r="BL184" s="430"/>
      <c r="BM184" s="430"/>
      <c r="BN184" s="430"/>
      <c r="BO184" s="430"/>
      <c r="BP184" s="430"/>
      <c r="BQ184" s="430"/>
      <c r="BR184" s="430"/>
      <c r="BS184" s="430"/>
      <c r="BT184" s="430"/>
      <c r="BU184" s="430"/>
      <c r="BV184" s="430"/>
      <c r="BW184" s="430"/>
      <c r="BX184" s="430"/>
      <c r="BY184" s="430"/>
      <c r="BZ184" s="430"/>
      <c r="CA184" s="430"/>
      <c r="CB184" s="430"/>
      <c r="CC184" s="430"/>
      <c r="CD184" s="430"/>
      <c r="CE184" s="430"/>
      <c r="CF184" s="430"/>
      <c r="CG184" s="430"/>
      <c r="CH184" s="430"/>
      <c r="CI184" s="430"/>
      <c r="CJ184" s="430"/>
      <c r="CK184" s="430"/>
      <c r="CL184" s="430"/>
      <c r="CM184" s="430"/>
      <c r="CN184" s="430"/>
      <c r="CO184" s="430"/>
      <c r="CP184" s="430"/>
      <c r="CQ184" s="430"/>
      <c r="CR184" s="430"/>
      <c r="CS184" s="430"/>
      <c r="CT184" s="430"/>
      <c r="CU184" s="430"/>
      <c r="CV184" s="430"/>
      <c r="CW184" s="430"/>
      <c r="CX184" s="430"/>
      <c r="CY184" s="430"/>
      <c r="CZ184" s="430"/>
      <c r="DA184" s="430"/>
      <c r="DB184" s="430"/>
      <c r="DC184" s="430"/>
      <c r="DD184" s="430"/>
      <c r="DE184" s="430"/>
      <c r="DF184" s="430"/>
      <c r="DG184" s="430"/>
      <c r="DH184" s="430"/>
      <c r="DI184" s="430"/>
      <c r="DJ184" s="430"/>
      <c r="DK184" s="430"/>
      <c r="DL184" s="430"/>
      <c r="DM184" s="430"/>
      <c r="DN184" s="430"/>
      <c r="DO184" s="430"/>
      <c r="DP184" s="430"/>
      <c r="DQ184" s="430"/>
      <c r="DR184" s="430"/>
      <c r="DS184" s="430"/>
      <c r="DT184" s="430"/>
      <c r="DU184" s="430"/>
      <c r="DV184" s="430"/>
      <c r="DW184" s="430"/>
      <c r="DX184" s="430"/>
      <c r="DY184" s="430"/>
      <c r="DZ184" s="430"/>
      <c r="EA184" s="430"/>
      <c r="EB184" s="430"/>
      <c r="EC184" s="430"/>
      <c r="ED184" s="430"/>
      <c r="EE184" s="430"/>
      <c r="EF184" s="430"/>
      <c r="EG184" s="430"/>
      <c r="EH184" s="430"/>
      <c r="EI184" s="430"/>
      <c r="EJ184" s="430"/>
      <c r="EK184" s="430"/>
      <c r="EL184" s="430"/>
      <c r="EM184" s="430"/>
      <c r="EN184" s="430"/>
      <c r="EO184" s="430"/>
      <c r="EP184" s="430"/>
      <c r="EQ184" s="430"/>
      <c r="ER184" s="430"/>
      <c r="ES184" s="430"/>
      <c r="ET184" s="430"/>
      <c r="EU184" s="430"/>
      <c r="EV184" s="430"/>
      <c r="EW184" s="430"/>
      <c r="EX184" s="430"/>
      <c r="EY184" s="430"/>
      <c r="EZ184" s="430"/>
      <c r="FA184" s="430"/>
      <c r="FB184" s="430"/>
      <c r="FC184" s="430"/>
      <c r="FD184" s="430"/>
      <c r="FE184" s="430"/>
      <c r="FF184" s="430"/>
      <c r="FG184" s="430"/>
      <c r="FH184" s="430"/>
      <c r="FI184" s="430"/>
      <c r="FJ184" s="430"/>
      <c r="FK184" s="430"/>
      <c r="FL184" s="430"/>
      <c r="FM184" s="430"/>
      <c r="FN184" s="430"/>
      <c r="FO184" s="430"/>
      <c r="FP184" s="430"/>
      <c r="FQ184" s="430"/>
      <c r="FR184" s="430"/>
      <c r="FS184" s="430"/>
      <c r="FT184" s="430"/>
      <c r="FU184" s="430"/>
      <c r="FV184" s="430"/>
      <c r="FW184" s="430"/>
      <c r="FX184" s="430"/>
      <c r="FY184" s="430"/>
      <c r="FZ184" s="430"/>
      <c r="GA184" s="430"/>
      <c r="GB184" s="430"/>
      <c r="GC184" s="430"/>
      <c r="GD184" s="430"/>
      <c r="GE184" s="430"/>
      <c r="GF184" s="430"/>
      <c r="GG184" s="430"/>
      <c r="GH184" s="430"/>
      <c r="GI184" s="430"/>
      <c r="GJ184" s="430"/>
      <c r="GK184" s="430"/>
      <c r="GL184" s="430"/>
      <c r="GM184" s="430"/>
      <c r="GN184" s="430"/>
      <c r="GO184" s="430"/>
      <c r="GP184" s="430"/>
      <c r="GQ184" s="430"/>
      <c r="GR184" s="430"/>
      <c r="GS184" s="430"/>
      <c r="GT184" s="430"/>
      <c r="GU184" s="430"/>
      <c r="GV184" s="430"/>
      <c r="GW184" s="430"/>
      <c r="GX184" s="430"/>
      <c r="GY184" s="430"/>
      <c r="GZ184" s="430"/>
      <c r="HA184" s="430"/>
      <c r="HB184" s="430"/>
      <c r="HC184" s="430"/>
      <c r="HD184" s="430"/>
      <c r="HE184" s="430"/>
      <c r="HF184" s="430"/>
      <c r="HG184" s="430"/>
      <c r="HH184" s="430"/>
      <c r="HI184" s="430"/>
      <c r="HJ184" s="430"/>
      <c r="HK184" s="430"/>
      <c r="HL184" s="430"/>
      <c r="HM184" s="430"/>
      <c r="HN184" s="430"/>
      <c r="HO184" s="430"/>
      <c r="HP184" s="430"/>
      <c r="HQ184" s="430"/>
      <c r="HR184" s="430"/>
      <c r="HS184" s="430"/>
      <c r="HT184" s="430"/>
      <c r="HU184" s="430"/>
      <c r="HV184" s="430"/>
      <c r="HW184" s="430"/>
      <c r="HX184" s="430"/>
      <c r="HY184" s="430"/>
      <c r="HZ184" s="430"/>
      <c r="IA184" s="430"/>
      <c r="IB184" s="430"/>
      <c r="IC184" s="430"/>
      <c r="ID184" s="430"/>
      <c r="IE184" s="430"/>
      <c r="IF184" s="430"/>
      <c r="IG184" s="430"/>
      <c r="IH184" s="430"/>
      <c r="II184" s="430"/>
      <c r="IJ184" s="430"/>
    </row>
    <row r="185" spans="3:244" s="429" customFormat="1" hidden="1">
      <c r="C185" s="430"/>
      <c r="D185" s="430"/>
      <c r="E185" s="430"/>
      <c r="F185" s="430"/>
      <c r="G185" s="430"/>
      <c r="H185" s="430"/>
      <c r="I185" s="430"/>
      <c r="J185" s="430"/>
      <c r="K185" s="349"/>
      <c r="L185" s="349"/>
      <c r="M185" s="349"/>
      <c r="N185" s="349"/>
      <c r="O185" s="430"/>
      <c r="P185" s="430"/>
      <c r="Q185" s="430"/>
      <c r="R185" s="430"/>
      <c r="S185" s="430"/>
      <c r="T185" s="430"/>
      <c r="U185" s="430"/>
      <c r="V185" s="430"/>
      <c r="W185" s="430"/>
      <c r="X185" s="430"/>
      <c r="Y185" s="430"/>
      <c r="Z185" s="430"/>
      <c r="AA185" s="430"/>
      <c r="AB185" s="430"/>
      <c r="AC185" s="430"/>
      <c r="AD185" s="430"/>
      <c r="AE185" s="430"/>
      <c r="AF185" s="430"/>
      <c r="AG185" s="430"/>
      <c r="AH185" s="430"/>
      <c r="AI185" s="430"/>
      <c r="AJ185" s="430"/>
      <c r="AK185" s="430"/>
      <c r="AL185" s="430"/>
      <c r="AM185" s="430"/>
      <c r="AN185" s="430"/>
      <c r="AO185" s="430"/>
      <c r="AP185" s="430"/>
      <c r="AQ185" s="430"/>
      <c r="AR185" s="430"/>
      <c r="AS185" s="430"/>
      <c r="AT185" s="430"/>
      <c r="AU185" s="430"/>
      <c r="AV185" s="430"/>
      <c r="AW185" s="430"/>
      <c r="AX185" s="430"/>
      <c r="AY185" s="430"/>
      <c r="AZ185" s="430"/>
      <c r="BA185" s="430"/>
      <c r="BB185" s="430"/>
      <c r="BC185" s="430"/>
      <c r="BD185" s="430"/>
      <c r="BE185" s="430"/>
      <c r="BF185" s="430"/>
      <c r="BG185" s="430"/>
      <c r="BH185" s="430"/>
      <c r="BI185" s="430"/>
      <c r="BJ185" s="430"/>
      <c r="BK185" s="430"/>
      <c r="BL185" s="430"/>
      <c r="BM185" s="430"/>
      <c r="BN185" s="430"/>
      <c r="BO185" s="430"/>
      <c r="BP185" s="430"/>
      <c r="BQ185" s="430"/>
      <c r="BR185" s="430"/>
      <c r="BS185" s="430"/>
      <c r="BT185" s="430"/>
      <c r="BU185" s="430"/>
      <c r="BV185" s="430"/>
      <c r="BW185" s="430"/>
      <c r="BX185" s="430"/>
      <c r="BY185" s="430"/>
      <c r="BZ185" s="430"/>
      <c r="CA185" s="430"/>
      <c r="CB185" s="430"/>
      <c r="CC185" s="430"/>
      <c r="CD185" s="430"/>
      <c r="CE185" s="430"/>
      <c r="CF185" s="430"/>
      <c r="CG185" s="430"/>
      <c r="CH185" s="430"/>
      <c r="CI185" s="430"/>
      <c r="CJ185" s="430"/>
      <c r="CK185" s="430"/>
      <c r="CL185" s="430"/>
      <c r="CM185" s="430"/>
      <c r="CN185" s="430"/>
      <c r="CO185" s="430"/>
      <c r="CP185" s="430"/>
      <c r="CQ185" s="430"/>
      <c r="CR185" s="430"/>
      <c r="CS185" s="430"/>
      <c r="CT185" s="430"/>
      <c r="CU185" s="430"/>
      <c r="CV185" s="430"/>
      <c r="CW185" s="430"/>
      <c r="CX185" s="430"/>
      <c r="CY185" s="430"/>
      <c r="CZ185" s="430"/>
      <c r="DA185" s="430"/>
      <c r="DB185" s="430"/>
      <c r="DC185" s="430"/>
      <c r="DD185" s="430"/>
      <c r="DE185" s="430"/>
      <c r="DF185" s="430"/>
      <c r="DG185" s="430"/>
      <c r="DH185" s="430"/>
      <c r="DI185" s="430"/>
      <c r="DJ185" s="430"/>
      <c r="DK185" s="430"/>
      <c r="DL185" s="430"/>
      <c r="DM185" s="430"/>
      <c r="DN185" s="430"/>
      <c r="DO185" s="430"/>
      <c r="DP185" s="430"/>
      <c r="DQ185" s="430"/>
      <c r="DR185" s="430"/>
      <c r="DS185" s="430"/>
      <c r="DT185" s="430"/>
      <c r="DU185" s="430"/>
      <c r="DV185" s="430"/>
      <c r="DW185" s="430"/>
      <c r="DX185" s="430"/>
      <c r="DY185" s="430"/>
      <c r="DZ185" s="430"/>
      <c r="EA185" s="430"/>
      <c r="EB185" s="430"/>
      <c r="EC185" s="430"/>
      <c r="ED185" s="430"/>
      <c r="EE185" s="430"/>
      <c r="EF185" s="430"/>
      <c r="EG185" s="430"/>
      <c r="EH185" s="430"/>
      <c r="EI185" s="430"/>
      <c r="EJ185" s="430"/>
      <c r="EK185" s="430"/>
      <c r="EL185" s="430"/>
      <c r="EM185" s="430"/>
      <c r="EN185" s="430"/>
      <c r="EO185" s="430"/>
      <c r="EP185" s="430"/>
      <c r="EQ185" s="430"/>
      <c r="ER185" s="430"/>
      <c r="ES185" s="430"/>
      <c r="ET185" s="430"/>
      <c r="EU185" s="430"/>
      <c r="EV185" s="430"/>
      <c r="EW185" s="430"/>
      <c r="EX185" s="430"/>
      <c r="EY185" s="430"/>
      <c r="EZ185" s="430"/>
      <c r="FA185" s="430"/>
      <c r="FB185" s="430"/>
      <c r="FC185" s="430"/>
      <c r="FD185" s="430"/>
      <c r="FE185" s="430"/>
      <c r="FF185" s="430"/>
      <c r="FG185" s="430"/>
      <c r="FH185" s="430"/>
      <c r="FI185" s="430"/>
      <c r="FJ185" s="430"/>
      <c r="FK185" s="430"/>
      <c r="FL185" s="430"/>
      <c r="FM185" s="430"/>
      <c r="FN185" s="430"/>
      <c r="FO185" s="430"/>
      <c r="FP185" s="430"/>
      <c r="FQ185" s="430"/>
      <c r="FR185" s="430"/>
      <c r="FS185" s="430"/>
      <c r="FT185" s="430"/>
      <c r="FU185" s="430"/>
      <c r="FV185" s="430"/>
      <c r="FW185" s="430"/>
      <c r="FX185" s="430"/>
      <c r="FY185" s="430"/>
      <c r="FZ185" s="430"/>
      <c r="GA185" s="430"/>
      <c r="GB185" s="430"/>
      <c r="GC185" s="430"/>
      <c r="GD185" s="430"/>
      <c r="GE185" s="430"/>
      <c r="GF185" s="430"/>
      <c r="GG185" s="430"/>
      <c r="GH185" s="430"/>
      <c r="GI185" s="430"/>
      <c r="GJ185" s="430"/>
      <c r="GK185" s="430"/>
      <c r="GL185" s="430"/>
      <c r="GM185" s="430"/>
      <c r="GN185" s="430"/>
      <c r="GO185" s="430"/>
      <c r="GP185" s="430"/>
      <c r="GQ185" s="430"/>
      <c r="GR185" s="430"/>
      <c r="GS185" s="430"/>
      <c r="GT185" s="430"/>
      <c r="GU185" s="430"/>
      <c r="GV185" s="430"/>
      <c r="GW185" s="430"/>
      <c r="GX185" s="430"/>
      <c r="GY185" s="430"/>
      <c r="GZ185" s="430"/>
      <c r="HA185" s="430"/>
      <c r="HB185" s="430"/>
      <c r="HC185" s="430"/>
      <c r="HD185" s="430"/>
      <c r="HE185" s="430"/>
      <c r="HF185" s="430"/>
      <c r="HG185" s="430"/>
      <c r="HH185" s="430"/>
      <c r="HI185" s="430"/>
      <c r="HJ185" s="430"/>
      <c r="HK185" s="430"/>
      <c r="HL185" s="430"/>
      <c r="HM185" s="430"/>
      <c r="HN185" s="430"/>
      <c r="HO185" s="430"/>
      <c r="HP185" s="430"/>
      <c r="HQ185" s="430"/>
      <c r="HR185" s="430"/>
      <c r="HS185" s="430"/>
      <c r="HT185" s="430"/>
      <c r="HU185" s="430"/>
      <c r="HV185" s="430"/>
      <c r="HW185" s="430"/>
      <c r="HX185" s="430"/>
      <c r="HY185" s="430"/>
      <c r="HZ185" s="430"/>
      <c r="IA185" s="430"/>
      <c r="IB185" s="430"/>
      <c r="IC185" s="430"/>
      <c r="ID185" s="430"/>
      <c r="IE185" s="430"/>
      <c r="IF185" s="430"/>
      <c r="IG185" s="430"/>
      <c r="IH185" s="430"/>
      <c r="II185" s="430"/>
      <c r="IJ185" s="430"/>
    </row>
    <row r="186" spans="11:14" customHeight="1" hidden="1">
      <c r="K186" s="349"/>
      <c r="L186" s="349"/>
      <c r="M186" s="349"/>
      <c r="N186" s="349"/>
    </row>
    <row r="187" spans="11:14" customHeight="1" hidden="1">
      <c r="K187" s="349"/>
      <c r="L187" s="349"/>
      <c r="M187" s="349"/>
      <c r="N187" s="349"/>
    </row>
    <row r="188" spans="11:14" ht="409.5" customHeight="1" hidden="1">
      <c r="K188" s="349"/>
      <c r="L188" s="349"/>
      <c r="M188" s="349"/>
      <c r="N188" s="349"/>
    </row>
    <row r="189" spans="11:14" ht="409.5" customHeight="1" hidden="1">
      <c r="K189" s="349"/>
      <c r="L189" s="349"/>
      <c r="M189" s="349"/>
      <c r="N189" s="349"/>
    </row>
    <row r="190" spans="11:14" ht="409.5" customHeight="1" hidden="1">
      <c r="K190" s="349"/>
      <c r="L190" s="349"/>
      <c r="M190" s="349"/>
      <c r="N190" s="349"/>
    </row>
    <row r="191" spans="11:14" ht="409.5" customHeight="1" hidden="1">
      <c r="K191" s="349"/>
      <c r="L191" s="349"/>
      <c r="M191" s="349"/>
      <c r="N191" s="349"/>
    </row>
    <row r="192" spans="11:14" ht="409.5" customHeight="1" hidden="1">
      <c r="K192" s="349"/>
      <c r="L192" s="349"/>
      <c r="M192" s="349"/>
      <c r="N192" s="349"/>
    </row>
    <row r="193" spans="11:14" ht="409.5" customHeight="1" hidden="1">
      <c r="K193" s="349"/>
      <c r="L193" s="349"/>
      <c r="M193" s="349"/>
      <c r="N193" s="349"/>
    </row>
    <row r="194" spans="11:14" ht="409.5" customHeight="1" hidden="1">
      <c r="K194" s="349"/>
      <c r="L194" s="349"/>
      <c r="M194" s="349"/>
      <c r="N194" s="349"/>
    </row>
    <row r="195" spans="11:14" ht="409.5" customHeight="1" hidden="1">
      <c r="K195" s="481"/>
      <c r="L195" s="481"/>
      <c r="M195" s="481"/>
      <c r="N195" s="481"/>
    </row>
    <row r="196" spans="11:14" ht="409.5" customHeight="1" hidden="1">
      <c r="K196" s="481"/>
      <c r="L196" s="481"/>
      <c r="M196" s="481"/>
      <c r="N196" s="481"/>
    </row>
    <row r="197" spans="11:14" ht="409.5" customHeight="1" hidden="1">
      <c r="K197" s="481"/>
      <c r="L197" s="481"/>
      <c r="M197" s="481"/>
      <c r="N197" s="481"/>
    </row>
    <row r="198" spans="11:14" ht="409.5" customHeight="1" hidden="1">
      <c r="K198" s="481"/>
      <c r="L198" s="481"/>
      <c r="M198" s="481"/>
      <c r="N198" s="481"/>
    </row>
    <row r="199" spans="11:14" ht="409.5" customHeight="1" hidden="1">
      <c r="K199" s="481" t="e">
        <f>((E5*E5)*SUM(E5))+((E5*E5)*(E5+E5))</f>
        <v>#VALUE!</v>
      </c>
      <c r="L199" s="481"/>
      <c r="M199" s="481"/>
      <c r="N199" s="481"/>
    </row>
    <row r="200" spans="11:14" ht="409.5" customHeight="1" hidden="1">
      <c r="K200" s="481" t="e">
        <f>((E5*E5)*SUM(E5))+((E5*E5)*(E5+E5))</f>
        <v>#VALUE!</v>
      </c>
      <c r="L200" s="481"/>
      <c r="M200" s="481"/>
      <c r="N200" s="481"/>
    </row>
    <row r="201" spans="11:14" ht="409.5" customHeight="1" hidden="1">
      <c r="K201" s="481" t="e">
        <f>((E5*E5)*SUM(E5))+((E5*E5)*(E5+E5))</f>
        <v>#VALUE!</v>
      </c>
      <c r="L201" s="481"/>
      <c r="M201" s="481"/>
      <c r="N201" s="481"/>
    </row>
    <row r="202" spans="1:1" ht="409.5" customHeight="1" hidden="1">
      <c r="A202"/>
    </row>
    <row r="203" spans="1:1" ht="409.5" customHeight="1" hidden="1">
      <c r="A203"/>
    </row>
    <row r="204" spans="1:1" ht="409.5" customHeight="1" hidden="1">
      <c r="A204"/>
    </row>
    <row r="205" spans="1:1" ht="409.5" customHeight="1" hidden="1">
      <c r="A205"/>
    </row>
    <row r="206" spans="1:1" ht="409.5" customHeight="1" hidden="1">
      <c r="A206"/>
    </row>
    <row r="207" spans="1:1" ht="409.5" customHeight="1" hidden="1">
      <c r="A207"/>
    </row>
    <row r="208" spans="1:1" hidden="1">
      <c r="A208"/>
    </row>
    <row r="209" spans="1:1" hidden="1">
      <c r="A209"/>
    </row>
    <row r="210" spans="1:1" hidden="1">
      <c r="A210"/>
    </row>
    <row r="211" spans="1:1" hidden="1">
      <c r="A211"/>
    </row>
    <row r="212" spans="1:1" hidden="1">
      <c r="A212"/>
    </row>
    <row r="213" spans="1:1" hidden="1">
      <c r="A213"/>
    </row>
    <row r="214"/>
  </sheetData>
  <sheetProtection algorithmName="SHA-512" hashValue="mKLx0N675PdOSBqH3UbqKltMfbYyHCzplW+1W3LJBervrbWco2Yf3DK+nAR6fNUSSU4Kah06CrGO3U8QdNV/bA==" saltValue="YTFp0ylDFGIfSAy0BxCpNA==" spinCount="100000" sheet="1" objects="1" scenarios="1"/>
  <mergeCells count="1">
    <mergeCell ref="E97:H97"/>
  </mergeCells>
  <pageMargins left="0.7" right="0.7" top="0.75" bottom="0.75" header="0.3" footer="0.3"/>
  <pageSetup orientation="portrait"/>
  <headerFooter scaleWithDoc="1" alignWithMargins="0" differentFirst="0" differentOddEven="0"/>
  <extLst/>
</worksheet>
</file>

<file path=xl/worksheets/sheet1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4"/>
  <dimension ref="A1:AO154"/>
  <sheetViews>
    <sheetView topLeftCell="A2" showGridLines="0" showRowColHeaders="0" zoomScale="80" view="normal" workbookViewId="0">
      <selection pane="topLeft" activeCell="A44" sqref="A44"/>
    </sheetView>
  </sheetViews>
  <sheetFormatPr defaultColWidth="0" zeroHeight="true" defaultRowHeight="15"/>
  <cols>
    <col min="1" max="1" width="15.625" style="822" customWidth="1"/>
    <col min="2" max="2" width="12.625" style="822" customWidth="1"/>
    <col min="3" max="3" width="5.625" style="822" customWidth="1"/>
    <col min="4" max="18" width="12.625" style="822" customWidth="1"/>
    <col min="19" max="19" width="5.625" style="822" customWidth="1"/>
    <col min="20" max="20" width="12.625" style="822" customWidth="1"/>
    <col min="21" max="21" width="11.625" style="822" customWidth="1"/>
    <col min="22" max="28" width="9.125" style="822" hidden="1" customWidth="1"/>
    <col min="29" max="29" width="9.125" hidden="1" customWidth="1"/>
    <col min="30" max="31" width="20.875" style="822" hidden="1" customWidth="1"/>
    <col min="32" max="33" width="19.25390625" style="822" hidden="1" customWidth="1"/>
    <col min="34" max="34" width="10.875" style="822" hidden="1" customWidth="1"/>
    <col min="35" max="38" width="9.25390625" style="822" hidden="1" customWidth="1"/>
    <col min="39" max="39" width="9.125" style="822" hidden="1" customWidth="1"/>
    <col min="40" max="40" width="12.375" style="822" hidden="1" customWidth="1"/>
    <col min="41" max="41" width="0" style="822" hidden="1" customWidth="1"/>
    <col min="42" max="16384" width="9.125" style="822" hidden="1" customWidth="1"/>
  </cols>
  <sheetData>
    <row r="1" customHeight="1"/>
    <row r="2" customHeight="1"/>
    <row r="3" spans="4:40" ht="30" customHeight="1">
      <c r="D3" s="823"/>
      <c r="F3" s="1209" t="str">
        <f>"2020/21 "&amp;'G2. Cover Sheet'!$C$4 &amp; IF('G2. Cover Sheet'!$C$4="UTC",""," School")  &amp;" Post 16 Estimated Funding Calculator"</f>
        <v>2020/21 Mainstream School Post 16 Estimated Funding Calculator</v>
      </c>
      <c r="G3" s="1210"/>
      <c r="H3" s="1210"/>
      <c r="I3" s="1210"/>
      <c r="J3" s="1210"/>
      <c r="K3" s="1210"/>
      <c r="L3" s="1210"/>
      <c r="M3" s="1210"/>
      <c r="N3" s="1210"/>
      <c r="O3" s="1210"/>
      <c r="V3" s="824" t="s">
        <v>539</v>
      </c>
      <c r="W3" s="824" t="s">
        <v>540</v>
      </c>
      <c r="X3" s="824" t="s">
        <v>171</v>
      </c>
      <c r="Y3" s="824" t="s">
        <v>541</v>
      </c>
      <c r="Z3" s="824" t="s">
        <v>542</v>
      </c>
      <c r="AA3" s="824" t="s">
        <v>543</v>
      </c>
      <c r="AB3" s="825" t="s">
        <v>544</v>
      </c>
      <c r="AD3" s="826"/>
      <c r="AE3" s="826"/>
      <c r="AF3" s="827" t="s">
        <v>579</v>
      </c>
      <c r="AG3" s="828"/>
      <c r="AH3" s="828"/>
      <c r="AI3" s="828"/>
      <c r="AJ3" s="828"/>
      <c r="AK3" s="828"/>
      <c r="AL3" s="828"/>
      <c r="AM3" s="826"/>
      <c r="AN3" s="826"/>
    </row>
    <row r="4" spans="4:40" customHeight="1" thickBot="1">
      <c r="D4" s="823"/>
      <c r="E4" s="189"/>
      <c r="F4" s="189"/>
      <c r="G4" s="189"/>
      <c r="H4" s="189"/>
      <c r="I4" s="189"/>
      <c r="J4" s="189"/>
      <c r="K4" s="189"/>
      <c r="L4" s="189"/>
      <c r="M4" s="189"/>
      <c r="N4" s="189"/>
      <c r="O4" s="189"/>
      <c r="P4" s="189"/>
      <c r="Q4" s="190" t="s">
        <v>545</v>
      </c>
      <c r="R4" s="189"/>
      <c r="T4" s="189"/>
      <c r="V4" s="829" t="s">
        <v>172</v>
      </c>
      <c r="W4" s="829">
        <v>301</v>
      </c>
      <c r="X4" s="829" t="s">
        <v>546</v>
      </c>
      <c r="Y4" s="829" t="s">
        <v>547</v>
      </c>
      <c r="Z4" s="830">
        <v>1.12</v>
      </c>
      <c r="AA4" s="830">
        <v>0</v>
      </c>
      <c r="AB4" s="830">
        <v>1.077</v>
      </c>
      <c r="AE4" s="831" t="s">
        <v>461</v>
      </c>
      <c r="AF4" s="831" t="s">
        <v>462</v>
      </c>
      <c r="AG4" s="831" t="s">
        <v>463</v>
      </c>
      <c r="AH4" s="831" t="s">
        <v>464</v>
      </c>
      <c r="AI4" s="831" t="s">
        <v>465</v>
      </c>
      <c r="AJ4" s="831" t="s">
        <v>466</v>
      </c>
      <c r="AK4" s="831" t="s">
        <v>467</v>
      </c>
      <c r="AL4" s="831" t="s">
        <v>468</v>
      </c>
      <c r="AN4" s="822" t="s">
        <v>1345</v>
      </c>
    </row>
    <row r="5" spans="4:41" customHeight="1">
      <c r="D5" s="823"/>
      <c r="E5" s="832"/>
      <c r="F5" s="627" t="s">
        <v>548</v>
      </c>
      <c r="G5" s="628"/>
      <c r="H5" s="1211" t="str">
        <f>IF('G2. Cover Sheet'!$C$8="","",'G2. Cover Sheet'!$C$8)</f>
        <v/>
      </c>
      <c r="I5" s="1212"/>
      <c r="J5" s="1212"/>
      <c r="K5" s="1212"/>
      <c r="L5" s="1212"/>
      <c r="M5" s="1212"/>
      <c r="N5" s="1212"/>
      <c r="O5" s="1213"/>
      <c r="Q5" s="820"/>
      <c r="R5" s="1205" t="s">
        <v>549</v>
      </c>
      <c r="S5" s="1206"/>
      <c r="T5" s="632"/>
      <c r="V5" s="829" t="s">
        <v>174</v>
      </c>
      <c r="W5" s="829">
        <v>302</v>
      </c>
      <c r="X5" s="829" t="s">
        <v>546</v>
      </c>
      <c r="Y5" s="829" t="s">
        <v>547</v>
      </c>
      <c r="Z5" s="830">
        <v>1.12</v>
      </c>
      <c r="AA5" s="830">
        <v>0</v>
      </c>
      <c r="AB5" s="830">
        <v>1.022</v>
      </c>
      <c r="AD5" s="822" t="s">
        <v>1357</v>
      </c>
      <c r="AE5" s="822">
        <f>SUM('G3. Budget'!E$19,'G3. Budget'!E$34,'G3. Budget'!E$70)</f>
        <v>0</v>
      </c>
      <c r="AF5" s="822">
        <f>SUM('G3. Budget'!F$19,'G3. Budget'!F$34,'G3. Budget'!F$70)</f>
        <v>0</v>
      </c>
      <c r="AG5" s="822">
        <f>SUM('G3. Budget'!G$19,'G3. Budget'!G$34,'G3. Budget'!G$70)</f>
        <v>0</v>
      </c>
      <c r="AH5" s="822">
        <f>SUM('G3. Budget'!H$19,'G3. Budget'!H$34,'G3. Budget'!H$70)</f>
        <v>0</v>
      </c>
      <c r="AI5" s="822">
        <f>SUM('G3. Budget'!I$19,'G3. Budget'!I$34,'G3. Budget'!I$70)</f>
        <v>0</v>
      </c>
      <c r="AJ5" s="822">
        <f>SUM('G3. Budget'!J$19,'G3. Budget'!J$34,'G3. Budget'!J$70)</f>
        <v>0</v>
      </c>
      <c r="AK5" s="822">
        <f>SUM('G3. Budget'!K$19,'G3. Budget'!K$34,'G3. Budget'!K$70)</f>
        <v>0</v>
      </c>
      <c r="AL5" s="822">
        <f>SUM('G3. Budget'!L$19,'G3. Budget'!L$34,'G3. Budget'!L$70)</f>
        <v>0</v>
      </c>
      <c r="AN5" s="822" t="s">
        <v>1346</v>
      </c>
      <c r="AO5" s="822" t="b">
        <f>NOT(ISBLANK(PCWOverride))</f>
        <v>0</v>
      </c>
    </row>
    <row r="6" spans="4:41" customHeight="1" thickBot="1">
      <c r="D6" s="823"/>
      <c r="E6" s="832"/>
      <c r="F6" s="623" t="s">
        <v>550</v>
      </c>
      <c r="G6" s="624"/>
      <c r="H6" s="1214"/>
      <c r="I6" s="1215"/>
      <c r="J6" s="1215"/>
      <c r="K6" s="1215"/>
      <c r="L6" s="1215"/>
      <c r="M6" s="1215"/>
      <c r="N6" s="1215"/>
      <c r="O6" s="1216"/>
      <c r="Q6" s="821"/>
      <c r="R6" s="1203" t="s">
        <v>551</v>
      </c>
      <c r="S6" s="1204"/>
      <c r="T6" s="632"/>
      <c r="V6" s="829" t="s">
        <v>175</v>
      </c>
      <c r="W6" s="829">
        <v>370</v>
      </c>
      <c r="X6" s="829" t="s">
        <v>552</v>
      </c>
      <c r="Y6" s="829" t="s">
        <v>553</v>
      </c>
      <c r="Z6" s="830">
        <v>1</v>
      </c>
      <c r="AA6" s="830">
        <v>0</v>
      </c>
      <c r="AB6" s="830">
        <v>1.018</v>
      </c>
      <c r="AD6" s="822" t="s">
        <v>1358</v>
      </c>
      <c r="AE6" s="822">
        <f>NationalRatePerStudent*AE5</f>
        <v>0</v>
      </c>
      <c r="AF6" s="822">
        <f>NationalRatePerStudent*AF5</f>
        <v>0</v>
      </c>
      <c r="AG6" s="822">
        <f>NationalRatePerStudent*AG5</f>
        <v>0</v>
      </c>
      <c r="AH6" s="822">
        <f>NationalRatePerStudent*AH5</f>
        <v>0</v>
      </c>
      <c r="AI6" s="822">
        <f>NationalRatePerStudent*AI5</f>
        <v>0</v>
      </c>
      <c r="AJ6" s="822">
        <f>NationalRatePerStudent*AJ5</f>
        <v>0</v>
      </c>
      <c r="AK6" s="822">
        <f>NationalRatePerStudent*AK5</f>
        <v>0</v>
      </c>
      <c r="AL6" s="822">
        <f>NationalRatePerStudent*AL5</f>
        <v>0</v>
      </c>
      <c r="AN6" s="822" t="s">
        <v>1347</v>
      </c>
      <c r="AO6" s="822" t="b">
        <f>NOT(ISBLANK(ACWOverride))</f>
        <v>0</v>
      </c>
    </row>
    <row r="7" spans="4:41" ht="26.25" customHeight="1" thickBot="1">
      <c r="D7" s="823"/>
      <c r="E7" s="832"/>
      <c r="F7" s="623" t="s">
        <v>554</v>
      </c>
      <c r="G7" s="624"/>
      <c r="H7" s="835" t="e">
        <f>INDEX(LACodes,MATCH(ChosenLA,LANames,0))</f>
        <v>#N/A</v>
      </c>
      <c r="I7" s="1217" t="str">
        <f>IF(OR(LA_Name_Value="",LA_Name_Value="Please Select"),"",LA_Name_Value)</f>
        <v/>
      </c>
      <c r="J7" s="1217"/>
      <c r="K7" s="1217"/>
      <c r="L7" s="1217"/>
      <c r="M7" s="1217"/>
      <c r="N7" s="1217"/>
      <c r="O7" s="1218"/>
      <c r="Q7" s="1207" t="str">
        <f>IFERROR(IF(INDEX(AreaFactors2,MATCH(LACode,LACodes,0))&lt;&gt;0,"Other Area Costs may apply to this LA","Message Board"),"Message Board")</f>
        <v>Message Board</v>
      </c>
      <c r="R7" s="1207"/>
      <c r="S7" s="1208"/>
      <c r="T7" s="633"/>
      <c r="V7" s="829" t="s">
        <v>177</v>
      </c>
      <c r="W7" s="829">
        <v>800</v>
      </c>
      <c r="X7" s="829" t="s">
        <v>555</v>
      </c>
      <c r="Y7" s="829" t="s">
        <v>556</v>
      </c>
      <c r="Z7" s="830">
        <v>1</v>
      </c>
      <c r="AA7" s="830">
        <v>0</v>
      </c>
      <c r="AB7" s="830">
        <v>1.005</v>
      </c>
      <c r="AD7" s="822" t="s">
        <v>1359</v>
      </c>
      <c r="AE7" s="822">
        <f>RetentionFactor*AE6</f>
        <v>0</v>
      </c>
      <c r="AF7" s="822">
        <f>RetentionFactor*AF6</f>
        <v>0</v>
      </c>
      <c r="AG7" s="822">
        <f>RetentionFactor*AG6</f>
        <v>0</v>
      </c>
      <c r="AH7" s="822">
        <f>RetentionFactor*AH6</f>
        <v>0</v>
      </c>
      <c r="AI7" s="822">
        <f>RetentionFactor*AI6</f>
        <v>0</v>
      </c>
      <c r="AJ7" s="822">
        <f>RetentionFactor*AJ6</f>
        <v>0</v>
      </c>
      <c r="AK7" s="822">
        <f>RetentionFactor*AK6</f>
        <v>0</v>
      </c>
      <c r="AL7" s="822">
        <f>RetentionFactor*AL6</f>
        <v>0</v>
      </c>
      <c r="AN7" s="822" t="s">
        <v>1348</v>
      </c>
      <c r="AO7" s="822" t="b">
        <f>NOT(ISBLANK(L3MathsAndEnglish1YearOverride))</f>
        <v>0</v>
      </c>
    </row>
    <row r="8" spans="4:41" customHeight="1" thickBot="1">
      <c r="D8" s="823"/>
      <c r="E8" s="832"/>
      <c r="F8" s="625" t="s">
        <v>557</v>
      </c>
      <c r="G8" s="626"/>
      <c r="H8" s="1183">
        <f>FormulaFundingTotal</f>
        <v>0</v>
      </c>
      <c r="I8" s="1184"/>
      <c r="J8" s="1184"/>
      <c r="K8" s="1184"/>
      <c r="L8" s="1184"/>
      <c r="M8" s="1184"/>
      <c r="N8" s="1184"/>
      <c r="O8" s="1185"/>
      <c r="R8" s="832"/>
      <c r="S8" s="832"/>
      <c r="T8" s="832"/>
      <c r="V8" s="829" t="s">
        <v>179</v>
      </c>
      <c r="W8" s="829">
        <v>822</v>
      </c>
      <c r="X8" s="829" t="s">
        <v>558</v>
      </c>
      <c r="Y8" s="829" t="s">
        <v>547</v>
      </c>
      <c r="Z8" s="830">
        <v>1.03</v>
      </c>
      <c r="AA8" s="830">
        <v>0</v>
      </c>
      <c r="AB8" s="830">
        <v>1.021</v>
      </c>
      <c r="AD8" s="822" t="s">
        <v>1360</v>
      </c>
      <c r="AE8" s="822">
        <f>pcw_switch*AE7</f>
        <v>0</v>
      </c>
      <c r="AF8" s="822">
        <f>pcw_switch*AF7</f>
        <v>0</v>
      </c>
      <c r="AG8" s="822">
        <f>pcw_switch*AG7</f>
        <v>0</v>
      </c>
      <c r="AH8" s="822">
        <f>pcw_switch*AH7</f>
        <v>0</v>
      </c>
      <c r="AI8" s="822">
        <f>pcw_switch*AI7</f>
        <v>0</v>
      </c>
      <c r="AJ8" s="822">
        <f>pcw_switch*AJ7</f>
        <v>0</v>
      </c>
      <c r="AK8" s="822">
        <f>pcw_switch*AK7</f>
        <v>0</v>
      </c>
      <c r="AL8" s="822">
        <f>pcw_switch*AL7</f>
        <v>0</v>
      </c>
      <c r="AN8" s="822" t="s">
        <v>1349</v>
      </c>
      <c r="AO8" s="822" t="b">
        <f>NOT(ISBLANK(L3MathsAndEnglish2YearOverride))</f>
        <v>0</v>
      </c>
    </row>
    <row r="9" spans="4:41" customHeight="1">
      <c r="D9" s="823"/>
      <c r="E9" s="823"/>
      <c r="R9" s="832"/>
      <c r="S9" s="832"/>
      <c r="T9" s="832"/>
      <c r="V9" s="829" t="s">
        <v>181</v>
      </c>
      <c r="W9" s="829">
        <v>303</v>
      </c>
      <c r="X9" s="829" t="s">
        <v>546</v>
      </c>
      <c r="Y9" s="829" t="s">
        <v>547</v>
      </c>
      <c r="Z9" s="830">
        <v>1.12</v>
      </c>
      <c r="AA9" s="830">
        <v>0</v>
      </c>
      <c r="AB9" s="830">
        <v>1.018</v>
      </c>
      <c r="AD9" s="822" t="s">
        <v>1361</v>
      </c>
      <c r="AE9" s="822">
        <f>L3MathsAndEnglishTotalFunding+AE8</f>
        <v>0</v>
      </c>
      <c r="AF9" s="822">
        <f>L3MathsAndEnglishTotalFunding+AF8</f>
        <v>0</v>
      </c>
      <c r="AG9" s="822">
        <f>L3MathsAndEnglishTotalFunding+AG8</f>
        <v>0</v>
      </c>
      <c r="AH9" s="822">
        <f>L3MathsAndEnglishTotalFunding+AH8</f>
        <v>0</v>
      </c>
      <c r="AI9" s="822">
        <f>L3MathsAndEnglishTotalFunding+AI8</f>
        <v>0</v>
      </c>
      <c r="AJ9" s="822">
        <f>L3MathsAndEnglishTotalFunding+AJ8</f>
        <v>0</v>
      </c>
      <c r="AK9" s="822">
        <f>L3MathsAndEnglishTotalFunding+AK8</f>
        <v>0</v>
      </c>
      <c r="AL9" s="822">
        <f>L3MathsAndEnglishTotalFunding+AL8</f>
        <v>0</v>
      </c>
      <c r="AN9" s="822" t="s">
        <v>1350</v>
      </c>
      <c r="AO9" s="822" t="b">
        <f>NOT(ISBLANK(Block1Override))</f>
        <v>0</v>
      </c>
    </row>
    <row r="10" spans="21:41" customHeight="1" thickBot="1">
      <c r="U10" s="836"/>
      <c r="V10" s="829" t="s">
        <v>182</v>
      </c>
      <c r="W10" s="829">
        <v>330</v>
      </c>
      <c r="X10" s="829" t="s">
        <v>559</v>
      </c>
      <c r="Y10" s="829" t="s">
        <v>556</v>
      </c>
      <c r="Z10" s="830">
        <v>1</v>
      </c>
      <c r="AA10" s="830">
        <v>0</v>
      </c>
      <c r="AB10" s="830">
        <v>1.084</v>
      </c>
      <c r="AD10" s="822" t="s">
        <v>1362</v>
      </c>
      <c r="AE10" s="822">
        <f>TotalDisadvantageFunding+AE9</f>
        <v>0</v>
      </c>
      <c r="AF10" s="822">
        <f>TotalDisadvantageFunding+AF9</f>
        <v>0</v>
      </c>
      <c r="AG10" s="822">
        <f>TotalDisadvantageFunding+AG9</f>
        <v>0</v>
      </c>
      <c r="AH10" s="822">
        <f>TotalDisadvantageFunding+AH9</f>
        <v>0</v>
      </c>
      <c r="AI10" s="822">
        <f>TotalDisadvantageFunding+AI9</f>
        <v>0</v>
      </c>
      <c r="AJ10" s="822">
        <f>TotalDisadvantageFunding+AJ9</f>
        <v>0</v>
      </c>
      <c r="AK10" s="822">
        <f>TotalDisadvantageFunding+AK9</f>
        <v>0</v>
      </c>
      <c r="AL10" s="822">
        <f>TotalDisadvantageFunding+AL9</f>
        <v>0</v>
      </c>
      <c r="AN10" s="822" t="s">
        <v>1351</v>
      </c>
      <c r="AO10" s="837" t="b">
        <f>NOT(ISBLANK(Block2Override))</f>
        <v>0</v>
      </c>
    </row>
    <row r="11" spans="1:41" ht="77.25" thickBot="1">
      <c r="A11" s="836"/>
      <c r="B11" s="851" t="s">
        <v>1230</v>
      </c>
      <c r="C11" s="836"/>
      <c r="D11" s="856" t="s">
        <v>560</v>
      </c>
      <c r="E11" s="836"/>
      <c r="F11" s="850" t="s">
        <v>1337</v>
      </c>
      <c r="G11" s="817"/>
      <c r="H11" s="850" t="s">
        <v>1338</v>
      </c>
      <c r="I11" s="851" t="s">
        <v>1323</v>
      </c>
      <c r="K11" s="856" t="s">
        <v>1215</v>
      </c>
      <c r="M11" s="856" t="s">
        <v>1214</v>
      </c>
      <c r="N11" s="836"/>
      <c r="O11" s="850" t="s">
        <v>1339</v>
      </c>
      <c r="P11" s="851" t="s">
        <v>1323</v>
      </c>
      <c r="R11" s="846" t="s">
        <v>1340</v>
      </c>
      <c r="S11" s="819"/>
      <c r="T11" s="844" t="s">
        <v>1074</v>
      </c>
      <c r="U11" s="832"/>
      <c r="V11" s="829" t="s">
        <v>184</v>
      </c>
      <c r="W11" s="829">
        <v>889</v>
      </c>
      <c r="X11" s="829" t="s">
        <v>561</v>
      </c>
      <c r="Y11" s="829" t="s">
        <v>553</v>
      </c>
      <c r="Z11" s="830">
        <v>1</v>
      </c>
      <c r="AA11" s="830">
        <v>0</v>
      </c>
      <c r="AB11" s="830">
        <v>1.071</v>
      </c>
      <c r="AD11" s="838" t="s">
        <v>1364</v>
      </c>
      <c r="AE11" s="838">
        <f>acw_switch*AE10</f>
        <v>0</v>
      </c>
      <c r="AF11" s="838">
        <f>acw_switch*AF10</f>
        <v>0</v>
      </c>
      <c r="AG11" s="838">
        <f>acw_switch*AG10</f>
        <v>0</v>
      </c>
      <c r="AH11" s="838">
        <f>acw_switch*AH10</f>
        <v>0</v>
      </c>
      <c r="AI11" s="838">
        <f>acw_switch*AI10</f>
        <v>0</v>
      </c>
      <c r="AJ11" s="838">
        <f>acw_switch*AJ10</f>
        <v>0</v>
      </c>
      <c r="AK11" s="838">
        <f>acw_switch*AK10</f>
        <v>0</v>
      </c>
      <c r="AL11" s="838">
        <f>acw_switch*AL10</f>
        <v>0</v>
      </c>
      <c r="AM11" s="838"/>
      <c r="AN11" s="838" t="s">
        <v>1352</v>
      </c>
      <c r="AO11" s="838" t="b">
        <f>NOT(ISBLANK(HVCPOverride))</f>
        <v>0</v>
      </c>
    </row>
    <row r="12" spans="1:41" customHeight="1">
      <c r="A12" s="839" t="s">
        <v>562</v>
      </c>
      <c r="B12" s="622"/>
      <c r="C12" s="191" t="s">
        <v>563</v>
      </c>
      <c r="D12" s="855">
        <v>4188</v>
      </c>
      <c r="E12" s="191" t="s">
        <v>563</v>
      </c>
      <c r="F12" s="854">
        <v>0.982</v>
      </c>
      <c r="G12" s="191" t="s">
        <v>563</v>
      </c>
      <c r="H12" s="852">
        <v>1.037</v>
      </c>
      <c r="I12" s="853"/>
      <c r="J12" s="191" t="s">
        <v>564</v>
      </c>
      <c r="K12" s="864" t="s">
        <v>565</v>
      </c>
      <c r="L12" s="191" t="s">
        <v>564</v>
      </c>
      <c r="M12" s="865" t="s">
        <v>1225</v>
      </c>
      <c r="N12" s="191" t="s">
        <v>563</v>
      </c>
      <c r="O12" s="848">
        <f>IF(ChosenLA&lt;&gt;"",INDEX(AreaFactors1,MATCH(LACode,LACodes,0)),0)</f>
        <v>0</v>
      </c>
      <c r="P12" s="849"/>
      <c r="Q12" s="634" t="s">
        <v>564</v>
      </c>
      <c r="R12" s="866" t="s">
        <v>1226</v>
      </c>
      <c r="S12" s="634" t="s">
        <v>563</v>
      </c>
      <c r="T12" s="847">
        <f>Open_Proportion</f>
        <v>1</v>
      </c>
      <c r="V12" s="829" t="s">
        <v>186</v>
      </c>
      <c r="W12" s="829">
        <v>890</v>
      </c>
      <c r="X12" s="829" t="s">
        <v>561</v>
      </c>
      <c r="Y12" s="829" t="s">
        <v>553</v>
      </c>
      <c r="Z12" s="830">
        <v>1</v>
      </c>
      <c r="AA12" s="830">
        <v>0</v>
      </c>
      <c r="AB12" s="830">
        <v>1.081</v>
      </c>
      <c r="AD12" s="822" t="s">
        <v>1352</v>
      </c>
      <c r="AE12" s="822">
        <f>HVCPFactor+AE11</f>
        <v>0</v>
      </c>
      <c r="AF12" s="822">
        <f>HVCPFactor+AF11</f>
        <v>0</v>
      </c>
      <c r="AG12" s="822">
        <f>HVCPFactor+AG11</f>
        <v>0</v>
      </c>
      <c r="AH12" s="822">
        <f>HVCPFactor+AH11</f>
        <v>0</v>
      </c>
      <c r="AI12" s="822">
        <f>HVCPFactor+AI11</f>
        <v>0</v>
      </c>
      <c r="AJ12" s="822">
        <f>HVCPFactor+AJ11</f>
        <v>0</v>
      </c>
      <c r="AK12" s="822">
        <f>HVCPFactor+AK11</f>
        <v>0</v>
      </c>
      <c r="AL12" s="822">
        <f>HVCPFactor+AL11</f>
        <v>0</v>
      </c>
      <c r="AN12" s="822" t="s">
        <v>1353</v>
      </c>
      <c r="AO12" s="822" t="b">
        <f>OR(AO5:AO11)</f>
        <v>0</v>
      </c>
    </row>
    <row r="13" spans="1:38" customHeight="1">
      <c r="A13" s="839" t="s">
        <v>566</v>
      </c>
      <c r="B13" s="192"/>
      <c r="C13" s="193"/>
      <c r="D13" s="192"/>
      <c r="E13" s="193"/>
      <c r="F13" s="816">
        <f>IF(AND(ChosenLA&lt;&gt;"",Students&gt;0),FundingAtRetention-FundingAtNatRate,0)</f>
        <v>0</v>
      </c>
      <c r="G13" s="818"/>
      <c r="H13" s="1219">
        <f>IF(AND(ChosenLA&lt;&gt;"",Students&gt;0),FundingAtPCW-FundingAtRetention,0)</f>
        <v>0</v>
      </c>
      <c r="I13" s="1220"/>
      <c r="K13" s="194">
        <f>IF(AND(ChosenLA&lt;&gt;"",Students&gt;0),L3MathsAndEnglishTotalFunding,0)</f>
        <v>0</v>
      </c>
      <c r="M13" s="194">
        <f>IF(AND(ChosenLA&lt;&gt;"",Students&gt;0),TotalDisadvantageFunding,0)</f>
        <v>0</v>
      </c>
      <c r="N13" s="193"/>
      <c r="O13" s="1219">
        <f>IF(AND(ChosenLA&lt;&gt;"",Students&gt;0),FundingAtACA-FundingAtDisadvantage,0)</f>
        <v>0</v>
      </c>
      <c r="P13" s="1220"/>
      <c r="R13" s="862">
        <f>IF(AND(ChosenLA&lt;&gt;"",Students&gt;0),HVCPFactor,0)</f>
        <v>0</v>
      </c>
      <c r="S13" s="845"/>
      <c r="T13" s="194">
        <f>(T12-1)*R14</f>
        <v>0</v>
      </c>
      <c r="V13" s="829" t="s">
        <v>187</v>
      </c>
      <c r="W13" s="829">
        <v>350</v>
      </c>
      <c r="X13" s="829" t="s">
        <v>561</v>
      </c>
      <c r="Y13" s="829" t="s">
        <v>553</v>
      </c>
      <c r="Z13" s="830">
        <v>1</v>
      </c>
      <c r="AA13" s="830">
        <v>0</v>
      </c>
      <c r="AB13" s="830">
        <v>1.052</v>
      </c>
      <c r="AD13" s="822" t="s">
        <v>1365</v>
      </c>
      <c r="AE13" s="822">
        <f>IF(AE4="Year 1", Open_Proportion, 1)*AE12</f>
        <v>0</v>
      </c>
      <c r="AF13" s="822">
        <f>IF(AF4="Year 1", Open_Proportion, 1)*AF12</f>
        <v>0</v>
      </c>
      <c r="AG13" s="822">
        <f>IF(AG4="Year 1", Open_Proportion, 1)*AG12</f>
        <v>0</v>
      </c>
      <c r="AH13" s="822">
        <f>IF(AH4="Year 1", Open_Proportion, 1)*AH12</f>
        <v>0</v>
      </c>
      <c r="AI13" s="822">
        <f>IF(AI4="Year 1", Open_Proportion, 1)*AI12</f>
        <v>0</v>
      </c>
      <c r="AJ13" s="822">
        <f>IF(AJ4="Year 1", Open_Proportion, 1)*AJ12</f>
        <v>0</v>
      </c>
      <c r="AK13" s="822">
        <f>IF(AK4="Year 1", Open_Proportion, 1)*AK12</f>
        <v>0</v>
      </c>
      <c r="AL13" s="822">
        <f>IF(AL4="Year 1", Open_Proportion, 1)*AL12</f>
        <v>0</v>
      </c>
    </row>
    <row r="14" spans="1:41" customHeight="1" thickBot="1">
      <c r="A14" s="839" t="s">
        <v>567</v>
      </c>
      <c r="B14" s="606">
        <f>SUM('G3. Budget'!$E$19,'G3. Budget'!$E$34,'G3. Budget'!$E$70)</f>
        <v>0</v>
      </c>
      <c r="C14" s="193"/>
      <c r="D14" s="195">
        <f>IF(AND(ChosenLA&lt;&gt;"",Students&gt;0),Students*NationalRatePerStudent,0)</f>
        <v>0</v>
      </c>
      <c r="F14" s="195">
        <f>IF(AND(ChosenLA&lt;&gt;"",Students&gt;0),FundingAtNatRate*RetentionFactor,0)</f>
        <v>0</v>
      </c>
      <c r="G14" s="818"/>
      <c r="H14" s="1221">
        <f>IF(AND(ChosenLA&lt;&gt;"",Students&gt;0),FundingAtRetention*IF(PCWOverride&lt;&gt;"",PCWOverride,PCW),0)</f>
        <v>0</v>
      </c>
      <c r="I14" s="1222"/>
      <c r="K14" s="196">
        <f>IF(AND(ChosenLA&lt;&gt;"",Students&gt;0),FundingAtPCW+L3MathsAndEnglishFunding,0)</f>
        <v>0</v>
      </c>
      <c r="M14" s="196">
        <f>IF(AND(ChosenLA&lt;&gt;"",Students&gt;0),FundingAtPCW+L3MathsAndEnglishFunding+DisadvantageFunding,0)</f>
        <v>0</v>
      </c>
      <c r="O14" s="1221">
        <f>IF(AND(ChosenLA&lt;&gt;"",Students&gt;0),FundingAtDisadvantage*IF(ACWOverride&lt;&gt;"",ACWOverride,ACW),0)</f>
        <v>0</v>
      </c>
      <c r="P14" s="1222"/>
      <c r="R14" s="863">
        <f>IF(AND(ChosenLA&lt;&gt;"",Students&gt;0),FundingAtACA+HVCPFunding,0)</f>
        <v>0</v>
      </c>
      <c r="S14" s="845"/>
      <c r="T14" s="196">
        <f>FundingAtHVCP+T13</f>
        <v>0</v>
      </c>
      <c r="V14" s="829" t="s">
        <v>1050</v>
      </c>
      <c r="W14" s="829">
        <v>839</v>
      </c>
      <c r="X14" s="829" t="s">
        <v>555</v>
      </c>
      <c r="Y14" s="829" t="s">
        <v>556</v>
      </c>
      <c r="Z14" s="830">
        <v>1</v>
      </c>
      <c r="AA14" s="830">
        <v>0</v>
      </c>
      <c r="AB14" s="830">
        <v>1.012</v>
      </c>
      <c r="AD14" s="822" t="s">
        <v>1366</v>
      </c>
      <c r="AE14" s="833">
        <f>IF(AND(ChosenLA&lt;&gt;"",AE5&gt;0),AE13,0)</f>
        <v>0</v>
      </c>
      <c r="AF14" s="833">
        <f>IF(AND(ChosenLA&lt;&gt;"",AF5&gt;0),AF13,0)</f>
        <v>0</v>
      </c>
      <c r="AG14" s="833">
        <f>IF(AND(ChosenLA&lt;&gt;"",AG5&gt;0),AG13,0)</f>
        <v>0</v>
      </c>
      <c r="AH14" s="833">
        <f>IF(AND(ChosenLA&lt;&gt;"",AH5&gt;0),AH13,0)</f>
        <v>0</v>
      </c>
      <c r="AI14" s="833">
        <f>IF(AND(ChosenLA&lt;&gt;"",AI5&gt;0),AI13,0)</f>
        <v>0</v>
      </c>
      <c r="AJ14" s="833">
        <f>IF(AND(ChosenLA&lt;&gt;"",AJ5&gt;0),AJ13,0)</f>
        <v>0</v>
      </c>
      <c r="AK14" s="833">
        <f>IF(AND(ChosenLA&lt;&gt;"",AK5&gt;0),AK13,0)</f>
        <v>0</v>
      </c>
      <c r="AL14" s="833">
        <f>IF(AND(ChosenLA&lt;&gt;"",AL5&gt;0),AL13,0)</f>
        <v>0</v>
      </c>
      <c r="AN14" s="822" t="s">
        <v>1354</v>
      </c>
      <c r="AO14" s="822">
        <f>IF(PCWOverride = 0, PCW, PCWOverride)</f>
        <v>1.037</v>
      </c>
    </row>
    <row r="15" spans="3:41" customHeight="1" thickBot="1">
      <c r="C15" s="193"/>
      <c r="D15" s="857"/>
      <c r="F15" s="857"/>
      <c r="G15" s="857"/>
      <c r="H15" s="845"/>
      <c r="I15" s="858"/>
      <c r="J15" s="859"/>
      <c r="K15" s="845"/>
      <c r="L15" s="859"/>
      <c r="M15" s="845"/>
      <c r="N15" s="859"/>
      <c r="O15" s="845"/>
      <c r="P15" s="858"/>
      <c r="Q15" s="859"/>
      <c r="R15" s="860"/>
      <c r="V15" s="829" t="s">
        <v>188</v>
      </c>
      <c r="W15" s="829">
        <v>867</v>
      </c>
      <c r="X15" s="829" t="s">
        <v>568</v>
      </c>
      <c r="Y15" s="829" t="s">
        <v>547</v>
      </c>
      <c r="Z15" s="830">
        <v>1.12</v>
      </c>
      <c r="AA15" s="830">
        <v>0</v>
      </c>
      <c r="AB15" s="830">
        <v>1</v>
      </c>
      <c r="AN15" s="822" t="s">
        <v>1355</v>
      </c>
      <c r="AO15" s="822">
        <f>IF($L$28 = 0, Block1Factor, $L$28)</f>
        <v>0</v>
      </c>
    </row>
    <row r="16" spans="3:41" customHeight="1" thickBot="1">
      <c r="C16" s="193"/>
      <c r="D16" s="857"/>
      <c r="E16" s="1113" t="s">
        <v>1334</v>
      </c>
      <c r="F16" s="1114"/>
      <c r="G16" s="1114"/>
      <c r="H16" s="1114"/>
      <c r="I16" s="1114"/>
      <c r="J16" s="1114"/>
      <c r="K16" s="1114"/>
      <c r="L16" s="1114"/>
      <c r="M16" s="1114"/>
      <c r="N16" s="1114"/>
      <c r="O16" s="1114"/>
      <c r="P16" s="1115"/>
      <c r="R16" s="860"/>
      <c r="U16" s="840"/>
      <c r="V16" s="829" t="s">
        <v>190</v>
      </c>
      <c r="W16" s="829">
        <v>380</v>
      </c>
      <c r="X16" s="829" t="s">
        <v>552</v>
      </c>
      <c r="Y16" s="829" t="s">
        <v>553</v>
      </c>
      <c r="Z16" s="830">
        <v>1</v>
      </c>
      <c r="AA16" s="830">
        <v>0</v>
      </c>
      <c r="AB16" s="830">
        <v>1.097</v>
      </c>
      <c r="AF16" s="932"/>
      <c r="AG16" s="932"/>
      <c r="AH16" s="932"/>
      <c r="AI16" s="932"/>
      <c r="AJ16" s="932"/>
      <c r="AK16" s="932"/>
      <c r="AL16" s="932"/>
      <c r="AN16" s="822" t="s">
        <v>1356</v>
      </c>
      <c r="AO16" s="841">
        <f>IF($L$31 = 0, Block2InstancesAvg, $L$31)</f>
        <v>480</v>
      </c>
    </row>
    <row r="17" spans="1:41" customHeight="1" thickBot="1">
      <c r="A17" s="840"/>
      <c r="C17" s="193"/>
      <c r="D17" s="857"/>
      <c r="E17" s="1116" t="s">
        <v>1223</v>
      </c>
      <c r="F17" s="1117"/>
      <c r="G17" s="1117"/>
      <c r="H17" s="1117"/>
      <c r="I17" s="1117"/>
      <c r="J17" s="1117"/>
      <c r="K17" s="1117"/>
      <c r="L17" s="1117"/>
      <c r="M17" s="1117"/>
      <c r="N17" s="1117"/>
      <c r="O17" s="1117"/>
      <c r="P17" s="1118"/>
      <c r="R17" s="860"/>
      <c r="S17" s="840"/>
      <c r="T17" s="840"/>
      <c r="U17" s="840"/>
      <c r="V17" s="829" t="s">
        <v>191</v>
      </c>
      <c r="W17" s="829">
        <v>304</v>
      </c>
      <c r="X17" s="829" t="s">
        <v>546</v>
      </c>
      <c r="Y17" s="829" t="s">
        <v>547</v>
      </c>
      <c r="Z17" s="830">
        <v>1.12</v>
      </c>
      <c r="AA17" s="830">
        <v>0</v>
      </c>
      <c r="AB17" s="830">
        <v>1.035</v>
      </c>
      <c r="AD17" s="838"/>
      <c r="AE17" s="834" t="s">
        <v>578</v>
      </c>
      <c r="AF17" s="838"/>
      <c r="AG17" s="838"/>
      <c r="AH17" s="838"/>
      <c r="AI17" s="838"/>
      <c r="AJ17" s="838"/>
      <c r="AK17" s="838"/>
      <c r="AL17" s="838"/>
      <c r="AM17" s="838"/>
      <c r="AN17" s="838" t="s">
        <v>1363</v>
      </c>
      <c r="AO17" s="822">
        <f>IF(ACWOverride&lt;&gt;"",ACWOverride,ACW)</f>
        <v>0</v>
      </c>
    </row>
    <row r="18" spans="1:40" ht="40.15" customHeight="1">
      <c r="A18" s="840"/>
      <c r="C18" s="193"/>
      <c r="D18" s="857"/>
      <c r="E18" s="1122" t="s">
        <v>570</v>
      </c>
      <c r="F18" s="1126" t="s">
        <v>1326</v>
      </c>
      <c r="G18" s="1127"/>
      <c r="H18" s="1126" t="s">
        <v>1324</v>
      </c>
      <c r="I18" s="1127"/>
      <c r="J18" s="1126" t="s">
        <v>1325</v>
      </c>
      <c r="K18" s="1127"/>
      <c r="L18" s="1126" t="s">
        <v>1221</v>
      </c>
      <c r="M18" s="1127"/>
      <c r="N18" s="1126" t="s">
        <v>1327</v>
      </c>
      <c r="O18" s="1127"/>
      <c r="P18" s="1130"/>
      <c r="R18" s="860"/>
      <c r="S18" s="840"/>
      <c r="T18" s="840"/>
      <c r="U18" s="840"/>
      <c r="V18" s="829" t="s">
        <v>192</v>
      </c>
      <c r="W18" s="829">
        <v>846</v>
      </c>
      <c r="X18" s="829" t="s">
        <v>568</v>
      </c>
      <c r="Y18" s="829" t="s">
        <v>547</v>
      </c>
      <c r="Z18" s="830">
        <v>1</v>
      </c>
      <c r="AA18" s="830">
        <v>0</v>
      </c>
      <c r="AB18" s="830">
        <v>1.038</v>
      </c>
      <c r="AD18" s="838"/>
      <c r="AE18" s="838"/>
      <c r="AF18" s="838"/>
      <c r="AG18" s="838"/>
      <c r="AH18" s="838"/>
      <c r="AI18" s="838"/>
      <c r="AJ18" s="838"/>
      <c r="AK18" s="838"/>
      <c r="AL18" s="838"/>
      <c r="AM18" s="838"/>
      <c r="AN18" s="838"/>
    </row>
    <row r="19" spans="1:40" ht="40.15" customHeight="1" thickBot="1">
      <c r="A19" s="840"/>
      <c r="C19" s="193"/>
      <c r="D19" s="857"/>
      <c r="E19" s="1123"/>
      <c r="F19" s="1133">
        <v>0.035</v>
      </c>
      <c r="G19" s="1134"/>
      <c r="H19" s="1135"/>
      <c r="I19" s="1136"/>
      <c r="J19" s="1137">
        <f>Students*IF(L3MathsAndEnglish1YearOverride&gt;0,L3MathsAndEnglish1YearOverride,L3MathsAndEnglish1YearNatAv)</f>
        <v>0</v>
      </c>
      <c r="K19" s="1138"/>
      <c r="L19" s="1139">
        <v>375</v>
      </c>
      <c r="M19" s="1140"/>
      <c r="N19" s="1141">
        <f>L3MathsAndEnglish1YearInstances*L3MathsAndEnglish1YearRate</f>
        <v>0</v>
      </c>
      <c r="O19" s="1140"/>
      <c r="P19" s="1142"/>
      <c r="R19" s="860"/>
      <c r="S19" s="840"/>
      <c r="T19" s="840"/>
      <c r="U19" s="840"/>
      <c r="V19" s="829" t="s">
        <v>193</v>
      </c>
      <c r="W19" s="829">
        <v>801</v>
      </c>
      <c r="X19" s="829" t="s">
        <v>555</v>
      </c>
      <c r="Y19" s="829" t="s">
        <v>556</v>
      </c>
      <c r="Z19" s="830">
        <v>1</v>
      </c>
      <c r="AA19" s="830">
        <v>0</v>
      </c>
      <c r="AB19" s="830">
        <v>1.042</v>
      </c>
      <c r="AD19" s="838"/>
      <c r="AE19" s="838"/>
      <c r="AF19" s="838"/>
      <c r="AG19" s="838"/>
      <c r="AH19" s="838"/>
      <c r="AI19" s="838"/>
      <c r="AJ19" s="838"/>
      <c r="AK19" s="838"/>
      <c r="AL19" s="838"/>
      <c r="AM19" s="838"/>
      <c r="AN19" s="838"/>
    </row>
    <row r="20" spans="1:40" customHeight="1" thickBot="1">
      <c r="A20" s="840"/>
      <c r="C20" s="193"/>
      <c r="D20" s="857"/>
      <c r="E20" s="1119" t="s">
        <v>1224</v>
      </c>
      <c r="F20" s="1120"/>
      <c r="G20" s="1120"/>
      <c r="H20" s="1120"/>
      <c r="I20" s="1120"/>
      <c r="J20" s="1120"/>
      <c r="K20" s="1120"/>
      <c r="L20" s="1120"/>
      <c r="M20" s="1120"/>
      <c r="N20" s="1120"/>
      <c r="O20" s="1120"/>
      <c r="P20" s="1121"/>
      <c r="R20" s="860"/>
      <c r="S20" s="840"/>
      <c r="T20" s="840"/>
      <c r="U20" s="840"/>
      <c r="V20" s="829" t="s">
        <v>194</v>
      </c>
      <c r="W20" s="829">
        <v>305</v>
      </c>
      <c r="X20" s="829" t="s">
        <v>546</v>
      </c>
      <c r="Y20" s="829" t="s">
        <v>547</v>
      </c>
      <c r="Z20" s="830">
        <v>1.12</v>
      </c>
      <c r="AA20" s="830">
        <v>0</v>
      </c>
      <c r="AB20" s="830">
        <v>1.022</v>
      </c>
      <c r="AD20" s="838"/>
      <c r="AE20" s="838"/>
      <c r="AF20" s="838"/>
      <c r="AG20" s="838"/>
      <c r="AH20" s="838"/>
      <c r="AI20" s="838"/>
      <c r="AJ20" s="838"/>
      <c r="AK20" s="838"/>
      <c r="AL20" s="838"/>
      <c r="AM20" s="838"/>
      <c r="AN20" s="838"/>
    </row>
    <row r="21" spans="1:41" ht="40.15" customHeight="1">
      <c r="A21" s="840"/>
      <c r="C21" s="193"/>
      <c r="D21" s="857"/>
      <c r="E21" s="1131" t="s">
        <v>572</v>
      </c>
      <c r="F21" s="1124" t="s">
        <v>1326</v>
      </c>
      <c r="G21" s="1125"/>
      <c r="H21" s="1126" t="s">
        <v>1324</v>
      </c>
      <c r="I21" s="1127"/>
      <c r="J21" s="1126" t="s">
        <v>1325</v>
      </c>
      <c r="K21" s="1127"/>
      <c r="L21" s="1128" t="s">
        <v>1221</v>
      </c>
      <c r="M21" s="1129"/>
      <c r="N21" s="1126" t="s">
        <v>1328</v>
      </c>
      <c r="O21" s="1127"/>
      <c r="P21" s="1130"/>
      <c r="R21" s="860"/>
      <c r="S21" s="840"/>
      <c r="T21" s="840"/>
      <c r="U21" s="842"/>
      <c r="V21" s="829" t="s">
        <v>195</v>
      </c>
      <c r="W21" s="829">
        <v>825</v>
      </c>
      <c r="X21" s="829" t="s">
        <v>568</v>
      </c>
      <c r="Y21" s="829" t="s">
        <v>547</v>
      </c>
      <c r="Z21" s="830">
        <v>1.07</v>
      </c>
      <c r="AA21" s="830">
        <v>1.1</v>
      </c>
      <c r="AB21" s="830">
        <v>1.003</v>
      </c>
      <c r="AD21" s="838"/>
      <c r="AE21" s="838"/>
      <c r="AF21" s="838"/>
      <c r="AG21" s="838"/>
      <c r="AH21" s="838"/>
      <c r="AI21" s="838"/>
      <c r="AJ21" s="838"/>
      <c r="AK21" s="838"/>
      <c r="AL21" s="838"/>
      <c r="AM21" s="838"/>
      <c r="AN21" s="838"/>
      <c r="AO21" s="843"/>
    </row>
    <row r="22" spans="1:40" ht="40.15" customHeight="1" thickBot="1">
      <c r="A22" s="842"/>
      <c r="C22" s="193"/>
      <c r="D22" s="857"/>
      <c r="E22" s="1132"/>
      <c r="F22" s="1152">
        <v>0.032</v>
      </c>
      <c r="G22" s="1153"/>
      <c r="H22" s="1154"/>
      <c r="I22" s="1155"/>
      <c r="J22" s="1156">
        <f>Students*IF(L3MathsAndEnglish2YearOverride&gt;0,L3MathsAndEnglish2YearOverride,L3MathsAndEnglish2YearNatAv)</f>
        <v>0</v>
      </c>
      <c r="K22" s="1157"/>
      <c r="L22" s="1158">
        <v>750</v>
      </c>
      <c r="M22" s="1159"/>
      <c r="N22" s="1160">
        <f>L3MathsAndEnglish2YearInstances*L3MathsAndEnglish2YearRate</f>
        <v>0</v>
      </c>
      <c r="O22" s="1161"/>
      <c r="P22" s="1162"/>
      <c r="R22" s="860"/>
      <c r="S22" s="842"/>
      <c r="T22" s="842"/>
      <c r="U22" s="842"/>
      <c r="V22" s="829" t="s">
        <v>196</v>
      </c>
      <c r="W22" s="829">
        <v>351</v>
      </c>
      <c r="X22" s="829" t="s">
        <v>561</v>
      </c>
      <c r="Y22" s="829" t="s">
        <v>553</v>
      </c>
      <c r="Z22" s="830">
        <v>1</v>
      </c>
      <c r="AA22" s="830">
        <v>0</v>
      </c>
      <c r="AB22" s="830">
        <v>1.054</v>
      </c>
      <c r="AD22" s="838"/>
      <c r="AE22" s="838"/>
      <c r="AF22" s="838"/>
      <c r="AG22" s="838"/>
      <c r="AH22" s="838"/>
      <c r="AI22" s="838"/>
      <c r="AJ22" s="838"/>
      <c r="AK22" s="838"/>
      <c r="AL22" s="838"/>
      <c r="AM22" s="838"/>
      <c r="AN22" s="838"/>
    </row>
    <row r="23" spans="1:41" customHeight="1" thickBot="1">
      <c r="A23" s="842"/>
      <c r="C23" s="193"/>
      <c r="D23" s="857"/>
      <c r="E23" s="861" t="s">
        <v>573</v>
      </c>
      <c r="F23" s="1146" t="s">
        <v>1222</v>
      </c>
      <c r="G23" s="1147"/>
      <c r="H23" s="1147"/>
      <c r="I23" s="1147"/>
      <c r="J23" s="1147"/>
      <c r="K23" s="1147"/>
      <c r="L23" s="1147"/>
      <c r="M23" s="1148"/>
      <c r="N23" s="1149">
        <f>L3MathsAndEnglish1YearFunding+L3MathsAndEnglish2YearFunding</f>
        <v>0</v>
      </c>
      <c r="O23" s="1150"/>
      <c r="P23" s="1151"/>
      <c r="R23" s="860"/>
      <c r="S23" s="842"/>
      <c r="T23" s="842"/>
      <c r="U23" s="840"/>
      <c r="V23" s="829" t="s">
        <v>197</v>
      </c>
      <c r="W23" s="829">
        <v>381</v>
      </c>
      <c r="X23" s="829" t="s">
        <v>552</v>
      </c>
      <c r="Y23" s="829" t="s">
        <v>553</v>
      </c>
      <c r="Z23" s="830">
        <v>1</v>
      </c>
      <c r="AA23" s="830">
        <v>0</v>
      </c>
      <c r="AB23" s="830">
        <v>1.046</v>
      </c>
      <c r="AD23" s="838"/>
      <c r="AE23" s="838"/>
      <c r="AF23" s="838"/>
      <c r="AG23" s="838"/>
      <c r="AH23" s="838"/>
      <c r="AI23" s="838"/>
      <c r="AJ23" s="838"/>
      <c r="AK23" s="838"/>
      <c r="AL23" s="838"/>
      <c r="AM23" s="838"/>
      <c r="AN23" s="838"/>
      <c r="AO23" s="841"/>
    </row>
    <row r="24" spans="1:40" customHeight="1" thickBot="1">
      <c r="A24" s="840"/>
      <c r="C24" s="193"/>
      <c r="D24" s="857"/>
      <c r="E24" s="859"/>
      <c r="F24" s="857"/>
      <c r="G24" s="857"/>
      <c r="H24" s="845"/>
      <c r="I24" s="858"/>
      <c r="J24" s="859"/>
      <c r="K24" s="845"/>
      <c r="L24" s="859"/>
      <c r="M24" s="845"/>
      <c r="N24" s="859"/>
      <c r="O24" s="845"/>
      <c r="P24" s="858"/>
      <c r="R24" s="860"/>
      <c r="S24" s="840"/>
      <c r="T24" s="840"/>
      <c r="U24" s="840"/>
      <c r="V24" s="829" t="s">
        <v>198</v>
      </c>
      <c r="W24" s="829">
        <v>873</v>
      </c>
      <c r="X24" s="829" t="s">
        <v>558</v>
      </c>
      <c r="Y24" s="829" t="s">
        <v>547</v>
      </c>
      <c r="Z24" s="830">
        <v>1.02</v>
      </c>
      <c r="AA24" s="830">
        <v>0</v>
      </c>
      <c r="AB24" s="830">
        <v>1.006</v>
      </c>
      <c r="AD24" s="838"/>
      <c r="AE24" s="838"/>
      <c r="AF24" s="838"/>
      <c r="AG24" s="838"/>
      <c r="AH24" s="838"/>
      <c r="AI24" s="838"/>
      <c r="AJ24" s="838"/>
      <c r="AK24" s="838"/>
      <c r="AL24" s="838"/>
      <c r="AM24" s="838"/>
      <c r="AN24" s="838"/>
    </row>
    <row r="25" spans="1:40" customHeight="1" thickBot="1">
      <c r="A25" s="840"/>
      <c r="C25" s="840"/>
      <c r="D25" s="840"/>
      <c r="E25" s="1143" t="s">
        <v>1216</v>
      </c>
      <c r="F25" s="1144"/>
      <c r="G25" s="1144"/>
      <c r="H25" s="1144"/>
      <c r="I25" s="1144"/>
      <c r="J25" s="1144"/>
      <c r="K25" s="1144"/>
      <c r="L25" s="1144"/>
      <c r="M25" s="1144"/>
      <c r="N25" s="1144"/>
      <c r="O25" s="1144"/>
      <c r="P25" s="1145"/>
      <c r="Q25" s="840"/>
      <c r="R25" s="840"/>
      <c r="S25" s="840"/>
      <c r="T25" s="840"/>
      <c r="U25" s="840"/>
      <c r="V25" s="829" t="s">
        <v>199</v>
      </c>
      <c r="W25" s="829">
        <v>202</v>
      </c>
      <c r="X25" s="829" t="s">
        <v>546</v>
      </c>
      <c r="Y25" s="829" t="s">
        <v>547</v>
      </c>
      <c r="Z25" s="830">
        <v>1.2</v>
      </c>
      <c r="AA25" s="830">
        <v>0</v>
      </c>
      <c r="AB25" s="830">
        <v>1.072</v>
      </c>
      <c r="AD25" s="838"/>
      <c r="AE25" s="838"/>
      <c r="AF25" s="838"/>
      <c r="AG25" s="838"/>
      <c r="AH25" s="838"/>
      <c r="AI25" s="838"/>
      <c r="AJ25" s="838"/>
      <c r="AK25" s="838"/>
      <c r="AL25" s="838"/>
      <c r="AM25" s="838"/>
      <c r="AN25" s="838"/>
    </row>
    <row r="26" spans="3:40" customHeight="1" thickBot="1">
      <c r="C26" s="840"/>
      <c r="D26" s="840"/>
      <c r="E26" s="1190" t="s">
        <v>569</v>
      </c>
      <c r="F26" s="1191"/>
      <c r="G26" s="1191"/>
      <c r="H26" s="1191"/>
      <c r="I26" s="1191"/>
      <c r="J26" s="1191"/>
      <c r="K26" s="1191"/>
      <c r="L26" s="1191"/>
      <c r="M26" s="1191"/>
      <c r="N26" s="1191"/>
      <c r="O26" s="1191"/>
      <c r="P26" s="1192"/>
      <c r="Q26" s="840"/>
      <c r="R26" s="840"/>
      <c r="U26" s="840"/>
      <c r="V26" s="829" t="s">
        <v>201</v>
      </c>
      <c r="W26" s="829">
        <v>823</v>
      </c>
      <c r="X26" s="829" t="s">
        <v>558</v>
      </c>
      <c r="Y26" s="829" t="s">
        <v>547</v>
      </c>
      <c r="Z26" s="830">
        <v>1.03</v>
      </c>
      <c r="AA26" s="830">
        <v>0</v>
      </c>
      <c r="AB26" s="830">
        <v>1.006</v>
      </c>
      <c r="AD26" s="838"/>
      <c r="AM26" s="838"/>
      <c r="AN26" s="838"/>
    </row>
    <row r="27" spans="3:28" ht="40.15" customHeight="1">
      <c r="C27" s="840"/>
      <c r="D27" s="840"/>
      <c r="E27" s="1197" t="s">
        <v>1217</v>
      </c>
      <c r="F27" s="1199" t="s">
        <v>1329</v>
      </c>
      <c r="G27" s="1200"/>
      <c r="H27" s="1200"/>
      <c r="I27" s="1126" t="s">
        <v>1330</v>
      </c>
      <c r="J27" s="1127"/>
      <c r="K27" s="1126" t="s">
        <v>1324</v>
      </c>
      <c r="L27" s="1127"/>
      <c r="M27" s="1126" t="s">
        <v>1331</v>
      </c>
      <c r="N27" s="1127"/>
      <c r="O27" s="1126" t="s">
        <v>1332</v>
      </c>
      <c r="P27" s="1130"/>
      <c r="Q27" s="840"/>
      <c r="R27" s="840"/>
      <c r="S27" s="810"/>
      <c r="T27" s="810"/>
      <c r="V27" s="829" t="s">
        <v>202</v>
      </c>
      <c r="W27" s="829">
        <v>895</v>
      </c>
      <c r="X27" s="829" t="s">
        <v>561</v>
      </c>
      <c r="Y27" s="829" t="s">
        <v>553</v>
      </c>
      <c r="Z27" s="830">
        <v>1</v>
      </c>
      <c r="AA27" s="830">
        <v>0</v>
      </c>
      <c r="AB27" s="830">
        <v>1.006</v>
      </c>
    </row>
    <row r="28" spans="2:28" ht="40.15" customHeight="1" thickBot="1">
      <c r="B28" s="840"/>
      <c r="C28" s="840"/>
      <c r="D28" s="840"/>
      <c r="E28" s="1198"/>
      <c r="F28" s="1201"/>
      <c r="G28" s="1201"/>
      <c r="H28" s="1201"/>
      <c r="I28" s="1186">
        <f>IF(ChosenLA&lt;&gt;"",INDEX(DisadvantageLA,MATCH(LACode,LACodes,0)),0)</f>
        <v>0</v>
      </c>
      <c r="J28" s="1187"/>
      <c r="K28" s="1188"/>
      <c r="L28" s="1136"/>
      <c r="M28" s="1163">
        <f>FundingAtL3MathsAndEnglish</f>
        <v>0</v>
      </c>
      <c r="N28" s="1189"/>
      <c r="O28" s="1163">
        <f>FundingIncludingProgrammeCosts*IF(Block1Override&lt;&gt;"",Block1Override,Block1Factor)-FundingIncludingProgrammeCosts</f>
        <v>0</v>
      </c>
      <c r="P28" s="1164"/>
      <c r="Q28" s="840"/>
      <c r="R28" s="840"/>
      <c r="S28" s="810"/>
      <c r="T28" s="810"/>
      <c r="V28" s="829" t="s">
        <v>574</v>
      </c>
      <c r="W28" s="829">
        <v>896</v>
      </c>
      <c r="X28" s="829" t="s">
        <v>561</v>
      </c>
      <c r="Y28" s="829" t="s">
        <v>553</v>
      </c>
      <c r="Z28" s="830">
        <v>1</v>
      </c>
      <c r="AA28" s="830">
        <v>0</v>
      </c>
      <c r="AB28" s="830">
        <v>1.017</v>
      </c>
    </row>
    <row r="29" spans="2:28" customHeight="1" thickBot="1">
      <c r="B29" s="840"/>
      <c r="C29" s="840"/>
      <c r="D29" s="840"/>
      <c r="E29" s="1116" t="s">
        <v>571</v>
      </c>
      <c r="F29" s="1117"/>
      <c r="G29" s="1117"/>
      <c r="H29" s="1117"/>
      <c r="I29" s="1117"/>
      <c r="J29" s="1117"/>
      <c r="K29" s="1117"/>
      <c r="L29" s="1117"/>
      <c r="M29" s="1117"/>
      <c r="N29" s="1117"/>
      <c r="O29" s="1117"/>
      <c r="P29" s="1118"/>
      <c r="Q29" s="840"/>
      <c r="R29" s="840"/>
      <c r="S29" s="810"/>
      <c r="T29" s="810"/>
      <c r="V29" s="829" t="s">
        <v>203</v>
      </c>
      <c r="W29" s="829">
        <v>201</v>
      </c>
      <c r="X29" s="829" t="s">
        <v>546</v>
      </c>
      <c r="Y29" s="829" t="s">
        <v>547</v>
      </c>
      <c r="Z29" s="830" t="s">
        <v>352</v>
      </c>
      <c r="AA29" s="830" t="s">
        <v>352</v>
      </c>
      <c r="AB29" s="830"/>
    </row>
    <row r="30" spans="2:28" ht="40.15" customHeight="1">
      <c r="B30" s="840"/>
      <c r="C30" s="842"/>
      <c r="D30" s="842"/>
      <c r="E30" s="1197" t="s">
        <v>1218</v>
      </c>
      <c r="F30" s="1124" t="s">
        <v>1326</v>
      </c>
      <c r="G30" s="1125"/>
      <c r="H30" s="1126" t="s">
        <v>1324</v>
      </c>
      <c r="I30" s="1127"/>
      <c r="J30" s="1126" t="s">
        <v>1325</v>
      </c>
      <c r="K30" s="1127"/>
      <c r="L30" s="1170" t="s">
        <v>1221</v>
      </c>
      <c r="M30" s="1180"/>
      <c r="N30" s="1170" t="s">
        <v>1333</v>
      </c>
      <c r="O30" s="1171"/>
      <c r="P30" s="1172"/>
      <c r="Q30" s="842"/>
      <c r="R30" s="842"/>
      <c r="S30" s="810"/>
      <c r="T30" s="810"/>
      <c r="V30" s="829" t="s">
        <v>204</v>
      </c>
      <c r="W30" s="829">
        <v>908</v>
      </c>
      <c r="X30" s="829" t="s">
        <v>555</v>
      </c>
      <c r="Y30" s="829" t="s">
        <v>556</v>
      </c>
      <c r="Z30" s="830">
        <v>1</v>
      </c>
      <c r="AA30" s="830">
        <v>0</v>
      </c>
      <c r="AB30" s="830">
        <v>1.024</v>
      </c>
    </row>
    <row r="31" spans="1:28" ht="40.15" customHeight="1">
      <c r="A31" s="840"/>
      <c r="C31" s="842"/>
      <c r="D31" s="842"/>
      <c r="E31" s="1202"/>
      <c r="F31" s="1168">
        <v>0.161</v>
      </c>
      <c r="G31" s="1169"/>
      <c r="H31" s="1176"/>
      <c r="I31" s="1177"/>
      <c r="J31" s="1178">
        <f>ROUND(IF(Block2Override&lt;&gt;"",Block2Override,Block2InstancesAvg),3)*Students</f>
        <v>0</v>
      </c>
      <c r="K31" s="1179"/>
      <c r="L31" s="1181">
        <v>480</v>
      </c>
      <c r="M31" s="1182"/>
      <c r="N31" s="1173">
        <f>Block2Rate*Block2FundedInstances</f>
        <v>0</v>
      </c>
      <c r="O31" s="1174"/>
      <c r="P31" s="1175"/>
      <c r="Q31" s="842"/>
      <c r="R31" s="842"/>
      <c r="S31" s="810"/>
      <c r="T31" s="810"/>
      <c r="V31" s="829" t="s">
        <v>205</v>
      </c>
      <c r="W31" s="829">
        <v>331</v>
      </c>
      <c r="X31" s="829" t="s">
        <v>559</v>
      </c>
      <c r="Y31" s="829" t="s">
        <v>556</v>
      </c>
      <c r="Z31" s="830">
        <v>1</v>
      </c>
      <c r="AA31" s="830">
        <v>0</v>
      </c>
      <c r="AB31" s="830">
        <v>1.05</v>
      </c>
    </row>
    <row r="32" spans="1:40" customHeight="1">
      <c r="A32" s="840"/>
      <c r="C32" s="840"/>
      <c r="D32" s="840"/>
      <c r="E32" s="197" t="s">
        <v>1219</v>
      </c>
      <c r="F32" s="1195" t="s">
        <v>1341</v>
      </c>
      <c r="G32" s="1196"/>
      <c r="H32" s="1196"/>
      <c r="I32" s="1196"/>
      <c r="J32" s="1196"/>
      <c r="K32" s="1196"/>
      <c r="L32" s="1196"/>
      <c r="M32" s="1196"/>
      <c r="N32" s="1196"/>
      <c r="O32" s="1165">
        <f>IF(AND(ChosenLA&lt;&gt;"",Students&gt;0),IFERROR(IF(TotBlock2+TotBlock1&lt;6000,6000-TotBlock2-TotBlock1,0),0),0)</f>
        <v>0</v>
      </c>
      <c r="P32" s="1166"/>
      <c r="Q32" s="840"/>
      <c r="R32" s="840"/>
      <c r="S32" s="810"/>
      <c r="T32" s="810"/>
      <c r="U32" s="840"/>
      <c r="V32" s="829" t="s">
        <v>206</v>
      </c>
      <c r="W32" s="829">
        <v>306</v>
      </c>
      <c r="X32" s="829" t="s">
        <v>546</v>
      </c>
      <c r="Y32" s="829" t="s">
        <v>547</v>
      </c>
      <c r="Z32" s="830">
        <v>1.12</v>
      </c>
      <c r="AA32" s="830">
        <v>0</v>
      </c>
      <c r="AB32" s="830">
        <v>1.039</v>
      </c>
      <c r="AD32" s="838"/>
      <c r="AE32" s="838"/>
      <c r="AF32" s="838"/>
      <c r="AG32" s="838"/>
      <c r="AH32" s="838"/>
      <c r="AI32" s="838"/>
      <c r="AJ32" s="838"/>
      <c r="AK32" s="838"/>
      <c r="AL32" s="838"/>
      <c r="AM32" s="838"/>
      <c r="AN32" s="838"/>
    </row>
    <row r="33" spans="1:40" customHeight="1" thickBot="1">
      <c r="A33" s="840"/>
      <c r="C33" s="840"/>
      <c r="D33" s="840"/>
      <c r="E33" s="198" t="s">
        <v>1220</v>
      </c>
      <c r="F33" s="1193" t="s">
        <v>1229</v>
      </c>
      <c r="G33" s="1194"/>
      <c r="H33" s="1194"/>
      <c r="I33" s="1194"/>
      <c r="J33" s="1194"/>
      <c r="K33" s="1194"/>
      <c r="L33" s="1194"/>
      <c r="M33" s="1194"/>
      <c r="N33" s="1194"/>
      <c r="O33" s="1167">
        <f>SUM(TotBlock1,TotBlock2,MinTopUp)</f>
        <v>0</v>
      </c>
      <c r="P33" s="1164"/>
      <c r="Q33" s="867"/>
      <c r="R33" s="840"/>
      <c r="S33" s="621"/>
      <c r="T33" s="621"/>
      <c r="U33" s="840"/>
      <c r="V33" s="829" t="s">
        <v>207</v>
      </c>
      <c r="W33" s="829">
        <v>909</v>
      </c>
      <c r="X33" s="829" t="s">
        <v>561</v>
      </c>
      <c r="Y33" s="829" t="s">
        <v>553</v>
      </c>
      <c r="Z33" s="830">
        <v>1</v>
      </c>
      <c r="AA33" s="830">
        <v>0</v>
      </c>
      <c r="AB33" s="830">
        <v>1.012</v>
      </c>
      <c r="AD33" s="838"/>
      <c r="AE33" s="838"/>
      <c r="AF33" s="838"/>
      <c r="AG33" s="838"/>
      <c r="AH33" s="838"/>
      <c r="AI33" s="838"/>
      <c r="AJ33" s="838"/>
      <c r="AK33" s="838"/>
      <c r="AL33" s="838"/>
      <c r="AM33" s="838"/>
      <c r="AN33" s="838"/>
    </row>
    <row r="34" spans="3:41" customHeight="1" thickBot="1">
      <c r="C34" s="840"/>
      <c r="D34" s="840"/>
      <c r="E34" s="199"/>
      <c r="F34" s="200"/>
      <c r="G34" s="200"/>
      <c r="H34" s="200"/>
      <c r="I34" s="200"/>
      <c r="J34" s="200"/>
      <c r="K34" s="200"/>
      <c r="L34" s="200"/>
      <c r="M34" s="200"/>
      <c r="N34" s="200"/>
      <c r="O34" s="201"/>
      <c r="P34" s="202"/>
      <c r="Q34" s="840"/>
      <c r="R34" s="840"/>
      <c r="U34" s="832"/>
      <c r="V34" s="829" t="s">
        <v>208</v>
      </c>
      <c r="W34" s="829">
        <v>841</v>
      </c>
      <c r="X34" s="829" t="s">
        <v>575</v>
      </c>
      <c r="Y34" s="829" t="s">
        <v>553</v>
      </c>
      <c r="Z34" s="830">
        <v>1</v>
      </c>
      <c r="AA34" s="830">
        <v>0</v>
      </c>
      <c r="AB34" s="830">
        <v>1.02</v>
      </c>
      <c r="AD34" s="838"/>
      <c r="AE34" s="838"/>
      <c r="AF34" s="838"/>
      <c r="AG34" s="838"/>
      <c r="AH34" s="838"/>
      <c r="AI34" s="838"/>
      <c r="AJ34" s="838"/>
      <c r="AK34" s="838"/>
      <c r="AL34" s="838"/>
      <c r="AM34" s="838"/>
      <c r="AN34" s="838"/>
      <c r="AO34" s="838"/>
    </row>
    <row r="35" spans="3:28" customHeight="1" thickBot="1">
      <c r="C35" s="840"/>
      <c r="D35" s="840"/>
      <c r="E35" s="1223" t="s">
        <v>1227</v>
      </c>
      <c r="F35" s="1224"/>
      <c r="G35" s="1224"/>
      <c r="H35" s="1224"/>
      <c r="I35" s="1224"/>
      <c r="J35" s="1224"/>
      <c r="K35" s="1224"/>
      <c r="L35" s="1224"/>
      <c r="M35" s="1224"/>
      <c r="N35" s="1224"/>
      <c r="O35" s="1224"/>
      <c r="P35" s="1225"/>
      <c r="Q35" s="840"/>
      <c r="R35" s="840"/>
      <c r="V35" s="829" t="s">
        <v>210</v>
      </c>
      <c r="W35" s="829">
        <v>831</v>
      </c>
      <c r="X35" s="829" t="s">
        <v>576</v>
      </c>
      <c r="Y35" s="829" t="s">
        <v>556</v>
      </c>
      <c r="Z35" s="830">
        <v>1</v>
      </c>
      <c r="AA35" s="830">
        <v>0</v>
      </c>
      <c r="AB35" s="830">
        <v>1.062</v>
      </c>
    </row>
    <row r="36" spans="3:28" ht="40.15" customHeight="1">
      <c r="C36" s="840"/>
      <c r="D36" s="840"/>
      <c r="E36" s="1122" t="s">
        <v>1228</v>
      </c>
      <c r="F36" s="1226" t="s">
        <v>1335</v>
      </c>
      <c r="G36" s="1227"/>
      <c r="H36" s="1126" t="s">
        <v>1324</v>
      </c>
      <c r="I36" s="1127"/>
      <c r="J36" s="1126" t="s">
        <v>1325</v>
      </c>
      <c r="K36" s="1127"/>
      <c r="L36" s="1226" t="s">
        <v>1221</v>
      </c>
      <c r="M36" s="1228"/>
      <c r="N36" s="1226" t="s">
        <v>1336</v>
      </c>
      <c r="O36" s="1228"/>
      <c r="P36" s="1229"/>
      <c r="Q36" s="840"/>
      <c r="R36" s="840"/>
      <c r="V36" s="829" t="s">
        <v>212</v>
      </c>
      <c r="W36" s="829">
        <v>830</v>
      </c>
      <c r="X36" s="829" t="s">
        <v>576</v>
      </c>
      <c r="Y36" s="829" t="s">
        <v>556</v>
      </c>
      <c r="Z36" s="830">
        <v>1</v>
      </c>
      <c r="AA36" s="830">
        <v>0</v>
      </c>
      <c r="AB36" s="830">
        <v>1.015</v>
      </c>
    </row>
    <row r="37" spans="3:28" ht="40.15" customHeight="1" thickBot="1">
      <c r="C37" s="840"/>
      <c r="D37" s="840"/>
      <c r="E37" s="1123"/>
      <c r="F37" s="1230">
        <v>0.31</v>
      </c>
      <c r="G37" s="1231"/>
      <c r="H37" s="1232"/>
      <c r="I37" s="1232"/>
      <c r="J37" s="1233">
        <f>ROUND(IF(HVCPOverride&lt;&gt;"",HVCPOverride,HVCPNatAv),3)*Students</f>
        <v>0</v>
      </c>
      <c r="K37" s="1234"/>
      <c r="L37" s="1235">
        <v>400</v>
      </c>
      <c r="M37" s="1236"/>
      <c r="N37" s="1235">
        <f>HVCPInstances*HVCPRate</f>
        <v>0</v>
      </c>
      <c r="O37" s="1236"/>
      <c r="P37" s="1237"/>
      <c r="Q37" s="840"/>
      <c r="R37" s="840"/>
      <c r="V37" s="829" t="s">
        <v>213</v>
      </c>
      <c r="W37" s="829">
        <v>878</v>
      </c>
      <c r="X37" s="829" t="s">
        <v>555</v>
      </c>
      <c r="Y37" s="829" t="s">
        <v>556</v>
      </c>
      <c r="Z37" s="830">
        <v>1</v>
      </c>
      <c r="AA37" s="830">
        <v>0</v>
      </c>
      <c r="AB37" s="830">
        <v>1.009</v>
      </c>
    </row>
    <row r="38" spans="3:28" customHeight="1">
      <c r="C38" s="840"/>
      <c r="D38" s="840"/>
      <c r="E38" s="199"/>
      <c r="F38" s="200"/>
      <c r="G38" s="200"/>
      <c r="H38" s="200"/>
      <c r="I38" s="200"/>
      <c r="J38" s="200"/>
      <c r="K38" s="200"/>
      <c r="L38" s="200"/>
      <c r="M38" s="200"/>
      <c r="N38" s="200"/>
      <c r="O38" s="201"/>
      <c r="P38" s="202"/>
      <c r="Q38" s="840"/>
      <c r="R38" s="840"/>
      <c r="V38" s="829" t="s">
        <v>214</v>
      </c>
      <c r="W38" s="829">
        <v>371</v>
      </c>
      <c r="X38" s="829" t="s">
        <v>552</v>
      </c>
      <c r="Y38" s="829" t="s">
        <v>553</v>
      </c>
      <c r="Z38" s="830">
        <v>1</v>
      </c>
      <c r="AA38" s="830">
        <v>0</v>
      </c>
      <c r="AB38" s="830">
        <v>1.047</v>
      </c>
    </row>
    <row r="39" spans="3:28" customHeight="1">
      <c r="C39" s="810" t="s">
        <v>1231</v>
      </c>
      <c r="D39" s="810"/>
      <c r="E39" s="810"/>
      <c r="F39" s="810"/>
      <c r="G39" s="810"/>
      <c r="H39" s="810"/>
      <c r="I39" s="810"/>
      <c r="J39" s="810"/>
      <c r="K39" s="810"/>
      <c r="L39" s="810"/>
      <c r="M39" s="810"/>
      <c r="N39" s="810"/>
      <c r="O39" s="810"/>
      <c r="P39" s="810"/>
      <c r="Q39" s="810"/>
      <c r="R39" s="810"/>
      <c r="V39" s="829" t="s">
        <v>215</v>
      </c>
      <c r="W39" s="829">
        <v>838</v>
      </c>
      <c r="X39" s="829" t="s">
        <v>555</v>
      </c>
      <c r="Y39" s="829" t="s">
        <v>556</v>
      </c>
      <c r="Z39" s="830">
        <v>1</v>
      </c>
      <c r="AA39" s="830">
        <v>0</v>
      </c>
      <c r="AB39" s="830">
        <v>1.004</v>
      </c>
    </row>
    <row r="40" spans="3:28" customHeight="1">
      <c r="C40" s="810"/>
      <c r="D40" s="810"/>
      <c r="E40" s="810"/>
      <c r="F40" s="810"/>
      <c r="G40" s="810"/>
      <c r="H40" s="810"/>
      <c r="I40" s="810"/>
      <c r="J40" s="810"/>
      <c r="K40" s="810"/>
      <c r="L40" s="810"/>
      <c r="M40" s="810"/>
      <c r="N40" s="810"/>
      <c r="O40" s="810"/>
      <c r="P40" s="810"/>
      <c r="Q40" s="810"/>
      <c r="R40" s="810"/>
      <c r="V40" s="829" t="s">
        <v>216</v>
      </c>
      <c r="W40" s="829">
        <v>332</v>
      </c>
      <c r="X40" s="829" t="s">
        <v>559</v>
      </c>
      <c r="Y40" s="829" t="s">
        <v>556</v>
      </c>
      <c r="Z40" s="830">
        <v>1</v>
      </c>
      <c r="AA40" s="830">
        <v>0</v>
      </c>
      <c r="AB40" s="830">
        <v>1.028</v>
      </c>
    </row>
    <row r="41" spans="3:28" customHeight="1">
      <c r="C41" s="810"/>
      <c r="D41" s="810"/>
      <c r="E41" s="810"/>
      <c r="F41" s="810"/>
      <c r="G41" s="810"/>
      <c r="H41" s="810"/>
      <c r="I41" s="810"/>
      <c r="J41" s="810"/>
      <c r="K41" s="810"/>
      <c r="L41" s="810"/>
      <c r="M41" s="810"/>
      <c r="N41" s="810"/>
      <c r="O41" s="810"/>
      <c r="P41" s="810"/>
      <c r="Q41" s="810"/>
      <c r="R41" s="810"/>
      <c r="V41" s="829" t="s">
        <v>217</v>
      </c>
      <c r="W41" s="829">
        <v>840</v>
      </c>
      <c r="X41" s="829" t="s">
        <v>575</v>
      </c>
      <c r="Y41" s="829" t="s">
        <v>553</v>
      </c>
      <c r="Z41" s="830">
        <v>1</v>
      </c>
      <c r="AA41" s="830">
        <v>0</v>
      </c>
      <c r="AB41" s="830">
        <v>1.037</v>
      </c>
    </row>
    <row r="42" spans="3:28" customHeight="1">
      <c r="C42" s="810"/>
      <c r="D42" s="810"/>
      <c r="E42" s="810"/>
      <c r="F42" s="810"/>
      <c r="G42" s="810"/>
      <c r="H42" s="810"/>
      <c r="I42" s="810"/>
      <c r="J42" s="810"/>
      <c r="K42" s="810"/>
      <c r="L42" s="810"/>
      <c r="M42" s="810"/>
      <c r="N42" s="810"/>
      <c r="O42" s="810"/>
      <c r="P42" s="810"/>
      <c r="Q42" s="810"/>
      <c r="R42" s="810"/>
      <c r="V42" s="829" t="s">
        <v>218</v>
      </c>
      <c r="W42" s="829">
        <v>307</v>
      </c>
      <c r="X42" s="829" t="s">
        <v>546</v>
      </c>
      <c r="Y42" s="829" t="s">
        <v>547</v>
      </c>
      <c r="Z42" s="830">
        <v>1.12</v>
      </c>
      <c r="AA42" s="830">
        <v>0</v>
      </c>
      <c r="AB42" s="830">
        <v>1.045</v>
      </c>
    </row>
    <row r="43" spans="3:28" customHeight="1">
      <c r="C43" s="810"/>
      <c r="D43" s="810"/>
      <c r="E43" s="810"/>
      <c r="F43" s="810"/>
      <c r="G43" s="810"/>
      <c r="H43" s="810"/>
      <c r="I43" s="810"/>
      <c r="J43" s="810"/>
      <c r="K43" s="810"/>
      <c r="L43" s="810"/>
      <c r="M43" s="810"/>
      <c r="N43" s="810"/>
      <c r="O43" s="810"/>
      <c r="P43" s="810"/>
      <c r="Q43" s="810"/>
      <c r="R43" s="810"/>
      <c r="V43" s="829" t="s">
        <v>219</v>
      </c>
      <c r="W43" s="829">
        <v>811</v>
      </c>
      <c r="X43" s="829" t="s">
        <v>552</v>
      </c>
      <c r="Y43" s="829" t="s">
        <v>553</v>
      </c>
      <c r="Z43" s="830">
        <v>1</v>
      </c>
      <c r="AA43" s="830">
        <v>0</v>
      </c>
      <c r="AB43" s="830">
        <v>1.017</v>
      </c>
    </row>
    <row r="44" spans="3:28" customHeight="1">
      <c r="C44" s="810"/>
      <c r="D44" s="810"/>
      <c r="E44" s="810"/>
      <c r="F44" s="810"/>
      <c r="G44" s="810"/>
      <c r="H44" s="810"/>
      <c r="I44" s="810"/>
      <c r="J44" s="810"/>
      <c r="K44" s="810"/>
      <c r="L44" s="810"/>
      <c r="M44" s="810"/>
      <c r="N44" s="810"/>
      <c r="O44" s="810"/>
      <c r="P44" s="810"/>
      <c r="Q44" s="810"/>
      <c r="R44" s="810"/>
      <c r="V44" s="829" t="s">
        <v>220</v>
      </c>
      <c r="W44" s="829">
        <v>845</v>
      </c>
      <c r="X44" s="829" t="s">
        <v>568</v>
      </c>
      <c r="Y44" s="829" t="s">
        <v>547</v>
      </c>
      <c r="Z44" s="830">
        <v>1</v>
      </c>
      <c r="AA44" s="830">
        <v>0</v>
      </c>
      <c r="AB44" s="830">
        <v>1.01</v>
      </c>
    </row>
    <row r="45" spans="3:28" customHeight="1">
      <c r="C45" s="810"/>
      <c r="D45" s="810"/>
      <c r="E45" s="810"/>
      <c r="F45" s="810"/>
      <c r="G45" s="810"/>
      <c r="H45" s="810"/>
      <c r="I45" s="810"/>
      <c r="J45" s="810"/>
      <c r="K45" s="810"/>
      <c r="L45" s="810"/>
      <c r="M45" s="810"/>
      <c r="N45" s="810"/>
      <c r="O45" s="810"/>
      <c r="P45" s="810"/>
      <c r="Q45" s="810"/>
      <c r="R45" s="810"/>
      <c r="V45" s="829" t="s">
        <v>221</v>
      </c>
      <c r="W45" s="829">
        <v>308</v>
      </c>
      <c r="X45" s="829" t="s">
        <v>546</v>
      </c>
      <c r="Y45" s="829" t="s">
        <v>547</v>
      </c>
      <c r="Z45" s="830">
        <v>1.12</v>
      </c>
      <c r="AA45" s="830">
        <v>0</v>
      </c>
      <c r="AB45" s="830">
        <v>1.06</v>
      </c>
    </row>
    <row r="46" spans="3:28" customHeight="1">
      <c r="C46" s="810"/>
      <c r="D46" s="810"/>
      <c r="E46" s="810"/>
      <c r="F46" s="810"/>
      <c r="G46" s="810"/>
      <c r="H46" s="810"/>
      <c r="I46" s="810"/>
      <c r="J46" s="810"/>
      <c r="K46" s="810"/>
      <c r="L46" s="810"/>
      <c r="M46" s="810"/>
      <c r="N46" s="810"/>
      <c r="O46" s="810"/>
      <c r="P46" s="810"/>
      <c r="Q46" s="810"/>
      <c r="R46" s="810"/>
      <c r="V46" s="829" t="s">
        <v>222</v>
      </c>
      <c r="W46" s="829">
        <v>881</v>
      </c>
      <c r="X46" s="829" t="s">
        <v>558</v>
      </c>
      <c r="Y46" s="829" t="s">
        <v>547</v>
      </c>
      <c r="Z46" s="830">
        <v>1</v>
      </c>
      <c r="AA46" s="830">
        <v>1.06</v>
      </c>
      <c r="AB46" s="830">
        <v>1.016</v>
      </c>
    </row>
    <row r="47" spans="3:28" ht="12.75" customHeight="1" hidden="1">
      <c r="C47" s="621"/>
      <c r="D47" s="621"/>
      <c r="E47" s="621"/>
      <c r="F47" s="621"/>
      <c r="G47" s="621"/>
      <c r="H47" s="621"/>
      <c r="I47" s="621"/>
      <c r="J47" s="621"/>
      <c r="K47" s="621"/>
      <c r="L47" s="621"/>
      <c r="M47" s="621"/>
      <c r="N47" s="621"/>
      <c r="O47" s="621"/>
      <c r="P47" s="621"/>
      <c r="Q47" s="621"/>
      <c r="R47" s="621"/>
      <c r="V47" s="829" t="s">
        <v>223</v>
      </c>
      <c r="W47" s="829">
        <v>390</v>
      </c>
      <c r="X47" s="829" t="s">
        <v>575</v>
      </c>
      <c r="Y47" s="829" t="s">
        <v>553</v>
      </c>
      <c r="Z47" s="830">
        <v>1</v>
      </c>
      <c r="AA47" s="830">
        <v>0</v>
      </c>
      <c r="AB47" s="830">
        <v>1.035</v>
      </c>
    </row>
    <row r="48" spans="22:28" hidden="1">
      <c r="V48" s="829" t="s">
        <v>224</v>
      </c>
      <c r="W48" s="829">
        <v>916</v>
      </c>
      <c r="X48" s="829" t="s">
        <v>555</v>
      </c>
      <c r="Y48" s="829" t="s">
        <v>556</v>
      </c>
      <c r="Z48" s="830">
        <v>1</v>
      </c>
      <c r="AA48" s="830">
        <v>0</v>
      </c>
      <c r="AB48" s="830">
        <v>1.011</v>
      </c>
    </row>
    <row r="49" spans="22:28" hidden="1">
      <c r="V49" s="829" t="s">
        <v>225</v>
      </c>
      <c r="W49" s="829">
        <v>203</v>
      </c>
      <c r="X49" s="829" t="s">
        <v>546</v>
      </c>
      <c r="Y49" s="829" t="s">
        <v>547</v>
      </c>
      <c r="Z49" s="830">
        <v>1.2</v>
      </c>
      <c r="AA49" s="830">
        <v>0</v>
      </c>
      <c r="AB49" s="830">
        <v>1.049</v>
      </c>
    </row>
    <row r="50" spans="22:28" hidden="1">
      <c r="V50" s="829" t="s">
        <v>226</v>
      </c>
      <c r="W50" s="829">
        <v>204</v>
      </c>
      <c r="X50" s="829" t="s">
        <v>546</v>
      </c>
      <c r="Y50" s="829" t="s">
        <v>547</v>
      </c>
      <c r="Z50" s="830">
        <v>1.2</v>
      </c>
      <c r="AA50" s="830">
        <v>0</v>
      </c>
      <c r="AB50" s="830">
        <v>1.105</v>
      </c>
    </row>
    <row r="51" spans="22:28" hidden="1">
      <c r="V51" s="829" t="s">
        <v>227</v>
      </c>
      <c r="W51" s="829">
        <v>876</v>
      </c>
      <c r="X51" s="829" t="s">
        <v>561</v>
      </c>
      <c r="Y51" s="829" t="s">
        <v>553</v>
      </c>
      <c r="Z51" s="830">
        <v>1</v>
      </c>
      <c r="AA51" s="830">
        <v>0</v>
      </c>
      <c r="AB51" s="830">
        <v>1.113</v>
      </c>
    </row>
    <row r="52" spans="22:28" hidden="1">
      <c r="V52" s="829" t="s">
        <v>228</v>
      </c>
      <c r="W52" s="829">
        <v>205</v>
      </c>
      <c r="X52" s="829" t="s">
        <v>546</v>
      </c>
      <c r="Y52" s="829" t="s">
        <v>547</v>
      </c>
      <c r="Z52" s="830">
        <v>1.2</v>
      </c>
      <c r="AA52" s="830">
        <v>0</v>
      </c>
      <c r="AB52" s="830">
        <v>1.06</v>
      </c>
    </row>
    <row r="53" spans="22:28" hidden="1">
      <c r="V53" s="829" t="s">
        <v>229</v>
      </c>
      <c r="W53" s="829">
        <v>850</v>
      </c>
      <c r="X53" s="829" t="s">
        <v>568</v>
      </c>
      <c r="Y53" s="829" t="s">
        <v>547</v>
      </c>
      <c r="Z53" s="830">
        <v>1.02</v>
      </c>
      <c r="AA53" s="830">
        <v>0</v>
      </c>
      <c r="AB53" s="830">
        <v>1.007</v>
      </c>
    </row>
    <row r="54" spans="22:28" hidden="1">
      <c r="V54" s="829" t="s">
        <v>230</v>
      </c>
      <c r="W54" s="829">
        <v>309</v>
      </c>
      <c r="X54" s="829" t="s">
        <v>546</v>
      </c>
      <c r="Y54" s="829" t="s">
        <v>547</v>
      </c>
      <c r="Z54" s="830">
        <v>1.2</v>
      </c>
      <c r="AA54" s="830">
        <v>0</v>
      </c>
      <c r="AB54" s="830">
        <v>1.06</v>
      </c>
    </row>
    <row r="55" spans="22:28" hidden="1">
      <c r="V55" s="829" t="s">
        <v>231</v>
      </c>
      <c r="W55" s="829">
        <v>310</v>
      </c>
      <c r="X55" s="829" t="s">
        <v>546</v>
      </c>
      <c r="Y55" s="829" t="s">
        <v>547</v>
      </c>
      <c r="Z55" s="830">
        <v>1.12</v>
      </c>
      <c r="AA55" s="830">
        <v>0</v>
      </c>
      <c r="AB55" s="830">
        <v>1.01</v>
      </c>
    </row>
    <row r="56" spans="22:28" hidden="1">
      <c r="V56" s="829" t="s">
        <v>232</v>
      </c>
      <c r="W56" s="829">
        <v>805</v>
      </c>
      <c r="X56" s="829" t="s">
        <v>575</v>
      </c>
      <c r="Y56" s="829" t="s">
        <v>553</v>
      </c>
      <c r="Z56" s="830">
        <v>1</v>
      </c>
      <c r="AA56" s="830">
        <v>0</v>
      </c>
      <c r="AB56" s="830">
        <v>1.059</v>
      </c>
    </row>
    <row r="57" spans="22:28" hidden="1">
      <c r="V57" s="829" t="s">
        <v>233</v>
      </c>
      <c r="W57" s="829">
        <v>311</v>
      </c>
      <c r="X57" s="829" t="s">
        <v>546</v>
      </c>
      <c r="Y57" s="829" t="s">
        <v>547</v>
      </c>
      <c r="Z57" s="830">
        <v>1.12</v>
      </c>
      <c r="AA57" s="830">
        <v>0</v>
      </c>
      <c r="AB57" s="830">
        <v>1.017</v>
      </c>
    </row>
    <row r="58" spans="22:28" hidden="1">
      <c r="V58" s="829" t="s">
        <v>234</v>
      </c>
      <c r="W58" s="829">
        <v>884</v>
      </c>
      <c r="X58" s="829" t="s">
        <v>559</v>
      </c>
      <c r="Y58" s="829" t="s">
        <v>556</v>
      </c>
      <c r="Z58" s="830">
        <v>1</v>
      </c>
      <c r="AA58" s="830">
        <v>0</v>
      </c>
      <c r="AB58" s="830">
        <v>1.016</v>
      </c>
    </row>
    <row r="59" spans="22:28" hidden="1">
      <c r="V59" s="829" t="s">
        <v>235</v>
      </c>
      <c r="W59" s="829">
        <v>919</v>
      </c>
      <c r="X59" s="829" t="s">
        <v>558</v>
      </c>
      <c r="Y59" s="829" t="s">
        <v>547</v>
      </c>
      <c r="Z59" s="830">
        <v>1.03</v>
      </c>
      <c r="AA59" s="830">
        <v>1.1</v>
      </c>
      <c r="AB59" s="830">
        <v>1.004</v>
      </c>
    </row>
    <row r="60" spans="22:28" hidden="1">
      <c r="V60" s="829" t="s">
        <v>236</v>
      </c>
      <c r="W60" s="829">
        <v>312</v>
      </c>
      <c r="X60" s="829" t="s">
        <v>546</v>
      </c>
      <c r="Y60" s="829" t="s">
        <v>547</v>
      </c>
      <c r="Z60" s="830">
        <v>1.12</v>
      </c>
      <c r="AA60" s="830">
        <v>0</v>
      </c>
      <c r="AB60" s="830">
        <v>1.017</v>
      </c>
    </row>
    <row r="61" spans="22:28" hidden="1">
      <c r="V61" s="829" t="s">
        <v>237</v>
      </c>
      <c r="W61" s="829">
        <v>313</v>
      </c>
      <c r="X61" s="829" t="s">
        <v>546</v>
      </c>
      <c r="Y61" s="829" t="s">
        <v>547</v>
      </c>
      <c r="Z61" s="830">
        <v>1.12</v>
      </c>
      <c r="AA61" s="830">
        <v>0</v>
      </c>
      <c r="AB61" s="830">
        <v>1.028</v>
      </c>
    </row>
    <row r="62" spans="22:28" hidden="1">
      <c r="V62" s="829" t="s">
        <v>238</v>
      </c>
      <c r="W62" s="829">
        <v>921</v>
      </c>
      <c r="X62" s="829" t="s">
        <v>568</v>
      </c>
      <c r="Y62" s="829" t="s">
        <v>547</v>
      </c>
      <c r="Z62" s="830">
        <v>1.02</v>
      </c>
      <c r="AA62" s="830">
        <v>0</v>
      </c>
      <c r="AB62" s="830">
        <v>1.027</v>
      </c>
    </row>
    <row r="63" spans="22:28" hidden="1">
      <c r="V63" s="829" t="s">
        <v>239</v>
      </c>
      <c r="W63" s="829">
        <v>420</v>
      </c>
      <c r="X63" s="829" t="s">
        <v>555</v>
      </c>
      <c r="Y63" s="829" t="s">
        <v>556</v>
      </c>
      <c r="Z63" s="830" t="s">
        <v>352</v>
      </c>
      <c r="AA63" s="830" t="s">
        <v>352</v>
      </c>
      <c r="AB63" s="830"/>
    </row>
    <row r="64" spans="22:28" hidden="1">
      <c r="V64" s="829" t="s">
        <v>240</v>
      </c>
      <c r="W64" s="829">
        <v>206</v>
      </c>
      <c r="X64" s="829" t="s">
        <v>546</v>
      </c>
      <c r="Y64" s="829" t="s">
        <v>547</v>
      </c>
      <c r="Z64" s="830">
        <v>1.2</v>
      </c>
      <c r="AA64" s="830">
        <v>0</v>
      </c>
      <c r="AB64" s="830">
        <v>1.09</v>
      </c>
    </row>
    <row r="65" spans="22:28" hidden="1">
      <c r="V65" s="829" t="s">
        <v>241</v>
      </c>
      <c r="W65" s="829">
        <v>207</v>
      </c>
      <c r="X65" s="829" t="s">
        <v>546</v>
      </c>
      <c r="Y65" s="829" t="s">
        <v>547</v>
      </c>
      <c r="Z65" s="830">
        <v>1.2</v>
      </c>
      <c r="AA65" s="830">
        <v>0</v>
      </c>
      <c r="AB65" s="830">
        <v>1.048</v>
      </c>
    </row>
    <row r="66" spans="22:28" hidden="1">
      <c r="V66" s="829" t="s">
        <v>242</v>
      </c>
      <c r="W66" s="829">
        <v>886</v>
      </c>
      <c r="X66" s="829" t="s">
        <v>568</v>
      </c>
      <c r="Y66" s="829" t="s">
        <v>547</v>
      </c>
      <c r="Z66" s="830">
        <v>1</v>
      </c>
      <c r="AA66" s="830">
        <v>1.06</v>
      </c>
      <c r="AB66" s="830">
        <v>1.019</v>
      </c>
    </row>
    <row r="67" spans="22:28" hidden="1">
      <c r="V67" s="829" t="s">
        <v>243</v>
      </c>
      <c r="W67" s="829">
        <v>810</v>
      </c>
      <c r="X67" s="829" t="s">
        <v>552</v>
      </c>
      <c r="Y67" s="829" t="s">
        <v>553</v>
      </c>
      <c r="Z67" s="830">
        <v>1</v>
      </c>
      <c r="AA67" s="830">
        <v>0</v>
      </c>
      <c r="AB67" s="830">
        <v>1.121</v>
      </c>
    </row>
    <row r="68" spans="22:28" hidden="1">
      <c r="V68" s="829" t="s">
        <v>244</v>
      </c>
      <c r="W68" s="829">
        <v>314</v>
      </c>
      <c r="X68" s="829" t="s">
        <v>546</v>
      </c>
      <c r="Y68" s="829" t="s">
        <v>547</v>
      </c>
      <c r="Z68" s="830">
        <v>1.12</v>
      </c>
      <c r="AA68" s="830">
        <v>0</v>
      </c>
      <c r="AB68" s="830">
        <v>1.004</v>
      </c>
    </row>
    <row r="69" spans="22:28" hidden="1">
      <c r="V69" s="829" t="s">
        <v>245</v>
      </c>
      <c r="W69" s="829">
        <v>382</v>
      </c>
      <c r="X69" s="829" t="s">
        <v>552</v>
      </c>
      <c r="Y69" s="829" t="s">
        <v>553</v>
      </c>
      <c r="Z69" s="830">
        <v>1</v>
      </c>
      <c r="AA69" s="830">
        <v>0</v>
      </c>
      <c r="AB69" s="830">
        <v>1.048</v>
      </c>
    </row>
    <row r="70" spans="22:28" hidden="1">
      <c r="V70" s="829" t="s">
        <v>246</v>
      </c>
      <c r="W70" s="829">
        <v>340</v>
      </c>
      <c r="X70" s="829" t="s">
        <v>561</v>
      </c>
      <c r="Y70" s="829" t="s">
        <v>553</v>
      </c>
      <c r="Z70" s="830">
        <v>1</v>
      </c>
      <c r="AA70" s="830">
        <v>0</v>
      </c>
      <c r="AB70" s="830">
        <v>1.125</v>
      </c>
    </row>
    <row r="71" spans="22:28" hidden="1">
      <c r="V71" s="829" t="s">
        <v>247</v>
      </c>
      <c r="W71" s="829">
        <v>208</v>
      </c>
      <c r="X71" s="829" t="s">
        <v>546</v>
      </c>
      <c r="Y71" s="829" t="s">
        <v>547</v>
      </c>
      <c r="Z71" s="830">
        <v>1.2</v>
      </c>
      <c r="AA71" s="830">
        <v>0</v>
      </c>
      <c r="AB71" s="830">
        <v>1.064</v>
      </c>
    </row>
    <row r="72" spans="22:28" hidden="1">
      <c r="V72" s="829" t="s">
        <v>248</v>
      </c>
      <c r="W72" s="829">
        <v>888</v>
      </c>
      <c r="X72" s="829" t="s">
        <v>561</v>
      </c>
      <c r="Y72" s="829" t="s">
        <v>553</v>
      </c>
      <c r="Z72" s="830">
        <v>1</v>
      </c>
      <c r="AA72" s="830">
        <v>0</v>
      </c>
      <c r="AB72" s="830">
        <v>1.036</v>
      </c>
    </row>
    <row r="73" spans="22:28" hidden="1">
      <c r="V73" s="829" t="s">
        <v>249</v>
      </c>
      <c r="W73" s="829">
        <v>383</v>
      </c>
      <c r="X73" s="829" t="s">
        <v>552</v>
      </c>
      <c r="Y73" s="829" t="s">
        <v>553</v>
      </c>
      <c r="Z73" s="830">
        <v>1</v>
      </c>
      <c r="AA73" s="830">
        <v>0</v>
      </c>
      <c r="AB73" s="830">
        <v>1.046</v>
      </c>
    </row>
    <row r="74" spans="22:28" hidden="1">
      <c r="V74" s="829" t="s">
        <v>250</v>
      </c>
      <c r="W74" s="829">
        <v>856</v>
      </c>
      <c r="X74" s="829" t="s">
        <v>576</v>
      </c>
      <c r="Y74" s="829" t="s">
        <v>556</v>
      </c>
      <c r="Z74" s="830">
        <v>1</v>
      </c>
      <c r="AA74" s="830">
        <v>0</v>
      </c>
      <c r="AB74" s="830">
        <v>1.055</v>
      </c>
    </row>
    <row r="75" spans="22:28" hidden="1">
      <c r="V75" s="829" t="s">
        <v>251</v>
      </c>
      <c r="W75" s="829">
        <v>855</v>
      </c>
      <c r="X75" s="829" t="s">
        <v>576</v>
      </c>
      <c r="Y75" s="829" t="s">
        <v>556</v>
      </c>
      <c r="Z75" s="830">
        <v>1</v>
      </c>
      <c r="AA75" s="830">
        <v>0</v>
      </c>
      <c r="AB75" s="830">
        <v>1.009</v>
      </c>
    </row>
    <row r="76" spans="22:28" hidden="1">
      <c r="V76" s="829" t="s">
        <v>252</v>
      </c>
      <c r="W76" s="829">
        <v>209</v>
      </c>
      <c r="X76" s="829" t="s">
        <v>546</v>
      </c>
      <c r="Y76" s="829" t="s">
        <v>547</v>
      </c>
      <c r="Z76" s="830">
        <v>1.2</v>
      </c>
      <c r="AA76" s="830">
        <v>0</v>
      </c>
      <c r="AB76" s="830">
        <v>1.06</v>
      </c>
    </row>
    <row r="77" spans="22:28" hidden="1">
      <c r="V77" s="829" t="s">
        <v>253</v>
      </c>
      <c r="W77" s="829">
        <v>925</v>
      </c>
      <c r="X77" s="829" t="s">
        <v>576</v>
      </c>
      <c r="Y77" s="829" t="s">
        <v>556</v>
      </c>
      <c r="Z77" s="830">
        <v>1</v>
      </c>
      <c r="AA77" s="830">
        <v>0</v>
      </c>
      <c r="AB77" s="830">
        <v>1.019</v>
      </c>
    </row>
    <row r="78" spans="22:28" hidden="1">
      <c r="V78" s="829" t="s">
        <v>254</v>
      </c>
      <c r="W78" s="829">
        <v>341</v>
      </c>
      <c r="X78" s="829" t="s">
        <v>561</v>
      </c>
      <c r="Y78" s="829" t="s">
        <v>553</v>
      </c>
      <c r="Z78" s="830">
        <v>1</v>
      </c>
      <c r="AA78" s="830">
        <v>0</v>
      </c>
      <c r="AB78" s="830">
        <v>1.103</v>
      </c>
    </row>
    <row r="79" spans="22:28" hidden="1">
      <c r="V79" s="829" t="s">
        <v>255</v>
      </c>
      <c r="W79" s="829">
        <v>821</v>
      </c>
      <c r="X79" s="829" t="s">
        <v>558</v>
      </c>
      <c r="Y79" s="829" t="s">
        <v>547</v>
      </c>
      <c r="Z79" s="830">
        <v>1.03</v>
      </c>
      <c r="AA79" s="830">
        <v>0</v>
      </c>
      <c r="AB79" s="830">
        <v>1.049</v>
      </c>
    </row>
    <row r="80" spans="22:28" hidden="1">
      <c r="V80" s="829" t="s">
        <v>256</v>
      </c>
      <c r="W80" s="829">
        <v>352</v>
      </c>
      <c r="X80" s="829" t="s">
        <v>561</v>
      </c>
      <c r="Y80" s="829" t="s">
        <v>553</v>
      </c>
      <c r="Z80" s="830">
        <v>1</v>
      </c>
      <c r="AA80" s="830">
        <v>0</v>
      </c>
      <c r="AB80" s="830">
        <v>1.089</v>
      </c>
    </row>
    <row r="81" spans="22:28" hidden="1">
      <c r="V81" s="829" t="s">
        <v>257</v>
      </c>
      <c r="W81" s="829">
        <v>887</v>
      </c>
      <c r="X81" s="829" t="s">
        <v>568</v>
      </c>
      <c r="Y81" s="829" t="s">
        <v>547</v>
      </c>
      <c r="Z81" s="830">
        <v>1</v>
      </c>
      <c r="AA81" s="830">
        <v>0</v>
      </c>
      <c r="AB81" s="830">
        <v>1.029</v>
      </c>
    </row>
    <row r="82" spans="22:28" hidden="1">
      <c r="V82" s="829" t="s">
        <v>258</v>
      </c>
      <c r="W82" s="829">
        <v>315</v>
      </c>
      <c r="X82" s="829" t="s">
        <v>546</v>
      </c>
      <c r="Y82" s="829" t="s">
        <v>547</v>
      </c>
      <c r="Z82" s="830">
        <v>1.12</v>
      </c>
      <c r="AA82" s="830">
        <v>0</v>
      </c>
      <c r="AB82" s="830">
        <v>1.017</v>
      </c>
    </row>
    <row r="83" spans="22:28" hidden="1">
      <c r="V83" s="829" t="s">
        <v>259</v>
      </c>
      <c r="W83" s="829">
        <v>806</v>
      </c>
      <c r="X83" s="829" t="s">
        <v>575</v>
      </c>
      <c r="Y83" s="829" t="s">
        <v>553</v>
      </c>
      <c r="Z83" s="830">
        <v>1</v>
      </c>
      <c r="AA83" s="830">
        <v>0</v>
      </c>
      <c r="AB83" s="830">
        <v>1.084</v>
      </c>
    </row>
    <row r="84" spans="22:28" hidden="1">
      <c r="V84" s="829" t="s">
        <v>260</v>
      </c>
      <c r="W84" s="829">
        <v>826</v>
      </c>
      <c r="X84" s="829" t="s">
        <v>568</v>
      </c>
      <c r="Y84" s="829" t="s">
        <v>547</v>
      </c>
      <c r="Z84" s="830">
        <v>1.07</v>
      </c>
      <c r="AA84" s="830">
        <v>0</v>
      </c>
      <c r="AB84" s="830">
        <v>1.024</v>
      </c>
    </row>
    <row r="85" spans="22:28" hidden="1">
      <c r="V85" s="829" t="s">
        <v>261</v>
      </c>
      <c r="W85" s="829">
        <v>391</v>
      </c>
      <c r="X85" s="829" t="s">
        <v>575</v>
      </c>
      <c r="Y85" s="829" t="s">
        <v>553</v>
      </c>
      <c r="Z85" s="830">
        <v>1</v>
      </c>
      <c r="AA85" s="830">
        <v>0</v>
      </c>
      <c r="AB85" s="830">
        <v>1.067</v>
      </c>
    </row>
    <row r="86" spans="22:28" hidden="1">
      <c r="V86" s="829" t="s">
        <v>262</v>
      </c>
      <c r="W86" s="829">
        <v>316</v>
      </c>
      <c r="X86" s="829" t="s">
        <v>546</v>
      </c>
      <c r="Y86" s="829" t="s">
        <v>547</v>
      </c>
      <c r="Z86" s="830">
        <v>1.2</v>
      </c>
      <c r="AA86" s="830">
        <v>0</v>
      </c>
      <c r="AB86" s="830">
        <v>1.079</v>
      </c>
    </row>
    <row r="87" spans="22:28" hidden="1">
      <c r="V87" s="829" t="s">
        <v>263</v>
      </c>
      <c r="W87" s="829">
        <v>926</v>
      </c>
      <c r="X87" s="829" t="s">
        <v>558</v>
      </c>
      <c r="Y87" s="829" t="s">
        <v>547</v>
      </c>
      <c r="Z87" s="830">
        <v>1</v>
      </c>
      <c r="AA87" s="830">
        <v>0</v>
      </c>
      <c r="AB87" s="830">
        <v>1.013</v>
      </c>
    </row>
    <row r="88" spans="22:28" hidden="1">
      <c r="V88" s="829" t="s">
        <v>264</v>
      </c>
      <c r="W88" s="829">
        <v>812</v>
      </c>
      <c r="X88" s="829" t="s">
        <v>552</v>
      </c>
      <c r="Y88" s="829" t="s">
        <v>553</v>
      </c>
      <c r="Z88" s="830">
        <v>1</v>
      </c>
      <c r="AA88" s="830">
        <v>0</v>
      </c>
      <c r="AB88" s="830">
        <v>1.018</v>
      </c>
    </row>
    <row r="89" spans="22:28" hidden="1">
      <c r="V89" s="829" t="s">
        <v>265</v>
      </c>
      <c r="W89" s="829">
        <v>813</v>
      </c>
      <c r="X89" s="829" t="s">
        <v>552</v>
      </c>
      <c r="Y89" s="829" t="s">
        <v>553</v>
      </c>
      <c r="Z89" s="830">
        <v>1</v>
      </c>
      <c r="AA89" s="830">
        <v>0</v>
      </c>
      <c r="AB89" s="830">
        <v>1.01</v>
      </c>
    </row>
    <row r="90" spans="22:28" hidden="1">
      <c r="V90" s="829" t="s">
        <v>266</v>
      </c>
      <c r="W90" s="829">
        <v>802</v>
      </c>
      <c r="X90" s="829" t="s">
        <v>555</v>
      </c>
      <c r="Y90" s="829" t="s">
        <v>556</v>
      </c>
      <c r="Z90" s="830">
        <v>1</v>
      </c>
      <c r="AA90" s="830">
        <v>0</v>
      </c>
      <c r="AB90" s="830">
        <v>1.012</v>
      </c>
    </row>
    <row r="91" spans="22:28" hidden="1">
      <c r="V91" s="829" t="s">
        <v>267</v>
      </c>
      <c r="W91" s="829">
        <v>392</v>
      </c>
      <c r="X91" s="829" t="s">
        <v>575</v>
      </c>
      <c r="Y91" s="829" t="s">
        <v>553</v>
      </c>
      <c r="Z91" s="830">
        <v>1</v>
      </c>
      <c r="AA91" s="830">
        <v>0</v>
      </c>
      <c r="AB91" s="830">
        <v>1.026</v>
      </c>
    </row>
    <row r="92" spans="22:28" hidden="1">
      <c r="V92" s="829" t="s">
        <v>268</v>
      </c>
      <c r="W92" s="829">
        <v>815</v>
      </c>
      <c r="X92" s="829" t="s">
        <v>552</v>
      </c>
      <c r="Y92" s="829" t="s">
        <v>553</v>
      </c>
      <c r="Z92" s="830">
        <v>1</v>
      </c>
      <c r="AA92" s="830">
        <v>0</v>
      </c>
      <c r="AB92" s="830">
        <v>1.005</v>
      </c>
    </row>
    <row r="93" spans="22:28" hidden="1">
      <c r="V93" s="829" t="s">
        <v>269</v>
      </c>
      <c r="W93" s="829">
        <v>928</v>
      </c>
      <c r="X93" s="829" t="s">
        <v>576</v>
      </c>
      <c r="Y93" s="829" t="s">
        <v>556</v>
      </c>
      <c r="Z93" s="830">
        <v>1</v>
      </c>
      <c r="AA93" s="830">
        <v>0</v>
      </c>
      <c r="AB93" s="830">
        <v>1.023</v>
      </c>
    </row>
    <row r="94" spans="22:28" hidden="1">
      <c r="V94" s="829" t="s">
        <v>270</v>
      </c>
      <c r="W94" s="829">
        <v>929</v>
      </c>
      <c r="X94" s="829" t="s">
        <v>575</v>
      </c>
      <c r="Y94" s="829" t="s">
        <v>553</v>
      </c>
      <c r="Z94" s="830">
        <v>1</v>
      </c>
      <c r="AA94" s="830">
        <v>0</v>
      </c>
      <c r="AB94" s="830">
        <v>1.019</v>
      </c>
    </row>
    <row r="95" spans="22:28" hidden="1">
      <c r="V95" s="829" t="s">
        <v>271</v>
      </c>
      <c r="W95" s="829">
        <v>892</v>
      </c>
      <c r="X95" s="829" t="s">
        <v>576</v>
      </c>
      <c r="Y95" s="829" t="s">
        <v>556</v>
      </c>
      <c r="Z95" s="830">
        <v>1</v>
      </c>
      <c r="AA95" s="830">
        <v>0</v>
      </c>
      <c r="AB95" s="830">
        <v>1.092</v>
      </c>
    </row>
    <row r="96" spans="22:28" hidden="1">
      <c r="V96" s="829" t="s">
        <v>272</v>
      </c>
      <c r="W96" s="829">
        <v>891</v>
      </c>
      <c r="X96" s="829" t="s">
        <v>576</v>
      </c>
      <c r="Y96" s="829" t="s">
        <v>556</v>
      </c>
      <c r="Z96" s="830">
        <v>1</v>
      </c>
      <c r="AA96" s="830">
        <v>0</v>
      </c>
      <c r="AB96" s="830">
        <v>1.024</v>
      </c>
    </row>
    <row r="97" spans="22:28" hidden="1">
      <c r="V97" s="829" t="s">
        <v>273</v>
      </c>
      <c r="W97" s="829">
        <v>353</v>
      </c>
      <c r="X97" s="829" t="s">
        <v>561</v>
      </c>
      <c r="Y97" s="829" t="s">
        <v>553</v>
      </c>
      <c r="Z97" s="830">
        <v>1</v>
      </c>
      <c r="AA97" s="830">
        <v>0</v>
      </c>
      <c r="AB97" s="830">
        <v>1.039</v>
      </c>
    </row>
    <row r="98" spans="22:28" hidden="1">
      <c r="V98" s="829" t="s">
        <v>274</v>
      </c>
      <c r="W98" s="829">
        <v>931</v>
      </c>
      <c r="X98" s="829" t="s">
        <v>568</v>
      </c>
      <c r="Y98" s="829" t="s">
        <v>547</v>
      </c>
      <c r="Z98" s="830">
        <v>1.07</v>
      </c>
      <c r="AA98" s="830">
        <v>0</v>
      </c>
      <c r="AB98" s="830">
        <v>1.01</v>
      </c>
    </row>
    <row r="99" spans="22:28" hidden="1">
      <c r="V99" s="829" t="s">
        <v>275</v>
      </c>
      <c r="W99" s="829">
        <v>874</v>
      </c>
      <c r="X99" s="829" t="s">
        <v>558</v>
      </c>
      <c r="Y99" s="829" t="s">
        <v>547</v>
      </c>
      <c r="Z99" s="830">
        <v>1.02</v>
      </c>
      <c r="AA99" s="830">
        <v>0</v>
      </c>
      <c r="AB99" s="830">
        <v>1.049</v>
      </c>
    </row>
    <row r="100" spans="22:28" hidden="1">
      <c r="V100" s="829" t="s">
        <v>276</v>
      </c>
      <c r="W100" s="829">
        <v>879</v>
      </c>
      <c r="X100" s="829" t="s">
        <v>555</v>
      </c>
      <c r="Y100" s="829" t="s">
        <v>556</v>
      </c>
      <c r="Z100" s="830">
        <v>1</v>
      </c>
      <c r="AA100" s="830">
        <v>0</v>
      </c>
      <c r="AB100" s="830">
        <v>1.051</v>
      </c>
    </row>
    <row r="101" spans="22:28" hidden="1">
      <c r="V101" s="829" t="s">
        <v>277</v>
      </c>
      <c r="W101" s="829">
        <v>851</v>
      </c>
      <c r="X101" s="829" t="s">
        <v>568</v>
      </c>
      <c r="Y101" s="829" t="s">
        <v>547</v>
      </c>
      <c r="Z101" s="830">
        <v>1.02</v>
      </c>
      <c r="AA101" s="830">
        <v>0</v>
      </c>
      <c r="AB101" s="830">
        <v>1.09</v>
      </c>
    </row>
    <row r="102" spans="22:28" hidden="1">
      <c r="V102" s="829" t="s">
        <v>278</v>
      </c>
      <c r="W102" s="829">
        <v>870</v>
      </c>
      <c r="X102" s="829" t="s">
        <v>568</v>
      </c>
      <c r="Y102" s="829" t="s">
        <v>547</v>
      </c>
      <c r="Z102" s="830">
        <v>1.12</v>
      </c>
      <c r="AA102" s="830">
        <v>0</v>
      </c>
      <c r="AB102" s="830">
        <v>1.018</v>
      </c>
    </row>
    <row r="103" spans="22:28" hidden="1">
      <c r="V103" s="829" t="s">
        <v>279</v>
      </c>
      <c r="W103" s="829">
        <v>317</v>
      </c>
      <c r="X103" s="829" t="s">
        <v>546</v>
      </c>
      <c r="Y103" s="829" t="s">
        <v>547</v>
      </c>
      <c r="Z103" s="830">
        <v>1.12</v>
      </c>
      <c r="AA103" s="830">
        <v>0</v>
      </c>
      <c r="AB103" s="830">
        <v>1.025</v>
      </c>
    </row>
    <row r="104" spans="22:28" hidden="1">
      <c r="V104" s="829" t="s">
        <v>280</v>
      </c>
      <c r="W104" s="829">
        <v>807</v>
      </c>
      <c r="X104" s="829" t="s">
        <v>575</v>
      </c>
      <c r="Y104" s="829" t="s">
        <v>553</v>
      </c>
      <c r="Z104" s="830">
        <v>1</v>
      </c>
      <c r="AA104" s="830">
        <v>0</v>
      </c>
      <c r="AB104" s="830">
        <v>1.065</v>
      </c>
    </row>
    <row r="105" spans="22:28" hidden="1">
      <c r="V105" s="829" t="s">
        <v>281</v>
      </c>
      <c r="W105" s="829">
        <v>318</v>
      </c>
      <c r="X105" s="829" t="s">
        <v>546</v>
      </c>
      <c r="Y105" s="829" t="s">
        <v>547</v>
      </c>
      <c r="Z105" s="830">
        <v>1.12</v>
      </c>
      <c r="AA105" s="830">
        <v>0</v>
      </c>
      <c r="AB105" s="830">
        <v>1.007</v>
      </c>
    </row>
    <row r="106" spans="22:28" hidden="1">
      <c r="V106" s="829" t="s">
        <v>282</v>
      </c>
      <c r="W106" s="829">
        <v>354</v>
      </c>
      <c r="X106" s="829" t="s">
        <v>561</v>
      </c>
      <c r="Y106" s="829" t="s">
        <v>553</v>
      </c>
      <c r="Z106" s="830">
        <v>1</v>
      </c>
      <c r="AA106" s="830">
        <v>0</v>
      </c>
      <c r="AB106" s="830">
        <v>1.092</v>
      </c>
    </row>
    <row r="107" spans="22:28" hidden="1">
      <c r="V107" s="829" t="s">
        <v>283</v>
      </c>
      <c r="W107" s="829">
        <v>372</v>
      </c>
      <c r="X107" s="829" t="s">
        <v>552</v>
      </c>
      <c r="Y107" s="829" t="s">
        <v>553</v>
      </c>
      <c r="Z107" s="830">
        <v>1</v>
      </c>
      <c r="AA107" s="830">
        <v>0</v>
      </c>
      <c r="AB107" s="830">
        <v>1.034</v>
      </c>
    </row>
    <row r="108" spans="22:28" hidden="1">
      <c r="V108" s="829" t="s">
        <v>284</v>
      </c>
      <c r="W108" s="829">
        <v>857</v>
      </c>
      <c r="X108" s="829" t="s">
        <v>576</v>
      </c>
      <c r="Y108" s="829" t="s">
        <v>556</v>
      </c>
      <c r="Z108" s="830">
        <v>1</v>
      </c>
      <c r="AA108" s="830">
        <v>0</v>
      </c>
      <c r="AB108" s="830">
        <v>1.001</v>
      </c>
    </row>
    <row r="109" spans="22:28" hidden="1">
      <c r="V109" s="829" t="s">
        <v>285</v>
      </c>
      <c r="W109" s="829">
        <v>355</v>
      </c>
      <c r="X109" s="829" t="s">
        <v>561</v>
      </c>
      <c r="Y109" s="829" t="s">
        <v>553</v>
      </c>
      <c r="Z109" s="830">
        <v>1</v>
      </c>
      <c r="AA109" s="830">
        <v>0</v>
      </c>
      <c r="AB109" s="830">
        <v>1.087</v>
      </c>
    </row>
    <row r="110" spans="22:28" hidden="1">
      <c r="V110" s="829" t="s">
        <v>286</v>
      </c>
      <c r="W110" s="829">
        <v>333</v>
      </c>
      <c r="X110" s="829" t="s">
        <v>559</v>
      </c>
      <c r="Y110" s="829" t="s">
        <v>556</v>
      </c>
      <c r="Z110" s="830">
        <v>1</v>
      </c>
      <c r="AA110" s="830">
        <v>0</v>
      </c>
      <c r="AB110" s="830">
        <v>1.095</v>
      </c>
    </row>
    <row r="111" spans="22:28" hidden="1">
      <c r="V111" s="829" t="s">
        <v>287</v>
      </c>
      <c r="W111" s="829">
        <v>343</v>
      </c>
      <c r="X111" s="829" t="s">
        <v>561</v>
      </c>
      <c r="Y111" s="829" t="s">
        <v>553</v>
      </c>
      <c r="Z111" s="830">
        <v>1</v>
      </c>
      <c r="AA111" s="830">
        <v>0</v>
      </c>
      <c r="AB111" s="830">
        <v>1.049</v>
      </c>
    </row>
    <row r="112" spans="22:28" hidden="1">
      <c r="V112" s="829" t="s">
        <v>288</v>
      </c>
      <c r="W112" s="829">
        <v>373</v>
      </c>
      <c r="X112" s="829" t="s">
        <v>552</v>
      </c>
      <c r="Y112" s="829" t="s">
        <v>553</v>
      </c>
      <c r="Z112" s="830">
        <v>1</v>
      </c>
      <c r="AA112" s="830">
        <v>0</v>
      </c>
      <c r="AB112" s="830">
        <v>1.042</v>
      </c>
    </row>
    <row r="113" spans="22:28" hidden="1">
      <c r="V113" s="829" t="s">
        <v>289</v>
      </c>
      <c r="W113" s="829">
        <v>893</v>
      </c>
      <c r="X113" s="829" t="s">
        <v>559</v>
      </c>
      <c r="Y113" s="829" t="s">
        <v>556</v>
      </c>
      <c r="Z113" s="830">
        <v>1</v>
      </c>
      <c r="AA113" s="830">
        <v>0</v>
      </c>
      <c r="AB113" s="830">
        <v>1.002</v>
      </c>
    </row>
    <row r="114" spans="22:28" hidden="1">
      <c r="V114" s="829" t="s">
        <v>290</v>
      </c>
      <c r="W114" s="829">
        <v>871</v>
      </c>
      <c r="X114" s="829" t="s">
        <v>568</v>
      </c>
      <c r="Y114" s="829" t="s">
        <v>547</v>
      </c>
      <c r="Z114" s="830">
        <v>1.12</v>
      </c>
      <c r="AA114" s="830">
        <v>0</v>
      </c>
      <c r="AB114" s="830">
        <v>1.02</v>
      </c>
    </row>
    <row r="115" spans="22:28" hidden="1">
      <c r="V115" s="829" t="s">
        <v>291</v>
      </c>
      <c r="W115" s="829">
        <v>334</v>
      </c>
      <c r="X115" s="829" t="s">
        <v>559</v>
      </c>
      <c r="Y115" s="829" t="s">
        <v>556</v>
      </c>
      <c r="Z115" s="830">
        <v>1</v>
      </c>
      <c r="AA115" s="830">
        <v>0</v>
      </c>
      <c r="AB115" s="830">
        <v>1.04</v>
      </c>
    </row>
    <row r="116" spans="22:28" hidden="1">
      <c r="V116" s="829" t="s">
        <v>292</v>
      </c>
      <c r="W116" s="829">
        <v>933</v>
      </c>
      <c r="X116" s="829" t="s">
        <v>555</v>
      </c>
      <c r="Y116" s="829" t="s">
        <v>556</v>
      </c>
      <c r="Z116" s="830">
        <v>1</v>
      </c>
      <c r="AA116" s="830">
        <v>0</v>
      </c>
      <c r="AB116" s="830">
        <v>1.009</v>
      </c>
    </row>
    <row r="117" spans="22:28" hidden="1">
      <c r="V117" s="829" t="s">
        <v>293</v>
      </c>
      <c r="W117" s="829">
        <v>803</v>
      </c>
      <c r="X117" s="829" t="s">
        <v>555</v>
      </c>
      <c r="Y117" s="829" t="s">
        <v>556</v>
      </c>
      <c r="Z117" s="830">
        <v>1</v>
      </c>
      <c r="AA117" s="830">
        <v>0</v>
      </c>
      <c r="AB117" s="830">
        <v>1.011</v>
      </c>
    </row>
    <row r="118" spans="22:28" hidden="1">
      <c r="V118" s="829" t="s">
        <v>294</v>
      </c>
      <c r="W118" s="829">
        <v>393</v>
      </c>
      <c r="X118" s="829" t="s">
        <v>575</v>
      </c>
      <c r="Y118" s="829" t="s">
        <v>553</v>
      </c>
      <c r="Z118" s="830">
        <v>1</v>
      </c>
      <c r="AA118" s="830">
        <v>0</v>
      </c>
      <c r="AB118" s="830">
        <v>1.056</v>
      </c>
    </row>
    <row r="119" spans="22:28" hidden="1">
      <c r="V119" s="829" t="s">
        <v>295</v>
      </c>
      <c r="W119" s="829">
        <v>852</v>
      </c>
      <c r="X119" s="829" t="s">
        <v>568</v>
      </c>
      <c r="Y119" s="829" t="s">
        <v>547</v>
      </c>
      <c r="Z119" s="830">
        <v>1.02</v>
      </c>
      <c r="AA119" s="830">
        <v>0</v>
      </c>
      <c r="AB119" s="830">
        <v>1.054</v>
      </c>
    </row>
    <row r="120" spans="22:28" hidden="1">
      <c r="V120" s="829" t="s">
        <v>296</v>
      </c>
      <c r="W120" s="829">
        <v>882</v>
      </c>
      <c r="X120" s="829" t="s">
        <v>558</v>
      </c>
      <c r="Y120" s="829" t="s">
        <v>547</v>
      </c>
      <c r="Z120" s="830">
        <v>1</v>
      </c>
      <c r="AA120" s="830">
        <v>0</v>
      </c>
      <c r="AB120" s="830">
        <v>1.019</v>
      </c>
    </row>
    <row r="121" spans="22:28" hidden="1">
      <c r="V121" s="829" t="s">
        <v>297</v>
      </c>
      <c r="W121" s="829">
        <v>210</v>
      </c>
      <c r="X121" s="829" t="s">
        <v>546</v>
      </c>
      <c r="Y121" s="829" t="s">
        <v>547</v>
      </c>
      <c r="Z121" s="830">
        <v>1.2</v>
      </c>
      <c r="AA121" s="830">
        <v>0</v>
      </c>
      <c r="AB121" s="830">
        <v>1.073</v>
      </c>
    </row>
    <row r="122" spans="22:28" hidden="1">
      <c r="V122" s="829" t="s">
        <v>298</v>
      </c>
      <c r="W122" s="829">
        <v>342</v>
      </c>
      <c r="X122" s="829" t="s">
        <v>561</v>
      </c>
      <c r="Y122" s="829" t="s">
        <v>553</v>
      </c>
      <c r="Z122" s="830">
        <v>1</v>
      </c>
      <c r="AA122" s="830">
        <v>0</v>
      </c>
      <c r="AB122" s="830">
        <v>1.065</v>
      </c>
    </row>
    <row r="123" spans="22:28" hidden="1">
      <c r="V123" s="829" t="s">
        <v>299</v>
      </c>
      <c r="W123" s="829">
        <v>860</v>
      </c>
      <c r="X123" s="829" t="s">
        <v>559</v>
      </c>
      <c r="Y123" s="829" t="s">
        <v>556</v>
      </c>
      <c r="Z123" s="830">
        <v>1</v>
      </c>
      <c r="AA123" s="830">
        <v>0</v>
      </c>
      <c r="AB123" s="830">
        <v>1.015</v>
      </c>
    </row>
    <row r="124" spans="22:28" hidden="1">
      <c r="V124" s="829" t="s">
        <v>300</v>
      </c>
      <c r="W124" s="829">
        <v>356</v>
      </c>
      <c r="X124" s="829" t="s">
        <v>561</v>
      </c>
      <c r="Y124" s="829" t="s">
        <v>553</v>
      </c>
      <c r="Z124" s="830">
        <v>1</v>
      </c>
      <c r="AA124" s="830">
        <v>0</v>
      </c>
      <c r="AB124" s="830">
        <v>1.023</v>
      </c>
    </row>
    <row r="125" spans="22:28" hidden="1">
      <c r="V125" s="829" t="s">
        <v>301</v>
      </c>
      <c r="W125" s="829">
        <v>808</v>
      </c>
      <c r="X125" s="829" t="s">
        <v>575</v>
      </c>
      <c r="Y125" s="829" t="s">
        <v>553</v>
      </c>
      <c r="Z125" s="830">
        <v>1</v>
      </c>
      <c r="AA125" s="830">
        <v>0</v>
      </c>
      <c r="AB125" s="830">
        <v>1.006</v>
      </c>
    </row>
    <row r="126" spans="22:28" hidden="1">
      <c r="V126" s="829" t="s">
        <v>302</v>
      </c>
      <c r="W126" s="829">
        <v>861</v>
      </c>
      <c r="X126" s="829" t="s">
        <v>559</v>
      </c>
      <c r="Y126" s="829" t="s">
        <v>556</v>
      </c>
      <c r="Z126" s="830">
        <v>1</v>
      </c>
      <c r="AA126" s="830">
        <v>0</v>
      </c>
      <c r="AB126" s="830">
        <v>1.05</v>
      </c>
    </row>
    <row r="127" spans="22:28" hidden="1">
      <c r="V127" s="829" t="s">
        <v>303</v>
      </c>
      <c r="W127" s="829">
        <v>935</v>
      </c>
      <c r="X127" s="829" t="s">
        <v>558</v>
      </c>
      <c r="Y127" s="829" t="s">
        <v>547</v>
      </c>
      <c r="Z127" s="830">
        <v>1</v>
      </c>
      <c r="AA127" s="830">
        <v>0</v>
      </c>
      <c r="AB127" s="830">
        <v>1.013</v>
      </c>
    </row>
    <row r="128" spans="22:28" hidden="1">
      <c r="V128" s="829" t="s">
        <v>304</v>
      </c>
      <c r="W128" s="829">
        <v>394</v>
      </c>
      <c r="X128" s="829" t="s">
        <v>575</v>
      </c>
      <c r="Y128" s="829" t="s">
        <v>553</v>
      </c>
      <c r="Z128" s="830">
        <v>1</v>
      </c>
      <c r="AA128" s="830">
        <v>0</v>
      </c>
      <c r="AB128" s="830">
        <v>1.034</v>
      </c>
    </row>
    <row r="129" spans="22:28" hidden="1">
      <c r="V129" s="829" t="s">
        <v>305</v>
      </c>
      <c r="W129" s="829">
        <v>936</v>
      </c>
      <c r="X129" s="829" t="s">
        <v>568</v>
      </c>
      <c r="Y129" s="829" t="s">
        <v>547</v>
      </c>
      <c r="Z129" s="830">
        <v>1.12</v>
      </c>
      <c r="AA129" s="830">
        <v>0</v>
      </c>
      <c r="AB129" s="830">
        <v>1.002</v>
      </c>
    </row>
    <row r="130" spans="22:28" hidden="1">
      <c r="V130" s="829" t="s">
        <v>306</v>
      </c>
      <c r="W130" s="829">
        <v>319</v>
      </c>
      <c r="X130" s="829" t="s">
        <v>546</v>
      </c>
      <c r="Y130" s="829" t="s">
        <v>547</v>
      </c>
      <c r="Z130" s="830">
        <v>1.12</v>
      </c>
      <c r="AA130" s="830">
        <v>0</v>
      </c>
      <c r="AB130" s="830">
        <v>1.01</v>
      </c>
    </row>
    <row r="131" spans="22:28" hidden="1">
      <c r="V131" s="829" t="s">
        <v>307</v>
      </c>
      <c r="W131" s="829">
        <v>866</v>
      </c>
      <c r="X131" s="829" t="s">
        <v>555</v>
      </c>
      <c r="Y131" s="829" t="s">
        <v>556</v>
      </c>
      <c r="Z131" s="830">
        <v>1</v>
      </c>
      <c r="AA131" s="830">
        <v>0</v>
      </c>
      <c r="AB131" s="830">
        <v>1.025</v>
      </c>
    </row>
    <row r="132" spans="22:28" hidden="1">
      <c r="V132" s="829" t="s">
        <v>308</v>
      </c>
      <c r="W132" s="829">
        <v>357</v>
      </c>
      <c r="X132" s="829" t="s">
        <v>561</v>
      </c>
      <c r="Y132" s="829" t="s">
        <v>553</v>
      </c>
      <c r="Z132" s="830">
        <v>1</v>
      </c>
      <c r="AA132" s="830">
        <v>0</v>
      </c>
      <c r="AB132" s="830">
        <v>1.068</v>
      </c>
    </row>
    <row r="133" spans="22:28" hidden="1">
      <c r="V133" s="829" t="s">
        <v>309</v>
      </c>
      <c r="W133" s="829">
        <v>894</v>
      </c>
      <c r="X133" s="829" t="s">
        <v>559</v>
      </c>
      <c r="Y133" s="829" t="s">
        <v>556</v>
      </c>
      <c r="Z133" s="830">
        <v>1</v>
      </c>
      <c r="AA133" s="830">
        <v>0</v>
      </c>
      <c r="AB133" s="830">
        <v>1.024</v>
      </c>
    </row>
    <row r="134" spans="22:28" hidden="1">
      <c r="V134" s="829" t="s">
        <v>310</v>
      </c>
      <c r="W134" s="829">
        <v>883</v>
      </c>
      <c r="X134" s="829" t="s">
        <v>558</v>
      </c>
      <c r="Y134" s="829" t="s">
        <v>547</v>
      </c>
      <c r="Z134" s="830">
        <v>1.06</v>
      </c>
      <c r="AA134" s="830">
        <v>0</v>
      </c>
      <c r="AB134" s="830">
        <v>1.013</v>
      </c>
    </row>
    <row r="135" spans="22:28" hidden="1">
      <c r="V135" s="829" t="s">
        <v>311</v>
      </c>
      <c r="W135" s="829">
        <v>880</v>
      </c>
      <c r="X135" s="829" t="s">
        <v>555</v>
      </c>
      <c r="Y135" s="829" t="s">
        <v>556</v>
      </c>
      <c r="Z135" s="830">
        <v>1</v>
      </c>
      <c r="AA135" s="830">
        <v>0</v>
      </c>
      <c r="AB135" s="830">
        <v>1.039</v>
      </c>
    </row>
    <row r="136" spans="22:28" hidden="1">
      <c r="V136" s="829" t="s">
        <v>312</v>
      </c>
      <c r="W136" s="829">
        <v>211</v>
      </c>
      <c r="X136" s="829" t="s">
        <v>546</v>
      </c>
      <c r="Y136" s="829" t="s">
        <v>547</v>
      </c>
      <c r="Z136" s="830">
        <v>1.2</v>
      </c>
      <c r="AA136" s="830">
        <v>0</v>
      </c>
      <c r="AB136" s="830">
        <v>1.113</v>
      </c>
    </row>
    <row r="137" spans="22:28" hidden="1">
      <c r="V137" s="829" t="s">
        <v>313</v>
      </c>
      <c r="W137" s="829">
        <v>358</v>
      </c>
      <c r="X137" s="829" t="s">
        <v>561</v>
      </c>
      <c r="Y137" s="829" t="s">
        <v>553</v>
      </c>
      <c r="Z137" s="830">
        <v>1</v>
      </c>
      <c r="AA137" s="830">
        <v>0</v>
      </c>
      <c r="AB137" s="830">
        <v>1.015</v>
      </c>
    </row>
    <row r="138" spans="22:28" hidden="1">
      <c r="V138" s="829" t="s">
        <v>314</v>
      </c>
      <c r="W138" s="829">
        <v>384</v>
      </c>
      <c r="X138" s="829" t="s">
        <v>552</v>
      </c>
      <c r="Y138" s="829" t="s">
        <v>553</v>
      </c>
      <c r="Z138" s="830">
        <v>1</v>
      </c>
      <c r="AA138" s="830">
        <v>0</v>
      </c>
      <c r="AB138" s="830">
        <v>1.049</v>
      </c>
    </row>
    <row r="139" spans="22:28" hidden="1">
      <c r="V139" s="829" t="s">
        <v>315</v>
      </c>
      <c r="W139" s="829">
        <v>335</v>
      </c>
      <c r="X139" s="829" t="s">
        <v>559</v>
      </c>
      <c r="Y139" s="829" t="s">
        <v>556</v>
      </c>
      <c r="Z139" s="830">
        <v>1</v>
      </c>
      <c r="AA139" s="830">
        <v>0</v>
      </c>
      <c r="AB139" s="830">
        <v>1.068</v>
      </c>
    </row>
    <row r="140" spans="22:28" hidden="1">
      <c r="V140" s="829" t="s">
        <v>316</v>
      </c>
      <c r="W140" s="829">
        <v>320</v>
      </c>
      <c r="X140" s="829" t="s">
        <v>546</v>
      </c>
      <c r="Y140" s="829" t="s">
        <v>547</v>
      </c>
      <c r="Z140" s="830">
        <v>1.12</v>
      </c>
      <c r="AA140" s="830">
        <v>0</v>
      </c>
      <c r="AB140" s="830">
        <v>1.053</v>
      </c>
    </row>
    <row r="141" spans="22:28" hidden="1">
      <c r="V141" s="829" t="s">
        <v>317</v>
      </c>
      <c r="W141" s="829">
        <v>212</v>
      </c>
      <c r="X141" s="829" t="s">
        <v>546</v>
      </c>
      <c r="Y141" s="829" t="s">
        <v>547</v>
      </c>
      <c r="Z141" s="830">
        <v>1.2</v>
      </c>
      <c r="AA141" s="830">
        <v>0</v>
      </c>
      <c r="AB141" s="830">
        <v>1.029</v>
      </c>
    </row>
    <row r="142" spans="22:28" hidden="1">
      <c r="V142" s="829" t="s">
        <v>318</v>
      </c>
      <c r="W142" s="829">
        <v>877</v>
      </c>
      <c r="X142" s="829" t="s">
        <v>561</v>
      </c>
      <c r="Y142" s="829" t="s">
        <v>553</v>
      </c>
      <c r="Z142" s="830">
        <v>1</v>
      </c>
      <c r="AA142" s="830">
        <v>0</v>
      </c>
      <c r="AB142" s="830">
        <v>1.012</v>
      </c>
    </row>
    <row r="143" spans="22:28" hidden="1">
      <c r="V143" s="829" t="s">
        <v>319</v>
      </c>
      <c r="W143" s="829">
        <v>937</v>
      </c>
      <c r="X143" s="829" t="s">
        <v>559</v>
      </c>
      <c r="Y143" s="829" t="s">
        <v>556</v>
      </c>
      <c r="Z143" s="830">
        <v>1</v>
      </c>
      <c r="AA143" s="830">
        <v>0</v>
      </c>
      <c r="AB143" s="830">
        <v>1.006</v>
      </c>
    </row>
    <row r="144" spans="22:28" hidden="1">
      <c r="V144" s="829" t="s">
        <v>320</v>
      </c>
      <c r="W144" s="829">
        <v>869</v>
      </c>
      <c r="X144" s="829" t="s">
        <v>568</v>
      </c>
      <c r="Y144" s="829" t="s">
        <v>547</v>
      </c>
      <c r="Z144" s="830">
        <v>1.12</v>
      </c>
      <c r="AA144" s="830">
        <v>0</v>
      </c>
      <c r="AB144" s="830">
        <v>1.003</v>
      </c>
    </row>
    <row r="145" spans="22:28" hidden="1">
      <c r="V145" s="829" t="s">
        <v>321</v>
      </c>
      <c r="W145" s="829">
        <v>938</v>
      </c>
      <c r="X145" s="829" t="s">
        <v>568</v>
      </c>
      <c r="Y145" s="829" t="s">
        <v>547</v>
      </c>
      <c r="Z145" s="830">
        <v>1.01</v>
      </c>
      <c r="AA145" s="830">
        <v>1.12</v>
      </c>
      <c r="AB145" s="830">
        <v>1.006</v>
      </c>
    </row>
    <row r="146" spans="22:28" hidden="1">
      <c r="V146" s="829" t="s">
        <v>322</v>
      </c>
      <c r="W146" s="829">
        <v>213</v>
      </c>
      <c r="X146" s="829" t="s">
        <v>546</v>
      </c>
      <c r="Y146" s="829" t="s">
        <v>547</v>
      </c>
      <c r="Z146" s="830">
        <v>1.2</v>
      </c>
      <c r="AA146" s="830">
        <v>0</v>
      </c>
      <c r="AB146" s="830">
        <v>1.083</v>
      </c>
    </row>
    <row r="147" spans="22:28" hidden="1">
      <c r="V147" s="829" t="s">
        <v>323</v>
      </c>
      <c r="W147" s="829">
        <v>359</v>
      </c>
      <c r="X147" s="829" t="s">
        <v>561</v>
      </c>
      <c r="Y147" s="829" t="s">
        <v>553</v>
      </c>
      <c r="Z147" s="830">
        <v>1</v>
      </c>
      <c r="AA147" s="830">
        <v>0</v>
      </c>
      <c r="AB147" s="830">
        <v>1.041</v>
      </c>
    </row>
    <row r="148" spans="22:28" hidden="1">
      <c r="V148" s="829" t="s">
        <v>324</v>
      </c>
      <c r="W148" s="829">
        <v>865</v>
      </c>
      <c r="X148" s="829" t="s">
        <v>555</v>
      </c>
      <c r="Y148" s="829" t="s">
        <v>556</v>
      </c>
      <c r="Z148" s="830">
        <v>1</v>
      </c>
      <c r="AA148" s="830">
        <v>0</v>
      </c>
      <c r="AB148" s="830">
        <v>1.005</v>
      </c>
    </row>
    <row r="149" spans="22:28" hidden="1">
      <c r="V149" s="829" t="s">
        <v>325</v>
      </c>
      <c r="W149" s="829">
        <v>868</v>
      </c>
      <c r="X149" s="829" t="s">
        <v>568</v>
      </c>
      <c r="Y149" s="829" t="s">
        <v>547</v>
      </c>
      <c r="Z149" s="830">
        <v>1.12</v>
      </c>
      <c r="AA149" s="830">
        <v>0</v>
      </c>
      <c r="AB149" s="830">
        <v>1.001</v>
      </c>
    </row>
    <row r="150" spans="22:28" hidden="1">
      <c r="V150" s="829" t="s">
        <v>326</v>
      </c>
      <c r="W150" s="829">
        <v>344</v>
      </c>
      <c r="X150" s="829" t="s">
        <v>561</v>
      </c>
      <c r="Y150" s="829" t="s">
        <v>553</v>
      </c>
      <c r="Z150" s="830">
        <v>1</v>
      </c>
      <c r="AA150" s="830">
        <v>0</v>
      </c>
      <c r="AB150" s="830">
        <v>1.037</v>
      </c>
    </row>
    <row r="151" spans="22:28" hidden="1">
      <c r="V151" s="829" t="s">
        <v>327</v>
      </c>
      <c r="W151" s="829">
        <v>872</v>
      </c>
      <c r="X151" s="829" t="s">
        <v>568</v>
      </c>
      <c r="Y151" s="829" t="s">
        <v>547</v>
      </c>
      <c r="Z151" s="830">
        <v>1.12</v>
      </c>
      <c r="AA151" s="830">
        <v>0</v>
      </c>
      <c r="AB151" s="830">
        <v>1.003</v>
      </c>
    </row>
    <row r="152" spans="22:28" hidden="1">
      <c r="V152" s="829" t="s">
        <v>328</v>
      </c>
      <c r="W152" s="829">
        <v>336</v>
      </c>
      <c r="X152" s="829" t="s">
        <v>559</v>
      </c>
      <c r="Y152" s="829" t="s">
        <v>556</v>
      </c>
      <c r="Z152" s="830">
        <v>1</v>
      </c>
      <c r="AA152" s="830">
        <v>0</v>
      </c>
      <c r="AB152" s="830">
        <v>1.071</v>
      </c>
    </row>
    <row r="153" spans="22:28" hidden="1">
      <c r="V153" s="829" t="s">
        <v>329</v>
      </c>
      <c r="W153" s="829">
        <v>885</v>
      </c>
      <c r="X153" s="829" t="s">
        <v>559</v>
      </c>
      <c r="Y153" s="829" t="s">
        <v>556</v>
      </c>
      <c r="Z153" s="830">
        <v>1</v>
      </c>
      <c r="AA153" s="830">
        <v>0</v>
      </c>
      <c r="AB153" s="830">
        <v>1.018</v>
      </c>
    </row>
    <row r="154" spans="22:28" hidden="1">
      <c r="V154" s="829" t="s">
        <v>330</v>
      </c>
      <c r="W154" s="829">
        <v>816</v>
      </c>
      <c r="X154" s="829" t="s">
        <v>552</v>
      </c>
      <c r="Y154" s="829" t="s">
        <v>553</v>
      </c>
      <c r="Z154" s="830">
        <v>1</v>
      </c>
      <c r="AA154" s="830">
        <v>0</v>
      </c>
      <c r="AB154" s="830">
        <v>1.006</v>
      </c>
    </row>
  </sheetData>
  <sheetProtection algorithmName="SHA-512" hashValue="qUGlcN8e/edk7jv2B3Ao2KiTbKzM3IBK+g4XeLY5jpYjLtZoX1NfB17NnJcMYYF/N1/H2m7kyXo3RFoT7lb9yw==" saltValue="lCvNabldUg7AC42zDm/6lw==" spinCount="100000" sheet="1" objects="1" scenarios="1"/>
  <mergeCells count="80">
    <mergeCell ref="H13:I13"/>
    <mergeCell ref="H14:I14"/>
    <mergeCell ref="E35:P35"/>
    <mergeCell ref="E36:E37"/>
    <mergeCell ref="F36:G36"/>
    <mergeCell ref="H36:I36"/>
    <mergeCell ref="J36:K36"/>
    <mergeCell ref="L36:M36"/>
    <mergeCell ref="N36:P36"/>
    <mergeCell ref="F37:G37"/>
    <mergeCell ref="H37:I37"/>
    <mergeCell ref="J37:K37"/>
    <mergeCell ref="L37:M37"/>
    <mergeCell ref="N37:P37"/>
    <mergeCell ref="O13:P13"/>
    <mergeCell ref="O14:P14"/>
    <mergeCell ref="R6:S6"/>
    <mergeCell ref="R5:S5"/>
    <mergeCell ref="Q7:S7"/>
    <mergeCell ref="F3:O3"/>
    <mergeCell ref="H5:O5"/>
    <mergeCell ref="H6:O6"/>
    <mergeCell ref="I7:O7"/>
    <mergeCell ref="H8:O8"/>
    <mergeCell ref="C39:R46"/>
    <mergeCell ref="I27:J27"/>
    <mergeCell ref="K27:L27"/>
    <mergeCell ref="M27:N27"/>
    <mergeCell ref="O27:P27"/>
    <mergeCell ref="I28:J28"/>
    <mergeCell ref="K28:L28"/>
    <mergeCell ref="M28:N28"/>
    <mergeCell ref="E26:P26"/>
    <mergeCell ref="E29:P29"/>
    <mergeCell ref="F33:N33"/>
    <mergeCell ref="F32:N32"/>
    <mergeCell ref="E27:E28"/>
    <mergeCell ref="F27:H28"/>
    <mergeCell ref="E30:E31"/>
    <mergeCell ref="O28:P28"/>
    <mergeCell ref="O32:P32"/>
    <mergeCell ref="O33:P33"/>
    <mergeCell ref="F30:G30"/>
    <mergeCell ref="F31:G31"/>
    <mergeCell ref="H30:I30"/>
    <mergeCell ref="N30:P30"/>
    <mergeCell ref="N31:P31"/>
    <mergeCell ref="H31:I31"/>
    <mergeCell ref="J30:K30"/>
    <mergeCell ref="J31:K31"/>
    <mergeCell ref="L30:M30"/>
    <mergeCell ref="L31:M31"/>
    <mergeCell ref="H18:I18"/>
    <mergeCell ref="J18:K18"/>
    <mergeCell ref="L18:M18"/>
    <mergeCell ref="N18:P18"/>
    <mergeCell ref="E25:P25"/>
    <mergeCell ref="F23:M23"/>
    <mergeCell ref="N23:P23"/>
    <mergeCell ref="F22:G22"/>
    <mergeCell ref="H22:I22"/>
    <mergeCell ref="J22:K22"/>
    <mergeCell ref="L22:M22"/>
    <mergeCell ref="N22:P22"/>
    <mergeCell ref="E16:P16"/>
    <mergeCell ref="E17:P17"/>
    <mergeCell ref="E20:P20"/>
    <mergeCell ref="E18:E19"/>
    <mergeCell ref="F21:G21"/>
    <mergeCell ref="H21:I21"/>
    <mergeCell ref="J21:K21"/>
    <mergeCell ref="L21:M21"/>
    <mergeCell ref="N21:P21"/>
    <mergeCell ref="E21:E22"/>
    <mergeCell ref="F19:G19"/>
    <mergeCell ref="H19:I19"/>
    <mergeCell ref="J19:K19"/>
    <mergeCell ref="L19:M19"/>
    <mergeCell ref="N19:P19"/>
    <mergeCell ref="F18:G18"/>
  </mergeCells>
  <pageMargins left="0.7" right="0.7" top="0.75" bottom="0.75" header="0.3" footer="0.3"/>
  <pageSetup paperSize="9" orientation="portrait"/>
  <headerFooter scaleWithDoc="1" alignWithMargins="0" differentFirst="0" differentOddEven="0"/>
  <extLst/>
</worksheet>
</file>

<file path=xl/worksheets/sheet1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1">
    <pageSetUpPr fitToPage="1"/>
  </sheetPr>
  <dimension ref="A1:AZ402"/>
  <sheetViews>
    <sheetView topLeftCell="A1" showGridLines="0" showRowColHeaders="0" zoomScale="90" view="normal" workbookViewId="0">
      <pane ySplit="5" topLeftCell="A189" activePane="bottomLeft" state="frozen"/>
      <selection pane="bottomLeft" activeCell="L2" sqref="L2"/>
    </sheetView>
  </sheetViews>
  <sheetFormatPr defaultColWidth="0" zeroHeight="true" customHeight="true" defaultRowHeight="0"/>
  <cols>
    <col min="1" max="1" width="5.75390625" style="24" customWidth="1"/>
    <col min="2" max="2" width="1.75390625" style="24" customWidth="1"/>
    <col min="3" max="3" width="17.25390625" style="24" customWidth="1"/>
    <col min="4" max="4" width="14.25390625" style="91" customWidth="1"/>
    <col min="5" max="5" width="14.125" style="91" customWidth="1"/>
    <col min="6" max="6" width="9.75390625" style="91" customWidth="1"/>
    <col min="7" max="7" width="23.75390625" style="91" customWidth="1"/>
    <col min="8" max="8" width="10.125" style="24" customWidth="1"/>
    <col min="9" max="10" width="11.25390625" style="24" customWidth="1"/>
    <col min="11" max="11" width="10.00390625" style="24" customWidth="1"/>
    <col min="12" max="12" width="11.75390625" style="24" customWidth="1"/>
    <col min="13" max="13" width="11.125" style="24" customWidth="1"/>
    <col min="14" max="14" width="10.25390625" style="24" customWidth="1"/>
    <col min="15" max="15" width="11.125" style="24" customWidth="1"/>
    <col min="16" max="16" width="2.75390625" style="24" customWidth="1"/>
    <col min="17" max="17" width="34.75390625" style="92" customWidth="1"/>
    <col min="18" max="18" width="2.75390625" style="24" customWidth="1"/>
    <col min="19" max="19" width="2.25390625" style="24" customWidth="1"/>
    <col min="20" max="27" width="18.75390625" style="24" hidden="1" customWidth="1"/>
    <col min="28" max="28" width="3.875" style="24" hidden="1" customWidth="1"/>
    <col min="29" max="30" width="0" style="24" hidden="1" customWidth="1"/>
    <col min="31" max="16384" width="18.75390625" style="24" hidden="1" customWidth="1"/>
  </cols>
  <sheetData>
    <row r="1" spans="1:22" ht="94.5" customHeight="1">
      <c r="A1" s="21"/>
      <c r="B1" s="22"/>
      <c r="C1" s="22"/>
      <c r="D1" s="23"/>
      <c r="E1" s="23"/>
      <c r="F1" s="1241" t="str">
        <f>'G1. Guidance'!D3</f>
        <v>Mainstream School Financial Template 2020/21 v1.2</v>
      </c>
      <c r="G1" s="1242"/>
      <c r="H1" s="1242"/>
      <c r="I1" s="1242"/>
      <c r="J1" s="1242"/>
      <c r="K1" s="1242"/>
      <c r="L1" s="1243"/>
      <c r="M1" s="1243"/>
      <c r="N1" s="1243"/>
      <c r="O1" s="1243"/>
      <c r="P1" s="1243"/>
      <c r="Q1" s="1243"/>
      <c r="R1" s="1243"/>
      <c r="S1" s="1243"/>
      <c r="T1" s="1243"/>
      <c r="U1" s="1243"/>
      <c r="V1" s="1243"/>
    </row>
    <row r="2" spans="1:18" ht="21" customHeight="1">
      <c r="A2" s="25"/>
      <c r="B2" s="616" t="s">
        <v>1043</v>
      </c>
      <c r="C2" s="26"/>
      <c r="D2" s="27"/>
      <c r="E2" s="615" t="s">
        <v>1042</v>
      </c>
      <c r="F2" s="27"/>
      <c r="G2" s="27"/>
      <c r="J2" s="28"/>
      <c r="K2" s="28"/>
      <c r="L2" s="28"/>
      <c r="M2" s="28"/>
      <c r="N2" s="28"/>
      <c r="O2" s="28"/>
      <c r="P2" s="28"/>
      <c r="Q2" s="29"/>
      <c r="R2" s="28"/>
    </row>
    <row r="3" spans="1:18" ht="12.75">
      <c r="A3" s="25"/>
      <c r="B3" s="28"/>
      <c r="C3" s="28"/>
      <c r="D3" s="27"/>
      <c r="E3" s="27"/>
      <c r="F3" s="27"/>
      <c r="G3" s="27"/>
      <c r="H3" s="28"/>
      <c r="I3" s="28"/>
      <c r="J3" s="28"/>
      <c r="K3" s="28"/>
      <c r="L3" s="28"/>
      <c r="M3" s="28"/>
      <c r="N3" s="28"/>
      <c r="O3" s="28"/>
      <c r="P3" s="28"/>
      <c r="Q3" s="29"/>
      <c r="R3" s="28"/>
    </row>
    <row r="4" spans="1:52" ht="14.25" customHeight="1">
      <c r="A4" s="28"/>
      <c r="B4" s="30"/>
      <c r="C4" s="1244" t="s">
        <v>51</v>
      </c>
      <c r="D4" s="1246" t="s">
        <v>52</v>
      </c>
      <c r="E4" s="1239" t="s">
        <v>53</v>
      </c>
      <c r="F4" s="1246" t="s">
        <v>54</v>
      </c>
      <c r="G4" s="1246" t="s">
        <v>1052</v>
      </c>
      <c r="H4" s="31" t="s">
        <v>55</v>
      </c>
      <c r="I4" s="30"/>
      <c r="J4" s="30"/>
      <c r="K4" s="30"/>
      <c r="L4" s="30"/>
      <c r="M4" s="30"/>
      <c r="N4" s="30"/>
      <c r="O4" s="30"/>
      <c r="P4" s="30"/>
      <c r="Q4" s="1246" t="s">
        <v>56</v>
      </c>
      <c r="R4" s="30"/>
      <c r="T4" s="31" t="s">
        <v>57</v>
      </c>
      <c r="U4" s="30"/>
      <c r="V4" s="30"/>
      <c r="W4" s="30"/>
      <c r="X4" s="30"/>
      <c r="Y4" s="30"/>
      <c r="Z4" s="30"/>
      <c r="AA4" s="30"/>
      <c r="AC4" s="1238" t="s">
        <v>1053</v>
      </c>
      <c r="AD4" s="1239"/>
      <c r="AE4" s="1239"/>
      <c r="AF4" s="1239"/>
      <c r="AG4" s="1239"/>
      <c r="AH4" s="1239"/>
      <c r="AI4" s="1239"/>
      <c r="AJ4" s="1240"/>
      <c r="AK4" s="1238" t="s">
        <v>1054</v>
      </c>
      <c r="AL4" s="1239"/>
      <c r="AM4" s="1239"/>
      <c r="AN4" s="1239"/>
      <c r="AO4" s="1239"/>
      <c r="AP4" s="1239"/>
      <c r="AQ4" s="1239"/>
      <c r="AR4" s="1240"/>
      <c r="AS4" s="1238" t="s">
        <v>1055</v>
      </c>
      <c r="AT4" s="1239"/>
      <c r="AU4" s="1239"/>
      <c r="AV4" s="1239"/>
      <c r="AW4" s="1239"/>
      <c r="AX4" s="1239"/>
      <c r="AY4" s="1239"/>
      <c r="AZ4" s="1240"/>
    </row>
    <row r="5" spans="1:52" ht="36" customHeight="1">
      <c r="A5" s="26"/>
      <c r="B5" s="32"/>
      <c r="C5" s="1245"/>
      <c r="D5" s="1247"/>
      <c r="E5" s="691"/>
      <c r="F5" s="1247"/>
      <c r="G5" s="1247"/>
      <c r="H5" s="691" t="str">
        <f>'Pupil_Place Numbers'!C3</f>
        <v>2020/21</v>
      </c>
      <c r="I5" s="691" t="str">
        <f>'Pupil_Place Numbers'!D3</f>
        <v>2021/22</v>
      </c>
      <c r="J5" s="691" t="str">
        <f>'Pupil_Place Numbers'!E3</f>
        <v>2022/23</v>
      </c>
      <c r="K5" s="691" t="str">
        <f>'Pupil_Place Numbers'!F3</f>
        <v>2023/24</v>
      </c>
      <c r="L5" s="691" t="str">
        <f>'Pupil_Place Numbers'!G3</f>
        <v>2024/25</v>
      </c>
      <c r="M5" s="691" t="str">
        <f>'Pupil_Place Numbers'!H3</f>
        <v>2025/26</v>
      </c>
      <c r="N5" s="691" t="str">
        <f>'Pupil_Place Numbers'!I3</f>
        <v>2026/27</v>
      </c>
      <c r="O5" s="691" t="str">
        <f>'Pupil_Place Numbers'!J3</f>
        <v>2027/28</v>
      </c>
      <c r="P5" s="691"/>
      <c r="Q5" s="1247"/>
      <c r="R5" s="32"/>
      <c r="T5" s="691" t="str">
        <f>'Pupil_Place Numbers'!C3</f>
        <v>2020/21</v>
      </c>
      <c r="U5" s="691" t="str">
        <f>'Pupil_Place Numbers'!D3</f>
        <v>2021/22</v>
      </c>
      <c r="V5" s="691" t="str">
        <f>'Pupil_Place Numbers'!E3</f>
        <v>2022/23</v>
      </c>
      <c r="W5" s="691" t="str">
        <f>'Pupil_Place Numbers'!F3</f>
        <v>2023/24</v>
      </c>
      <c r="X5" s="691" t="str">
        <f>'Pupil_Place Numbers'!G3</f>
        <v>2024/25</v>
      </c>
      <c r="Y5" s="691" t="str">
        <f>'Pupil_Place Numbers'!H3</f>
        <v>2025/26</v>
      </c>
      <c r="Z5" s="691" t="str">
        <f>'Pupil_Place Numbers'!I3</f>
        <v>2026/27</v>
      </c>
      <c r="AA5" s="691" t="str">
        <f>'Pupil_Place Numbers'!J3</f>
        <v>2027/28</v>
      </c>
      <c r="AC5" s="691" t="str">
        <f>'Pupil_Place Numbers'!C3</f>
        <v>2020/21</v>
      </c>
      <c r="AD5" s="691" t="str">
        <f>'Pupil_Place Numbers'!D3</f>
        <v>2021/22</v>
      </c>
      <c r="AE5" s="691" t="str">
        <f>'Pupil_Place Numbers'!E3</f>
        <v>2022/23</v>
      </c>
      <c r="AF5" s="691" t="str">
        <f>'Pupil_Place Numbers'!F3</f>
        <v>2023/24</v>
      </c>
      <c r="AG5" s="691" t="str">
        <f>'Pupil_Place Numbers'!G3</f>
        <v>2024/25</v>
      </c>
      <c r="AH5" s="691" t="str">
        <f>'Pupil_Place Numbers'!H3</f>
        <v>2025/26</v>
      </c>
      <c r="AI5" s="691" t="str">
        <f>'Pupil_Place Numbers'!I3</f>
        <v>2026/27</v>
      </c>
      <c r="AJ5" s="691" t="str">
        <f>'Pupil_Place Numbers'!J3</f>
        <v>2027/28</v>
      </c>
      <c r="AK5" s="691" t="str">
        <f>'Pupil_Place Numbers'!C3</f>
        <v>2020/21</v>
      </c>
      <c r="AL5" s="691" t="str">
        <f>'Pupil_Place Numbers'!D3</f>
        <v>2021/22</v>
      </c>
      <c r="AM5" s="691" t="str">
        <f>'Pupil_Place Numbers'!E3</f>
        <v>2022/23</v>
      </c>
      <c r="AN5" s="691" t="str">
        <f>'Pupil_Place Numbers'!F3</f>
        <v>2023/24</v>
      </c>
      <c r="AO5" s="691" t="str">
        <f>'Pupil_Place Numbers'!G3</f>
        <v>2024/25</v>
      </c>
      <c r="AP5" s="691" t="str">
        <f>'Pupil_Place Numbers'!H3</f>
        <v>2025/26</v>
      </c>
      <c r="AQ5" s="691" t="str">
        <f>'Pupil_Place Numbers'!I3</f>
        <v>2026/27</v>
      </c>
      <c r="AR5" s="691" t="str">
        <f>'Pupil_Place Numbers'!J3</f>
        <v>2027/28</v>
      </c>
      <c r="AS5" s="691" t="str">
        <f>'Pupil_Place Numbers'!C3</f>
        <v>2020/21</v>
      </c>
      <c r="AT5" s="691" t="str">
        <f>'Pupil_Place Numbers'!D3</f>
        <v>2021/22</v>
      </c>
      <c r="AU5" s="691" t="str">
        <f>'Pupil_Place Numbers'!E3</f>
        <v>2022/23</v>
      </c>
      <c r="AV5" s="691" t="str">
        <f>'Pupil_Place Numbers'!F3</f>
        <v>2023/24</v>
      </c>
      <c r="AW5" s="691" t="str">
        <f>'Pupil_Place Numbers'!G3</f>
        <v>2024/25</v>
      </c>
      <c r="AX5" s="691" t="str">
        <f>'Pupil_Place Numbers'!H3</f>
        <v>2025/26</v>
      </c>
      <c r="AY5" s="691" t="str">
        <f>'Pupil_Place Numbers'!I3</f>
        <v>2026/27</v>
      </c>
      <c r="AZ5" s="691" t="str">
        <f>'Pupil_Place Numbers'!J3</f>
        <v>2027/28</v>
      </c>
    </row>
    <row r="6" spans="1:29" ht="12.75">
      <c r="A6" s="26"/>
      <c r="B6" s="26"/>
      <c r="C6" s="33"/>
      <c r="D6" s="33"/>
      <c r="E6" s="33"/>
      <c r="F6" s="33"/>
      <c r="G6" s="33"/>
      <c r="H6" s="34"/>
      <c r="I6" s="34"/>
      <c r="J6" s="34"/>
      <c r="K6" s="34"/>
      <c r="L6" s="34"/>
      <c r="M6" s="34"/>
      <c r="N6" s="34"/>
      <c r="O6" s="34"/>
      <c r="P6" s="26"/>
      <c r="Q6" s="33"/>
      <c r="R6" s="26"/>
      <c r="AC6" s="35"/>
    </row>
    <row r="7" spans="1:29" ht="12.75">
      <c r="A7" s="26"/>
      <c r="B7" s="36"/>
      <c r="C7" s="37"/>
      <c r="D7" s="37"/>
      <c r="E7" s="37"/>
      <c r="F7" s="37"/>
      <c r="G7" s="37"/>
      <c r="H7" s="38"/>
      <c r="I7" s="38"/>
      <c r="J7" s="38"/>
      <c r="K7" s="38"/>
      <c r="L7" s="38"/>
      <c r="M7" s="38"/>
      <c r="N7" s="38"/>
      <c r="O7" s="38"/>
      <c r="P7" s="39"/>
      <c r="Q7" s="37"/>
      <c r="R7" s="40"/>
      <c r="AC7" s="35"/>
    </row>
    <row r="8" spans="1:29" ht="12.75">
      <c r="A8" s="26"/>
      <c r="B8" s="41"/>
      <c r="C8" s="33" t="s">
        <v>58</v>
      </c>
      <c r="D8" s="33"/>
      <c r="E8" s="33"/>
      <c r="F8" s="33"/>
      <c r="G8" s="33"/>
      <c r="H8" s="34"/>
      <c r="I8" s="34"/>
      <c r="J8" s="34"/>
      <c r="K8" s="34"/>
      <c r="L8" s="34"/>
      <c r="M8" s="34"/>
      <c r="N8" s="34"/>
      <c r="O8" s="34"/>
      <c r="P8" s="26"/>
      <c r="Q8" s="33"/>
      <c r="R8" s="42"/>
      <c r="AC8" s="35"/>
    </row>
    <row r="9" spans="1:29" ht="12.75">
      <c r="A9" s="26"/>
      <c r="B9" s="41"/>
      <c r="C9" s="33"/>
      <c r="D9" s="33"/>
      <c r="E9" s="33"/>
      <c r="F9" s="33"/>
      <c r="G9" s="33"/>
      <c r="H9" s="34"/>
      <c r="I9" s="34"/>
      <c r="J9" s="34"/>
      <c r="K9" s="34"/>
      <c r="L9" s="34"/>
      <c r="M9" s="34"/>
      <c r="N9" s="34"/>
      <c r="O9" s="34"/>
      <c r="P9" s="26"/>
      <c r="Q9" s="33"/>
      <c r="R9" s="42"/>
      <c r="T9" s="43"/>
      <c r="U9" s="43"/>
      <c r="V9" s="43"/>
      <c r="W9" s="43"/>
      <c r="X9" s="43"/>
      <c r="Y9" s="43"/>
      <c r="Z9" s="44"/>
      <c r="AA9" s="44"/>
      <c r="AC9" s="35"/>
    </row>
    <row r="10" spans="1:52" ht="25.5">
      <c r="A10" s="26"/>
      <c r="B10" s="41"/>
      <c r="C10" s="35" t="s">
        <v>59</v>
      </c>
      <c r="D10" s="45">
        <v>62000</v>
      </c>
      <c r="E10" s="45">
        <v>5000</v>
      </c>
      <c r="F10" s="46">
        <v>0.1648</v>
      </c>
      <c r="G10" s="694" t="s">
        <v>1149</v>
      </c>
      <c r="H10" s="47">
        <v>1</v>
      </c>
      <c r="I10" s="47">
        <v>1</v>
      </c>
      <c r="J10" s="47">
        <v>1</v>
      </c>
      <c r="K10" s="47">
        <v>1</v>
      </c>
      <c r="L10" s="47">
        <v>1</v>
      </c>
      <c r="M10" s="47">
        <v>1</v>
      </c>
      <c r="N10" s="47">
        <v>1</v>
      </c>
      <c r="O10" s="47">
        <v>1</v>
      </c>
      <c r="P10" s="28"/>
      <c r="Q10" s="35"/>
      <c r="R10" s="42"/>
      <c r="T10" s="43">
        <f>SUM(AC10,AK10,AS10)</f>
        <v>86074.856</v>
      </c>
      <c r="U10" s="43">
        <f>SUM(AD10,AL10,AT10)</f>
        <v>86074.856</v>
      </c>
      <c r="V10" s="43">
        <f>SUM(AE10,AM10,AU10)</f>
        <v>86074.856</v>
      </c>
      <c r="W10" s="43">
        <f>SUM(AF10,AN10,AV10)</f>
        <v>86074.856</v>
      </c>
      <c r="X10" s="43">
        <f>SUM(AG10,AO10,AW10)</f>
        <v>86074.856</v>
      </c>
      <c r="Y10" s="43">
        <f>SUM(AH10,AP10,AX10)</f>
        <v>86074.856</v>
      </c>
      <c r="Z10" s="43">
        <f>SUM(AI10,AQ10,AY10)</f>
        <v>86074.856</v>
      </c>
      <c r="AA10" s="43">
        <f>SUM(AJ10,AR10,AZ10)</f>
        <v>86074.856</v>
      </c>
      <c r="AC10" s="631">
        <f>SUM($D10:$E10)*H10</f>
        <v>67000</v>
      </c>
      <c r="AD10" s="631">
        <f>SUM($D10:$E10)*I10</f>
        <v>67000</v>
      </c>
      <c r="AE10" s="631">
        <f>SUM($D10:$E10)*J10</f>
        <v>67000</v>
      </c>
      <c r="AF10" s="631">
        <f>SUM($D10:$E10)*K10</f>
        <v>67000</v>
      </c>
      <c r="AG10" s="631">
        <f>SUM($D10:$E10)*L10</f>
        <v>67000</v>
      </c>
      <c r="AH10" s="631">
        <f>SUM($D10:$E10)*M10</f>
        <v>67000</v>
      </c>
      <c r="AI10" s="631">
        <f>SUM($D10:$E10)*N10</f>
        <v>67000</v>
      </c>
      <c r="AJ10" s="631">
        <f>SUM($D10:$E10)*O10</f>
        <v>67000</v>
      </c>
      <c r="AK10" s="56">
        <f>IF($G10="",0,SUM(MAX(MIN(AC10-'Input Data'!$BG$3,'Input Data'!$BG$5-'Input Data'!$BG$3),0)*VLOOKUP($G10,'Input Data'!$BI$3:$BL$9,2,FALSE),MAX(MIN(AC10-'Input Data'!$BG$5,IF(OR($G10="M (under 21)",$G10="Z (under 21 - deferment)"),'Input Data'!$BG$6,IF($G10="H (Apprentice under 25)",'Input Data'!$BG$7,'Input Data'!$BG$8))-'Input Data'!$BG$5),0)*VLOOKUP($G10,'Input Data'!$BI$3:$BL$9,3,FALSE),MAX((AC10-IF(OR($G10="M (under 21)",$G10="Z (under 21 - deferment)"),'Input Data'!$BG$6,IF($G10="H (Apprentice under 25)",'Input Data'!$BG$7,'Input Data'!$BG$8))),0)*VLOOKUP($G10,'Input Data'!$BI$3:$BL$9,4,FALSE)))</f>
        <v>8033.256</v>
      </c>
      <c r="AL10" s="56">
        <f>IF($G10="",0,SUM(MAX(MIN(AD10-'Input Data'!$BG$3,'Input Data'!$BG$5-'Input Data'!$BG$3),0)*VLOOKUP($G10,'Input Data'!$BI$3:$BL$9,2,FALSE),MAX(MIN(AD10-'Input Data'!$BG$5,IF(OR($G10="M (under 21)",$G10="Z (under 21 - deferment)"),'Input Data'!$BG$6,IF($G10="H (Apprentice under 25)",'Input Data'!$BG$7,'Input Data'!$BG$8))-'Input Data'!$BG$5),0)*VLOOKUP($G10,'Input Data'!$BI$3:$BL$9,3,FALSE),MAX((AD10-IF(OR($G10="M (under 21)",$G10="Z (under 21 - deferment)"),'Input Data'!$BG$6,IF($G10="H (Apprentice under 25)",'Input Data'!$BG$7,'Input Data'!$BG$8))),0)*VLOOKUP($G10,'Input Data'!$BI$3:$BL$9,4,FALSE)))</f>
        <v>8033.256</v>
      </c>
      <c r="AM10" s="56">
        <f>IF($G10="",0,SUM(MAX(MIN(AE10-'Input Data'!$BG$3,'Input Data'!$BG$5-'Input Data'!$BG$3),0)*VLOOKUP($G10,'Input Data'!$BI$3:$BL$9,2,FALSE),MAX(MIN(AE10-'Input Data'!$BG$5,IF(OR($G10="M (under 21)",$G10="Z (under 21 - deferment)"),'Input Data'!$BG$6,IF($G10="H (Apprentice under 25)",'Input Data'!$BG$7,'Input Data'!$BG$8))-'Input Data'!$BG$5),0)*VLOOKUP($G10,'Input Data'!$BI$3:$BL$9,3,FALSE),MAX((AE10-IF(OR($G10="M (under 21)",$G10="Z (under 21 - deferment)"),'Input Data'!$BG$6,IF($G10="H (Apprentice under 25)",'Input Data'!$BG$7,'Input Data'!$BG$8))),0)*VLOOKUP($G10,'Input Data'!$BI$3:$BL$9,4,FALSE)))</f>
        <v>8033.256</v>
      </c>
      <c r="AN10" s="56">
        <f>IF($G10="",0,SUM(MAX(MIN(AF10-'Input Data'!$BG$3,'Input Data'!$BG$5-'Input Data'!$BG$3),0)*VLOOKUP($G10,'Input Data'!$BI$3:$BL$9,2,FALSE),MAX(MIN(AF10-'Input Data'!$BG$5,IF(OR($G10="M (under 21)",$G10="Z (under 21 - deferment)"),'Input Data'!$BG$6,IF($G10="H (Apprentice under 25)",'Input Data'!$BG$7,'Input Data'!$BG$8))-'Input Data'!$BG$5),0)*VLOOKUP($G10,'Input Data'!$BI$3:$BL$9,3,FALSE),MAX((AF10-IF(OR($G10="M (under 21)",$G10="Z (under 21 - deferment)"),'Input Data'!$BG$6,IF($G10="H (Apprentice under 25)",'Input Data'!$BG$7,'Input Data'!$BG$8))),0)*VLOOKUP($G10,'Input Data'!$BI$3:$BL$9,4,FALSE)))</f>
        <v>8033.256</v>
      </c>
      <c r="AO10" s="56">
        <f>IF($G10="",0,SUM(MAX(MIN(AG10-'Input Data'!$BG$3,'Input Data'!$BG$5-'Input Data'!$BG$3),0)*VLOOKUP($G10,'Input Data'!$BI$3:$BL$9,2,FALSE),MAX(MIN(AG10-'Input Data'!$BG$5,IF(OR($G10="M (under 21)",$G10="Z (under 21 - deferment)"),'Input Data'!$BG$6,IF($G10="H (Apprentice under 25)",'Input Data'!$BG$7,'Input Data'!$BG$8))-'Input Data'!$BG$5),0)*VLOOKUP($G10,'Input Data'!$BI$3:$BL$9,3,FALSE),MAX((AG10-IF(OR($G10="M (under 21)",$G10="Z (under 21 - deferment)"),'Input Data'!$BG$6,IF($G10="H (Apprentice under 25)",'Input Data'!$BG$7,'Input Data'!$BG$8))),0)*VLOOKUP($G10,'Input Data'!$BI$3:$BL$9,4,FALSE)))</f>
        <v>8033.256</v>
      </c>
      <c r="AP10" s="56">
        <f>IF($G10="",0,SUM(MAX(MIN(AH10-'Input Data'!$BG$3,'Input Data'!$BG$5-'Input Data'!$BG$3),0)*VLOOKUP($G10,'Input Data'!$BI$3:$BL$9,2,FALSE),MAX(MIN(AH10-'Input Data'!$BG$5,IF(OR($G10="M (under 21)",$G10="Z (under 21 - deferment)"),'Input Data'!$BG$6,IF($G10="H (Apprentice under 25)",'Input Data'!$BG$7,'Input Data'!$BG$8))-'Input Data'!$BG$5),0)*VLOOKUP($G10,'Input Data'!$BI$3:$BL$9,3,FALSE),MAX((AH10-IF(OR($G10="M (under 21)",$G10="Z (under 21 - deferment)"),'Input Data'!$BG$6,IF($G10="H (Apprentice under 25)",'Input Data'!$BG$7,'Input Data'!$BG$8))),0)*VLOOKUP($G10,'Input Data'!$BI$3:$BL$9,4,FALSE)))</f>
        <v>8033.256</v>
      </c>
      <c r="AQ10" s="56">
        <f>IF($G10="",0,SUM(MAX(MIN(AI10-'Input Data'!$BG$3,'Input Data'!$BG$5-'Input Data'!$BG$3),0)*VLOOKUP($G10,'Input Data'!$BI$3:$BL$9,2,FALSE),MAX(MIN(AI10-'Input Data'!$BG$5,IF(OR($G10="M (under 21)",$G10="Z (under 21 - deferment)"),'Input Data'!$BG$6,IF($G10="H (Apprentice under 25)",'Input Data'!$BG$7,'Input Data'!$BG$8))-'Input Data'!$BG$5),0)*VLOOKUP($G10,'Input Data'!$BI$3:$BL$9,3,FALSE),MAX((AI10-IF(OR($G10="M (under 21)",$G10="Z (under 21 - deferment)"),'Input Data'!$BG$6,IF($G10="H (Apprentice under 25)",'Input Data'!$BG$7,'Input Data'!$BG$8))),0)*VLOOKUP($G10,'Input Data'!$BI$3:$BL$9,4,FALSE)))</f>
        <v>8033.256</v>
      </c>
      <c r="AR10" s="56">
        <f>IF($G10="",0,SUM(MAX(MIN(AJ10-'Input Data'!$BG$3,'Input Data'!$BG$5-'Input Data'!$BG$3),0)*VLOOKUP($G10,'Input Data'!$BI$3:$BL$9,2,FALSE),MAX(MIN(AJ10-'Input Data'!$BG$5,IF(OR($G10="M (under 21)",$G10="Z (under 21 - deferment)"),'Input Data'!$BG$6,IF($G10="H (Apprentice under 25)",'Input Data'!$BG$7,'Input Data'!$BG$8))-'Input Data'!$BG$5),0)*VLOOKUP($G10,'Input Data'!$BI$3:$BL$9,3,FALSE),MAX((AJ10-IF(OR($G10="M (under 21)",$G10="Z (under 21 - deferment)"),'Input Data'!$BG$6,IF($G10="H (Apprentice under 25)",'Input Data'!$BG$7,'Input Data'!$BG$8))),0)*VLOOKUP($G10,'Input Data'!$BI$3:$BL$9,4,FALSE)))</f>
        <v>8033.256</v>
      </c>
      <c r="AS10" s="56">
        <f>AC10*$F10</f>
        <v>11041.6</v>
      </c>
      <c r="AT10" s="56">
        <f>AD10*$F10</f>
        <v>11041.6</v>
      </c>
      <c r="AU10" s="56">
        <f>AE10*$F10</f>
        <v>11041.6</v>
      </c>
      <c r="AV10" s="56">
        <f>AF10*$F10</f>
        <v>11041.6</v>
      </c>
      <c r="AW10" s="56">
        <f>AG10*$F10</f>
        <v>11041.6</v>
      </c>
      <c r="AX10" s="56">
        <f>AH10*$F10</f>
        <v>11041.6</v>
      </c>
      <c r="AY10" s="56">
        <f>AI10*$F10</f>
        <v>11041.6</v>
      </c>
      <c r="AZ10" s="56">
        <f>AJ10*$F10</f>
        <v>11041.6</v>
      </c>
    </row>
    <row r="11" spans="1:52" ht="25.5">
      <c r="A11" s="26"/>
      <c r="B11" s="41"/>
      <c r="C11" s="35" t="s">
        <v>60</v>
      </c>
      <c r="D11" s="45">
        <v>31000</v>
      </c>
      <c r="E11" s="45"/>
      <c r="F11" s="46">
        <v>0.1648</v>
      </c>
      <c r="G11" s="694" t="s">
        <v>1149</v>
      </c>
      <c r="H11" s="47">
        <v>0.8</v>
      </c>
      <c r="I11" s="47">
        <v>0.8</v>
      </c>
      <c r="J11" s="47">
        <v>1</v>
      </c>
      <c r="K11" s="47">
        <v>1</v>
      </c>
      <c r="L11" s="47">
        <v>1</v>
      </c>
      <c r="M11" s="47">
        <v>1</v>
      </c>
      <c r="N11" s="47">
        <v>1</v>
      </c>
      <c r="O11" s="47">
        <v>1</v>
      </c>
      <c r="P11" s="28"/>
      <c r="Q11" s="35" t="s">
        <v>61</v>
      </c>
      <c r="R11" s="42"/>
      <c r="T11" s="43">
        <f>SUM(AC11,AK11,AS11)</f>
        <v>31096.696</v>
      </c>
      <c r="U11" s="43">
        <f>SUM(AD11,AL11,AT11)</f>
        <v>31096.696</v>
      </c>
      <c r="V11" s="43">
        <f>SUM(AE11,AM11,AU11)</f>
        <v>39174.056000000004</v>
      </c>
      <c r="W11" s="43">
        <f>SUM(AF11,AN11,AV11)</f>
        <v>39174.056000000004</v>
      </c>
      <c r="X11" s="43">
        <f>SUM(AG11,AO11,AW11)</f>
        <v>39174.056000000004</v>
      </c>
      <c r="Y11" s="43">
        <f>SUM(AH11,AP11,AX11)</f>
        <v>39174.056000000004</v>
      </c>
      <c r="Z11" s="43">
        <f>SUM(AI11,AQ11,AY11)</f>
        <v>39174.056000000004</v>
      </c>
      <c r="AA11" s="43">
        <f>SUM(AJ11,AR11,AZ11)</f>
        <v>39174.056000000004</v>
      </c>
      <c r="AC11" s="631">
        <f>SUM($D11:$E11)*H11</f>
        <v>24800</v>
      </c>
      <c r="AD11" s="631">
        <f>SUM($D11:$E11)*I11</f>
        <v>24800</v>
      </c>
      <c r="AE11" s="631">
        <f>SUM($D11:$E11)*J11</f>
        <v>31000</v>
      </c>
      <c r="AF11" s="631">
        <f>SUM($D11:$E11)*K11</f>
        <v>31000</v>
      </c>
      <c r="AG11" s="631">
        <f>SUM($D11:$E11)*L11</f>
        <v>31000</v>
      </c>
      <c r="AH11" s="631">
        <f>SUM($D11:$E11)*M11</f>
        <v>31000</v>
      </c>
      <c r="AI11" s="631">
        <f>SUM($D11:$E11)*N11</f>
        <v>31000</v>
      </c>
      <c r="AJ11" s="631">
        <f>SUM($D11:$E11)*O11</f>
        <v>31000</v>
      </c>
      <c r="AK11" s="56">
        <f>IF($G11="",0,SUM(MAX(MIN(AC11-'Input Data'!$BG$3,'Input Data'!$BG$5-'Input Data'!$BG$3),0)*VLOOKUP($G11,'Input Data'!$BI$3:$BL$9,2,FALSE),MAX(MIN(AC11-'Input Data'!$BG$5,IF(OR($G11="M (under 21)",$G11="Z (under 21 - deferment)"),'Input Data'!$BG$6,IF($G11="H (Apprentice under 25)",'Input Data'!$BG$7,'Input Data'!$BG$8))-'Input Data'!$BG$5),0)*VLOOKUP($G11,'Input Data'!$BI$3:$BL$9,3,FALSE),MAX((AC11-IF(OR($G11="M (under 21)",$G11="Z (under 21 - deferment)"),'Input Data'!$BG$6,IF($G11="H (Apprentice under 25)",'Input Data'!$BG$7,'Input Data'!$BG$8))),0)*VLOOKUP($G11,'Input Data'!$BI$3:$BL$9,4,FALSE)))</f>
        <v>2209.6560000000004</v>
      </c>
      <c r="AL11" s="56">
        <f>IF($G11="",0,SUM(MAX(MIN(AD11-'Input Data'!$BG$3,'Input Data'!$BG$5-'Input Data'!$BG$3),0)*VLOOKUP($G11,'Input Data'!$BI$3:$BL$9,2,FALSE),MAX(MIN(AD11-'Input Data'!$BG$5,IF(OR($G11="M (under 21)",$G11="Z (under 21 - deferment)"),'Input Data'!$BG$6,IF($G11="H (Apprentice under 25)",'Input Data'!$BG$7,'Input Data'!$BG$8))-'Input Data'!$BG$5),0)*VLOOKUP($G11,'Input Data'!$BI$3:$BL$9,3,FALSE),MAX((AD11-IF(OR($G11="M (under 21)",$G11="Z (under 21 - deferment)"),'Input Data'!$BG$6,IF($G11="H (Apprentice under 25)",'Input Data'!$BG$7,'Input Data'!$BG$8))),0)*VLOOKUP($G11,'Input Data'!$BI$3:$BL$9,4,FALSE)))</f>
        <v>2209.6560000000004</v>
      </c>
      <c r="AM11" s="56">
        <f>IF($G11="",0,SUM(MAX(MIN(AE11-'Input Data'!$BG$3,'Input Data'!$BG$5-'Input Data'!$BG$3),0)*VLOOKUP($G11,'Input Data'!$BI$3:$BL$9,2,FALSE),MAX(MIN(AE11-'Input Data'!$BG$5,IF(OR($G11="M (under 21)",$G11="Z (under 21 - deferment)"),'Input Data'!$BG$6,IF($G11="H (Apprentice under 25)",'Input Data'!$BG$7,'Input Data'!$BG$8))-'Input Data'!$BG$5),0)*VLOOKUP($G11,'Input Data'!$BI$3:$BL$9,3,FALSE),MAX((AE11-IF(OR($G11="M (under 21)",$G11="Z (under 21 - deferment)"),'Input Data'!$BG$6,IF($G11="H (Apprentice under 25)",'Input Data'!$BG$7,'Input Data'!$BG$8))),0)*VLOOKUP($G11,'Input Data'!$BI$3:$BL$9,4,FALSE)))</f>
        <v>3065.2560000000003</v>
      </c>
      <c r="AN11" s="56">
        <f>IF($G11="",0,SUM(MAX(MIN(AF11-'Input Data'!$BG$3,'Input Data'!$BG$5-'Input Data'!$BG$3),0)*VLOOKUP($G11,'Input Data'!$BI$3:$BL$9,2,FALSE),MAX(MIN(AF11-'Input Data'!$BG$5,IF(OR($G11="M (under 21)",$G11="Z (under 21 - deferment)"),'Input Data'!$BG$6,IF($G11="H (Apprentice under 25)",'Input Data'!$BG$7,'Input Data'!$BG$8))-'Input Data'!$BG$5),0)*VLOOKUP($G11,'Input Data'!$BI$3:$BL$9,3,FALSE),MAX((AF11-IF(OR($G11="M (under 21)",$G11="Z (under 21 - deferment)"),'Input Data'!$BG$6,IF($G11="H (Apprentice under 25)",'Input Data'!$BG$7,'Input Data'!$BG$8))),0)*VLOOKUP($G11,'Input Data'!$BI$3:$BL$9,4,FALSE)))</f>
        <v>3065.2560000000003</v>
      </c>
      <c r="AO11" s="56">
        <f>IF($G11="",0,SUM(MAX(MIN(AG11-'Input Data'!$BG$3,'Input Data'!$BG$5-'Input Data'!$BG$3),0)*VLOOKUP($G11,'Input Data'!$BI$3:$BL$9,2,FALSE),MAX(MIN(AG11-'Input Data'!$BG$5,IF(OR($G11="M (under 21)",$G11="Z (under 21 - deferment)"),'Input Data'!$BG$6,IF($G11="H (Apprentice under 25)",'Input Data'!$BG$7,'Input Data'!$BG$8))-'Input Data'!$BG$5),0)*VLOOKUP($G11,'Input Data'!$BI$3:$BL$9,3,FALSE),MAX((AG11-IF(OR($G11="M (under 21)",$G11="Z (under 21 - deferment)"),'Input Data'!$BG$6,IF($G11="H (Apprentice under 25)",'Input Data'!$BG$7,'Input Data'!$BG$8))),0)*VLOOKUP($G11,'Input Data'!$BI$3:$BL$9,4,FALSE)))</f>
        <v>3065.2560000000003</v>
      </c>
      <c r="AP11" s="56">
        <f>IF($G11="",0,SUM(MAX(MIN(AH11-'Input Data'!$BG$3,'Input Data'!$BG$5-'Input Data'!$BG$3),0)*VLOOKUP($G11,'Input Data'!$BI$3:$BL$9,2,FALSE),MAX(MIN(AH11-'Input Data'!$BG$5,IF(OR($G11="M (under 21)",$G11="Z (under 21 - deferment)"),'Input Data'!$BG$6,IF($G11="H (Apprentice under 25)",'Input Data'!$BG$7,'Input Data'!$BG$8))-'Input Data'!$BG$5),0)*VLOOKUP($G11,'Input Data'!$BI$3:$BL$9,3,FALSE),MAX((AH11-IF(OR($G11="M (under 21)",$G11="Z (under 21 - deferment)"),'Input Data'!$BG$6,IF($G11="H (Apprentice under 25)",'Input Data'!$BG$7,'Input Data'!$BG$8))),0)*VLOOKUP($G11,'Input Data'!$BI$3:$BL$9,4,FALSE)))</f>
        <v>3065.2560000000003</v>
      </c>
      <c r="AQ11" s="56">
        <f>IF($G11="",0,SUM(MAX(MIN(AI11-'Input Data'!$BG$3,'Input Data'!$BG$5-'Input Data'!$BG$3),0)*VLOOKUP($G11,'Input Data'!$BI$3:$BL$9,2,FALSE),MAX(MIN(AI11-'Input Data'!$BG$5,IF(OR($G11="M (under 21)",$G11="Z (under 21 - deferment)"),'Input Data'!$BG$6,IF($G11="H (Apprentice under 25)",'Input Data'!$BG$7,'Input Data'!$BG$8))-'Input Data'!$BG$5),0)*VLOOKUP($G11,'Input Data'!$BI$3:$BL$9,3,FALSE),MAX((AI11-IF(OR($G11="M (under 21)",$G11="Z (under 21 - deferment)"),'Input Data'!$BG$6,IF($G11="H (Apprentice under 25)",'Input Data'!$BG$7,'Input Data'!$BG$8))),0)*VLOOKUP($G11,'Input Data'!$BI$3:$BL$9,4,FALSE)))</f>
        <v>3065.2560000000003</v>
      </c>
      <c r="AR11" s="56">
        <f>IF($G11="",0,SUM(MAX(MIN(AJ11-'Input Data'!$BG$3,'Input Data'!$BG$5-'Input Data'!$BG$3),0)*VLOOKUP($G11,'Input Data'!$BI$3:$BL$9,2,FALSE),MAX(MIN(AJ11-'Input Data'!$BG$5,IF(OR($G11="M (under 21)",$G11="Z (under 21 - deferment)"),'Input Data'!$BG$6,IF($G11="H (Apprentice under 25)",'Input Data'!$BG$7,'Input Data'!$BG$8))-'Input Data'!$BG$5),0)*VLOOKUP($G11,'Input Data'!$BI$3:$BL$9,3,FALSE),MAX((AJ11-IF(OR($G11="M (under 21)",$G11="Z (under 21 - deferment)"),'Input Data'!$BG$6,IF($G11="H (Apprentice under 25)",'Input Data'!$BG$7,'Input Data'!$BG$8))),0)*VLOOKUP($G11,'Input Data'!$BI$3:$BL$9,4,FALSE)))</f>
        <v>3065.2560000000003</v>
      </c>
      <c r="AS11" s="56">
        <f>AC11*$F11</f>
        <v>4087.04</v>
      </c>
      <c r="AT11" s="56">
        <f>AD11*$F11</f>
        <v>4087.04</v>
      </c>
      <c r="AU11" s="56">
        <f>AE11*$F11</f>
        <v>5108.8</v>
      </c>
      <c r="AV11" s="56">
        <f>AF11*$F11</f>
        <v>5108.8</v>
      </c>
      <c r="AW11" s="56">
        <f>AG11*$F11</f>
        <v>5108.8</v>
      </c>
      <c r="AX11" s="56">
        <f>AH11*$F11</f>
        <v>5108.8</v>
      </c>
      <c r="AY11" s="56">
        <f>AI11*$F11</f>
        <v>5108.8</v>
      </c>
      <c r="AZ11" s="56">
        <f>AJ11*$F11</f>
        <v>5108.8</v>
      </c>
    </row>
    <row r="12" spans="1:52" ht="25.5">
      <c r="A12" s="26"/>
      <c r="B12" s="41"/>
      <c r="C12" s="35" t="s">
        <v>62</v>
      </c>
      <c r="D12" s="45">
        <v>23000</v>
      </c>
      <c r="E12" s="45"/>
      <c r="F12" s="46">
        <v>0.1648</v>
      </c>
      <c r="G12" s="694" t="s">
        <v>1149</v>
      </c>
      <c r="H12" s="47"/>
      <c r="I12" s="47">
        <v>0.5</v>
      </c>
      <c r="J12" s="47">
        <v>1</v>
      </c>
      <c r="K12" s="47">
        <v>1</v>
      </c>
      <c r="L12" s="47">
        <v>1</v>
      </c>
      <c r="M12" s="47">
        <v>1</v>
      </c>
      <c r="N12" s="47">
        <v>1</v>
      </c>
      <c r="O12" s="47">
        <v>1</v>
      </c>
      <c r="P12" s="28"/>
      <c r="Q12" s="35" t="s">
        <v>63</v>
      </c>
      <c r="R12" s="42"/>
      <c r="T12" s="43">
        <f>SUM(AC12,AK12,AS12)</f>
        <v>0</v>
      </c>
      <c r="U12" s="43">
        <f>SUM(AD12,AL12,AT12)</f>
        <v>13769.456</v>
      </c>
      <c r="V12" s="43">
        <f>SUM(AE12,AM12,AU12)</f>
        <v>28751.656000000003</v>
      </c>
      <c r="W12" s="43">
        <f>SUM(AF12,AN12,AV12)</f>
        <v>28751.656000000003</v>
      </c>
      <c r="X12" s="43">
        <f>SUM(AG12,AO12,AW12)</f>
        <v>28751.656000000003</v>
      </c>
      <c r="Y12" s="43">
        <f>SUM(AH12,AP12,AX12)</f>
        <v>28751.656000000003</v>
      </c>
      <c r="Z12" s="43">
        <f>SUM(AI12,AQ12,AY12)</f>
        <v>28751.656000000003</v>
      </c>
      <c r="AA12" s="43">
        <f>SUM(AJ12,AR12,AZ12)</f>
        <v>28751.656000000003</v>
      </c>
      <c r="AC12" s="631">
        <f>SUM($D12:$E12)*H12</f>
        <v>0</v>
      </c>
      <c r="AD12" s="631">
        <f>SUM($D12:$E12)*I12</f>
        <v>11500</v>
      </c>
      <c r="AE12" s="631">
        <f>SUM($D12:$E12)*J12</f>
        <v>23000</v>
      </c>
      <c r="AF12" s="631">
        <f>SUM($D12:$E12)*K12</f>
        <v>23000</v>
      </c>
      <c r="AG12" s="631">
        <f>SUM($D12:$E12)*L12</f>
        <v>23000</v>
      </c>
      <c r="AH12" s="631">
        <f>SUM($D12:$E12)*M12</f>
        <v>23000</v>
      </c>
      <c r="AI12" s="631">
        <f>SUM($D12:$E12)*N12</f>
        <v>23000</v>
      </c>
      <c r="AJ12" s="631">
        <f>SUM($D12:$E12)*O12</f>
        <v>23000</v>
      </c>
      <c r="AK12" s="56">
        <f>IF($G12="",0,SUM(MAX(MIN(AC12-'Input Data'!$BG$3,'Input Data'!$BG$5-'Input Data'!$BG$3),0)*VLOOKUP($G12,'Input Data'!$BI$3:$BL$9,2,FALSE),MAX(MIN(AC12-'Input Data'!$BG$5,IF(OR($G12="M (under 21)",$G12="Z (under 21 - deferment)"),'Input Data'!$BG$6,IF($G12="H (Apprentice under 25)",'Input Data'!$BG$7,'Input Data'!$BG$8))-'Input Data'!$BG$5),0)*VLOOKUP($G12,'Input Data'!$BI$3:$BL$9,3,FALSE),MAX((AC12-IF(OR($G12="M (under 21)",$G12="Z (under 21 - deferment)"),'Input Data'!$BG$6,IF($G12="H (Apprentice under 25)",'Input Data'!$BG$7,'Input Data'!$BG$8))),0)*VLOOKUP($G12,'Input Data'!$BI$3:$BL$9,4,FALSE)))</f>
        <v>0</v>
      </c>
      <c r="AL12" s="56">
        <f>IF($G12="",0,SUM(MAX(MIN(AD12-'Input Data'!$BG$3,'Input Data'!$BG$5-'Input Data'!$BG$3),0)*VLOOKUP($G12,'Input Data'!$BI$3:$BL$9,2,FALSE),MAX(MIN(AD12-'Input Data'!$BG$5,IF(OR($G12="M (under 21)",$G12="Z (under 21 - deferment)"),'Input Data'!$BG$6,IF($G12="H (Apprentice under 25)",'Input Data'!$BG$7,'Input Data'!$BG$8))-'Input Data'!$BG$5),0)*VLOOKUP($G12,'Input Data'!$BI$3:$BL$9,3,FALSE),MAX((AD12-IF(OR($G12="M (under 21)",$G12="Z (under 21 - deferment)"),'Input Data'!$BG$6,IF($G12="H (Apprentice under 25)",'Input Data'!$BG$7,'Input Data'!$BG$8))),0)*VLOOKUP($G12,'Input Data'!$BI$3:$BL$9,4,FALSE)))</f>
        <v>374.25600000000003</v>
      </c>
      <c r="AM12" s="56">
        <f>IF($G12="",0,SUM(MAX(MIN(AE12-'Input Data'!$BG$3,'Input Data'!$BG$5-'Input Data'!$BG$3),0)*VLOOKUP($G12,'Input Data'!$BI$3:$BL$9,2,FALSE),MAX(MIN(AE12-'Input Data'!$BG$5,IF(OR($G12="M (under 21)",$G12="Z (under 21 - deferment)"),'Input Data'!$BG$6,IF($G12="H (Apprentice under 25)",'Input Data'!$BG$7,'Input Data'!$BG$8))-'Input Data'!$BG$5),0)*VLOOKUP($G12,'Input Data'!$BI$3:$BL$9,3,FALSE),MAX((AE12-IF(OR($G12="M (under 21)",$G12="Z (under 21 - deferment)"),'Input Data'!$BG$6,IF($G12="H (Apprentice under 25)",'Input Data'!$BG$7,'Input Data'!$BG$8))),0)*VLOOKUP($G12,'Input Data'!$BI$3:$BL$9,4,FALSE)))</f>
        <v>1961.256</v>
      </c>
      <c r="AN12" s="56">
        <f>IF($G12="",0,SUM(MAX(MIN(AF12-'Input Data'!$BG$3,'Input Data'!$BG$5-'Input Data'!$BG$3),0)*VLOOKUP($G12,'Input Data'!$BI$3:$BL$9,2,FALSE),MAX(MIN(AF12-'Input Data'!$BG$5,IF(OR($G12="M (under 21)",$G12="Z (under 21 - deferment)"),'Input Data'!$BG$6,IF($G12="H (Apprentice under 25)",'Input Data'!$BG$7,'Input Data'!$BG$8))-'Input Data'!$BG$5),0)*VLOOKUP($G12,'Input Data'!$BI$3:$BL$9,3,FALSE),MAX((AF12-IF(OR($G12="M (under 21)",$G12="Z (under 21 - deferment)"),'Input Data'!$BG$6,IF($G12="H (Apprentice under 25)",'Input Data'!$BG$7,'Input Data'!$BG$8))),0)*VLOOKUP($G12,'Input Data'!$BI$3:$BL$9,4,FALSE)))</f>
        <v>1961.256</v>
      </c>
      <c r="AO12" s="56">
        <f>IF($G12="",0,SUM(MAX(MIN(AG12-'Input Data'!$BG$3,'Input Data'!$BG$5-'Input Data'!$BG$3),0)*VLOOKUP($G12,'Input Data'!$BI$3:$BL$9,2,FALSE),MAX(MIN(AG12-'Input Data'!$BG$5,IF(OR($G12="M (under 21)",$G12="Z (under 21 - deferment)"),'Input Data'!$BG$6,IF($G12="H (Apprentice under 25)",'Input Data'!$BG$7,'Input Data'!$BG$8))-'Input Data'!$BG$5),0)*VLOOKUP($G12,'Input Data'!$BI$3:$BL$9,3,FALSE),MAX((AG12-IF(OR($G12="M (under 21)",$G12="Z (under 21 - deferment)"),'Input Data'!$BG$6,IF($G12="H (Apprentice under 25)",'Input Data'!$BG$7,'Input Data'!$BG$8))),0)*VLOOKUP($G12,'Input Data'!$BI$3:$BL$9,4,FALSE)))</f>
        <v>1961.256</v>
      </c>
      <c r="AP12" s="56">
        <f>IF($G12="",0,SUM(MAX(MIN(AH12-'Input Data'!$BG$3,'Input Data'!$BG$5-'Input Data'!$BG$3),0)*VLOOKUP($G12,'Input Data'!$BI$3:$BL$9,2,FALSE),MAX(MIN(AH12-'Input Data'!$BG$5,IF(OR($G12="M (under 21)",$G12="Z (under 21 - deferment)"),'Input Data'!$BG$6,IF($G12="H (Apprentice under 25)",'Input Data'!$BG$7,'Input Data'!$BG$8))-'Input Data'!$BG$5),0)*VLOOKUP($G12,'Input Data'!$BI$3:$BL$9,3,FALSE),MAX((AH12-IF(OR($G12="M (under 21)",$G12="Z (under 21 - deferment)"),'Input Data'!$BG$6,IF($G12="H (Apprentice under 25)",'Input Data'!$BG$7,'Input Data'!$BG$8))),0)*VLOOKUP($G12,'Input Data'!$BI$3:$BL$9,4,FALSE)))</f>
        <v>1961.256</v>
      </c>
      <c r="AQ12" s="56">
        <f>IF($G12="",0,SUM(MAX(MIN(AI12-'Input Data'!$BG$3,'Input Data'!$BG$5-'Input Data'!$BG$3),0)*VLOOKUP($G12,'Input Data'!$BI$3:$BL$9,2,FALSE),MAX(MIN(AI12-'Input Data'!$BG$5,IF(OR($G12="M (under 21)",$G12="Z (under 21 - deferment)"),'Input Data'!$BG$6,IF($G12="H (Apprentice under 25)",'Input Data'!$BG$7,'Input Data'!$BG$8))-'Input Data'!$BG$5),0)*VLOOKUP($G12,'Input Data'!$BI$3:$BL$9,3,FALSE),MAX((AI12-IF(OR($G12="M (under 21)",$G12="Z (under 21 - deferment)"),'Input Data'!$BG$6,IF($G12="H (Apprentice under 25)",'Input Data'!$BG$7,'Input Data'!$BG$8))),0)*VLOOKUP($G12,'Input Data'!$BI$3:$BL$9,4,FALSE)))</f>
        <v>1961.256</v>
      </c>
      <c r="AR12" s="56">
        <f>IF($G12="",0,SUM(MAX(MIN(AJ12-'Input Data'!$BG$3,'Input Data'!$BG$5-'Input Data'!$BG$3),0)*VLOOKUP($G12,'Input Data'!$BI$3:$BL$9,2,FALSE),MAX(MIN(AJ12-'Input Data'!$BG$5,IF(OR($G12="M (under 21)",$G12="Z (under 21 - deferment)"),'Input Data'!$BG$6,IF($G12="H (Apprentice under 25)",'Input Data'!$BG$7,'Input Data'!$BG$8))-'Input Data'!$BG$5),0)*VLOOKUP($G12,'Input Data'!$BI$3:$BL$9,3,FALSE),MAX((AJ12-IF(OR($G12="M (under 21)",$G12="Z (under 21 - deferment)"),'Input Data'!$BG$6,IF($G12="H (Apprentice under 25)",'Input Data'!$BG$7,'Input Data'!$BG$8))),0)*VLOOKUP($G12,'Input Data'!$BI$3:$BL$9,4,FALSE)))</f>
        <v>1961.256</v>
      </c>
      <c r="AS12" s="56">
        <f>AC12*$F12</f>
        <v>0</v>
      </c>
      <c r="AT12" s="56">
        <f>AD12*$F12</f>
        <v>1895.2</v>
      </c>
      <c r="AU12" s="56">
        <f>AE12*$F12</f>
        <v>3790.4</v>
      </c>
      <c r="AV12" s="56">
        <f>AF12*$F12</f>
        <v>3790.4</v>
      </c>
      <c r="AW12" s="56">
        <f>AG12*$F12</f>
        <v>3790.4</v>
      </c>
      <c r="AX12" s="56">
        <f>AH12*$F12</f>
        <v>3790.4</v>
      </c>
      <c r="AY12" s="56">
        <f>AI12*$F12</f>
        <v>3790.4</v>
      </c>
      <c r="AZ12" s="56">
        <f>AJ12*$F12</f>
        <v>3790.4</v>
      </c>
    </row>
    <row r="13" spans="1:52" ht="15">
      <c r="A13" s="26"/>
      <c r="B13" s="48"/>
      <c r="C13" s="49"/>
      <c r="D13" s="49"/>
      <c r="E13" s="49"/>
      <c r="F13" s="49"/>
      <c r="G13" s="49"/>
      <c r="H13" s="50"/>
      <c r="I13" s="50"/>
      <c r="J13" s="50"/>
      <c r="K13" s="50"/>
      <c r="L13" s="50"/>
      <c r="M13" s="50"/>
      <c r="N13" s="50"/>
      <c r="O13" s="50"/>
      <c r="P13" s="51"/>
      <c r="Q13" s="49"/>
      <c r="R13" s="52"/>
      <c r="T13"/>
      <c r="U13"/>
      <c r="V13"/>
      <c r="W13"/>
      <c r="X13"/>
      <c r="Y13"/>
      <c r="Z13"/>
      <c r="AA13"/>
      <c r="AC13" s="631"/>
      <c r="AD13" s="631"/>
      <c r="AE13" s="631"/>
      <c r="AF13" s="631"/>
      <c r="AG13" s="631"/>
      <c r="AH13" s="631"/>
      <c r="AI13" s="631"/>
      <c r="AJ13" s="631"/>
      <c r="AK13" s="56"/>
      <c r="AL13" s="56"/>
      <c r="AM13" s="56"/>
      <c r="AN13" s="56"/>
      <c r="AO13" s="56"/>
      <c r="AP13" s="56"/>
      <c r="AQ13" s="56"/>
      <c r="AR13" s="56"/>
      <c r="AS13" s="56"/>
      <c r="AT13" s="56"/>
      <c r="AU13" s="56"/>
      <c r="AV13" s="56"/>
      <c r="AW13" s="56"/>
      <c r="AX13" s="56"/>
      <c r="AY13" s="56"/>
      <c r="AZ13" s="56"/>
    </row>
    <row r="14" spans="1:52" ht="15">
      <c r="A14" s="26"/>
      <c r="B14" s="26"/>
      <c r="C14" s="33"/>
      <c r="D14" s="33"/>
      <c r="E14" s="33"/>
      <c r="F14" s="33"/>
      <c r="G14" s="33"/>
      <c r="H14" s="53"/>
      <c r="I14" s="53"/>
      <c r="J14" s="53"/>
      <c r="K14" s="53"/>
      <c r="L14" s="53"/>
      <c r="M14" s="53"/>
      <c r="N14" s="53"/>
      <c r="O14" s="53"/>
      <c r="P14" s="26"/>
      <c r="Q14" s="33"/>
      <c r="R14" s="26"/>
      <c r="T14"/>
      <c r="U14"/>
      <c r="V14"/>
      <c r="W14"/>
      <c r="X14"/>
      <c r="Y14"/>
      <c r="Z14"/>
      <c r="AA14"/>
      <c r="AC14" s="631"/>
      <c r="AD14" s="631"/>
      <c r="AE14" s="631"/>
      <c r="AF14" s="631"/>
      <c r="AG14" s="631"/>
      <c r="AH14" s="631"/>
      <c r="AI14" s="631"/>
      <c r="AJ14" s="631"/>
      <c r="AK14" s="56"/>
      <c r="AL14" s="56"/>
      <c r="AM14" s="56"/>
      <c r="AN14" s="56"/>
      <c r="AO14" s="56"/>
      <c r="AP14" s="56"/>
      <c r="AQ14" s="56"/>
      <c r="AR14" s="56"/>
      <c r="AS14" s="56"/>
      <c r="AT14" s="56"/>
      <c r="AU14" s="56"/>
      <c r="AV14" s="56"/>
      <c r="AW14" s="56"/>
      <c r="AX14" s="56"/>
      <c r="AY14" s="56"/>
      <c r="AZ14" s="56"/>
    </row>
    <row r="15" spans="1:52" ht="15">
      <c r="A15" s="26"/>
      <c r="B15" s="36"/>
      <c r="C15" s="54"/>
      <c r="D15" s="37"/>
      <c r="E15" s="37"/>
      <c r="F15" s="37"/>
      <c r="G15" s="37"/>
      <c r="H15" s="55"/>
      <c r="I15" s="55"/>
      <c r="J15" s="55"/>
      <c r="K15" s="55"/>
      <c r="L15" s="55"/>
      <c r="M15" s="55"/>
      <c r="N15" s="55"/>
      <c r="O15" s="55"/>
      <c r="P15" s="39"/>
      <c r="Q15" s="37"/>
      <c r="R15" s="40"/>
      <c r="T15"/>
      <c r="U15"/>
      <c r="V15"/>
      <c r="W15"/>
      <c r="X15"/>
      <c r="Y15"/>
      <c r="Z15"/>
      <c r="AA15"/>
      <c r="AC15" s="631"/>
      <c r="AD15" s="631"/>
      <c r="AE15" s="631"/>
      <c r="AF15" s="631"/>
      <c r="AG15" s="631"/>
      <c r="AH15" s="631"/>
      <c r="AI15" s="631"/>
      <c r="AJ15" s="631"/>
      <c r="AK15" s="56"/>
      <c r="AL15" s="56"/>
      <c r="AM15" s="56"/>
      <c r="AN15" s="56"/>
      <c r="AO15" s="56"/>
      <c r="AP15" s="56"/>
      <c r="AQ15" s="56"/>
      <c r="AR15" s="56"/>
      <c r="AS15" s="56"/>
      <c r="AT15" s="56"/>
      <c r="AU15" s="56"/>
      <c r="AV15" s="56"/>
      <c r="AW15" s="56"/>
      <c r="AX15" s="56"/>
      <c r="AY15" s="56"/>
      <c r="AZ15" s="56"/>
    </row>
    <row r="16" spans="1:52" ht="15">
      <c r="A16" s="26"/>
      <c r="B16" s="41"/>
      <c r="C16" s="33" t="s">
        <v>1047</v>
      </c>
      <c r="D16" s="33"/>
      <c r="E16" s="33"/>
      <c r="F16" s="33"/>
      <c r="G16" s="33"/>
      <c r="H16" s="53"/>
      <c r="I16" s="53"/>
      <c r="J16" s="53"/>
      <c r="K16" s="53"/>
      <c r="L16" s="53"/>
      <c r="M16" s="53"/>
      <c r="N16" s="53"/>
      <c r="O16" s="53"/>
      <c r="P16" s="26"/>
      <c r="Q16" s="33"/>
      <c r="R16" s="42"/>
      <c r="T16"/>
      <c r="U16"/>
      <c r="V16"/>
      <c r="W16"/>
      <c r="X16"/>
      <c r="Y16"/>
      <c r="Z16"/>
      <c r="AA16"/>
      <c r="AC16" s="631"/>
      <c r="AD16" s="631"/>
      <c r="AE16" s="631"/>
      <c r="AF16" s="631"/>
      <c r="AG16" s="631"/>
      <c r="AH16" s="631"/>
      <c r="AI16" s="631"/>
      <c r="AJ16" s="631"/>
      <c r="AK16" s="56"/>
      <c r="AL16" s="56"/>
      <c r="AM16" s="56"/>
      <c r="AN16" s="56"/>
      <c r="AO16" s="56"/>
      <c r="AP16" s="56"/>
      <c r="AQ16" s="56"/>
      <c r="AR16" s="56"/>
      <c r="AS16" s="56"/>
      <c r="AT16" s="56"/>
      <c r="AU16" s="56"/>
      <c r="AV16" s="56"/>
      <c r="AW16" s="56"/>
      <c r="AX16" s="56"/>
      <c r="AY16" s="56"/>
      <c r="AZ16" s="56"/>
    </row>
    <row r="17" spans="1:52" ht="15">
      <c r="A17" s="26"/>
      <c r="B17" s="41"/>
      <c r="C17" s="33"/>
      <c r="D17" s="33"/>
      <c r="E17" s="33"/>
      <c r="F17" s="33"/>
      <c r="G17" s="35" t="s">
        <v>1142</v>
      </c>
      <c r="H17" s="53"/>
      <c r="I17" s="53"/>
      <c r="J17" s="53"/>
      <c r="K17" s="53"/>
      <c r="L17" s="53"/>
      <c r="M17" s="53"/>
      <c r="N17" s="53"/>
      <c r="O17" s="53"/>
      <c r="P17" s="26"/>
      <c r="Q17" s="33"/>
      <c r="R17" s="42"/>
      <c r="T17"/>
      <c r="U17"/>
      <c r="V17"/>
      <c r="W17"/>
      <c r="X17"/>
      <c r="Y17"/>
      <c r="Z17"/>
      <c r="AA17"/>
      <c r="AC17" s="631"/>
      <c r="AD17" s="631"/>
      <c r="AE17" s="631"/>
      <c r="AF17" s="631"/>
      <c r="AG17" s="631"/>
      <c r="AH17" s="631"/>
      <c r="AI17" s="631"/>
      <c r="AJ17" s="631"/>
      <c r="AK17" s="56"/>
      <c r="AL17" s="56"/>
      <c r="AM17" s="56"/>
      <c r="AN17" s="56"/>
      <c r="AO17" s="56"/>
      <c r="AP17" s="56"/>
      <c r="AQ17" s="56"/>
      <c r="AR17" s="56"/>
      <c r="AS17" s="56"/>
      <c r="AT17" s="56"/>
      <c r="AU17" s="56"/>
      <c r="AV17" s="56"/>
      <c r="AW17" s="56"/>
      <c r="AX17" s="56"/>
      <c r="AY17" s="56"/>
      <c r="AZ17" s="56"/>
    </row>
    <row r="18" spans="1:52" ht="15">
      <c r="A18" s="26"/>
      <c r="B18" s="41"/>
      <c r="C18" s="33" t="s">
        <v>64</v>
      </c>
      <c r="D18" s="33"/>
      <c r="E18" s="33"/>
      <c r="F18" s="33"/>
      <c r="G18" s="33"/>
      <c r="H18" s="53"/>
      <c r="I18" s="53"/>
      <c r="J18" s="53"/>
      <c r="K18" s="53"/>
      <c r="L18" s="53"/>
      <c r="M18" s="53"/>
      <c r="N18" s="53"/>
      <c r="O18" s="53"/>
      <c r="P18" s="26"/>
      <c r="Q18" s="33"/>
      <c r="R18" s="42"/>
      <c r="T18"/>
      <c r="U18"/>
      <c r="V18"/>
      <c r="W18"/>
      <c r="X18"/>
      <c r="Y18"/>
      <c r="Z18"/>
      <c r="AA18"/>
      <c r="AC18" s="631"/>
      <c r="AD18" s="631"/>
      <c r="AE18" s="631"/>
      <c r="AF18" s="631"/>
      <c r="AG18" s="631"/>
      <c r="AH18" s="631"/>
      <c r="AI18" s="631"/>
      <c r="AJ18" s="631"/>
      <c r="AK18" s="56"/>
      <c r="AL18" s="56"/>
      <c r="AM18" s="56"/>
      <c r="AN18" s="56"/>
      <c r="AO18" s="56"/>
      <c r="AP18" s="56"/>
      <c r="AQ18" s="56"/>
      <c r="AR18" s="56"/>
      <c r="AS18" s="56"/>
      <c r="AT18" s="56"/>
      <c r="AU18" s="56"/>
      <c r="AV18" s="56"/>
      <c r="AW18" s="56"/>
      <c r="AX18" s="56"/>
      <c r="AY18" s="56"/>
      <c r="AZ18" s="56"/>
    </row>
    <row r="19" spans="1:52" ht="25.5">
      <c r="A19" s="26"/>
      <c r="B19" s="41"/>
      <c r="C19" s="57" t="s">
        <v>65</v>
      </c>
      <c r="D19" s="58"/>
      <c r="E19" s="58"/>
      <c r="F19" s="535"/>
      <c r="G19" s="693" t="s">
        <v>1149</v>
      </c>
      <c r="H19" s="65"/>
      <c r="I19" s="65"/>
      <c r="J19" s="65"/>
      <c r="K19" s="65"/>
      <c r="L19" s="65"/>
      <c r="M19" s="65"/>
      <c r="N19" s="65"/>
      <c r="O19" s="65"/>
      <c r="P19" s="29"/>
      <c r="Q19" s="597"/>
      <c r="R19" s="42"/>
      <c r="T19" s="43">
        <f>SUM(AC19,AK19,AS19)</f>
        <v>0</v>
      </c>
      <c r="U19" s="43">
        <f>SUM(AD19,AL19,AT19)</f>
        <v>0</v>
      </c>
      <c r="V19" s="43">
        <f>SUM(AE19,AM19,AU19)</f>
        <v>0</v>
      </c>
      <c r="W19" s="43">
        <f>SUM(AF19,AN19,AV19)</f>
        <v>0</v>
      </c>
      <c r="X19" s="43">
        <f>SUM(AG19,AO19,AW19)</f>
        <v>0</v>
      </c>
      <c r="Y19" s="43">
        <f>SUM(AH19,AP19,AX19)</f>
        <v>0</v>
      </c>
      <c r="Z19" s="43">
        <f>SUM(AI19,AQ19,AY19)</f>
        <v>0</v>
      </c>
      <c r="AA19" s="43">
        <f>SUM(AJ19,AR19,AZ19)</f>
        <v>0</v>
      </c>
      <c r="AC19" s="631">
        <f>SUM($D19:$E19)*H19</f>
        <v>0</v>
      </c>
      <c r="AD19" s="631">
        <f>SUM($D19:$E19)*I19</f>
        <v>0</v>
      </c>
      <c r="AE19" s="631">
        <f>SUM($D19:$E19)*J19</f>
        <v>0</v>
      </c>
      <c r="AF19" s="631">
        <f>SUM($D19:$E19)*K19</f>
        <v>0</v>
      </c>
      <c r="AG19" s="631">
        <f>SUM($D19:$E19)*L19</f>
        <v>0</v>
      </c>
      <c r="AH19" s="631">
        <f>SUM($D19:$E19)*M19</f>
        <v>0</v>
      </c>
      <c r="AI19" s="631">
        <f>SUM($D19:$E19)*N19</f>
        <v>0</v>
      </c>
      <c r="AJ19" s="631">
        <f>SUM($D19:$E19)*O19</f>
        <v>0</v>
      </c>
      <c r="AK19" s="56">
        <f>IF($G19="",0,IF(NOT(OR($G19="A - All employees not in groups B, C, J, H, M or Z",$G19="B - Married women and widows entitled to reduced NI",$G19="C - Over the State Pension age",$G19="H - Apprentice under 25",$G19="J – Deferment",$G19="M - Under 21",$G19="Z - Deferment (Under 21)",$G19="Please Enter The NI Cont. in ££££")),$G19,SUM(MAX(MIN(AC19-'Input Data'!$BG$3,'Input Data'!$BG$5-'Input Data'!$BG$3),0)*VLOOKUP($G19,'Input Data'!$BI$3:$BL$10,2,FALSE),MAX(MIN(AC19-'Input Data'!$BG$5,IF(OR($G19="M (under 21)",$G19="Z (under 21 - deferment)"),'Input Data'!$BG$6,IF($G19="H (Apprentice under 25)",'Input Data'!$BG$7,'Input Data'!$BG$8))-'Input Data'!$BG$5),0)*VLOOKUP($G19,'Input Data'!$BI$3:$BL$10,3,FALSE),MAX((AC19-IF(OR($G19="M (under 21)",$G19="Z (under 21 - deferment)"),'Input Data'!$BG$6,IF($G19="H (Apprentice under 25)",'Input Data'!$BG$7,'Input Data'!$BG$8))),0)*VLOOKUP($G19,'Input Data'!$BI$3:$BL$10,4,FALSE))))</f>
        <v>0</v>
      </c>
      <c r="AL19" s="56">
        <f>IF($G19="",0,IF(NOT(OR($G19="A - All employees not in groups B, C, J, H, M or Z",$G19="B - Married women and widows entitled to reduced NI",$G19="C - Over the State Pension age",$G19="H - Apprentice under 25",$G19="J – Deferment",$G19="M - Under 21",$G19="Z - Deferment (Under 21)",$G19="Please Enter The NI Cont. in ££££")),$G19,SUM(MAX(MIN(AD19-'Input Data'!$BG$3,'Input Data'!$BG$5-'Input Data'!$BG$3),0)*VLOOKUP($G19,'Input Data'!$BI$3:$BL$10,2,FALSE),MAX(MIN(AD19-'Input Data'!$BG$5,IF(OR($G19="M (under 21)",$G19="Z (under 21 - deferment)"),'Input Data'!$BG$6,IF($G19="H (Apprentice under 25)",'Input Data'!$BG$7,'Input Data'!$BG$8))-'Input Data'!$BG$5),0)*VLOOKUP($G19,'Input Data'!$BI$3:$BL$10,3,FALSE),MAX((AD19-IF(OR($G19="M (under 21)",$G19="Z (under 21 - deferment)"),'Input Data'!$BG$6,IF($G19="H (Apprentice under 25)",'Input Data'!$BG$7,'Input Data'!$BG$8))),0)*VLOOKUP($G19,'Input Data'!$BI$3:$BL$10,4,FALSE))))</f>
        <v>0</v>
      </c>
      <c r="AM19" s="56">
        <f>IF($G19="",0,IF(NOT(OR($G19="A - All employees not in groups B, C, J, H, M or Z",$G19="B - Married women and widows entitled to reduced NI",$G19="C - Over the State Pension age",$G19="H - Apprentice under 25",$G19="J – Deferment",$G19="M - Under 21",$G19="Z - Deferment (Under 21)",$G19="Please Enter The NI Cont. in ££££")),$G19,SUM(MAX(MIN(AE19-'Input Data'!$BG$3,'Input Data'!$BG$5-'Input Data'!$BG$3),0)*VLOOKUP($G19,'Input Data'!$BI$3:$BL$10,2,FALSE),MAX(MIN(AE19-'Input Data'!$BG$5,IF(OR($G19="M (under 21)",$G19="Z (under 21 - deferment)"),'Input Data'!$BG$6,IF($G19="H (Apprentice under 25)",'Input Data'!$BG$7,'Input Data'!$BG$8))-'Input Data'!$BG$5),0)*VLOOKUP($G19,'Input Data'!$BI$3:$BL$10,3,FALSE),MAX((AE19-IF(OR($G19="M (under 21)",$G19="Z (under 21 - deferment)"),'Input Data'!$BG$6,IF($G19="H (Apprentice under 25)",'Input Data'!$BG$7,'Input Data'!$BG$8))),0)*VLOOKUP($G19,'Input Data'!$BI$3:$BL$10,4,FALSE))))</f>
        <v>0</v>
      </c>
      <c r="AN19" s="56">
        <f>IF($G19="",0,IF(NOT(OR($G19="A - All employees not in groups B, C, J, H, M or Z",$G19="B - Married women and widows entitled to reduced NI",$G19="C - Over the State Pension age",$G19="H - Apprentice under 25",$G19="J – Deferment",$G19="M - Under 21",$G19="Z - Deferment (Under 21)",$G19="Please Enter The NI Cont. in ££££")),$G19,SUM(MAX(MIN(AF19-'Input Data'!$BG$3,'Input Data'!$BG$5-'Input Data'!$BG$3),0)*VLOOKUP($G19,'Input Data'!$BI$3:$BL$10,2,FALSE),MAX(MIN(AF19-'Input Data'!$BG$5,IF(OR($G19="M (under 21)",$G19="Z (under 21 - deferment)"),'Input Data'!$BG$6,IF($G19="H (Apprentice under 25)",'Input Data'!$BG$7,'Input Data'!$BG$8))-'Input Data'!$BG$5),0)*VLOOKUP($G19,'Input Data'!$BI$3:$BL$10,3,FALSE),MAX((AF19-IF(OR($G19="M (under 21)",$G19="Z (under 21 - deferment)"),'Input Data'!$BG$6,IF($G19="H (Apprentice under 25)",'Input Data'!$BG$7,'Input Data'!$BG$8))),0)*VLOOKUP($G19,'Input Data'!$BI$3:$BL$10,4,FALSE))))</f>
        <v>0</v>
      </c>
      <c r="AO19" s="56">
        <f>IF($G19="",0,IF(NOT(OR($G19="A - All employees not in groups B, C, J, H, M or Z",$G19="B - Married women and widows entitled to reduced NI",$G19="C - Over the State Pension age",$G19="H - Apprentice under 25",$G19="J – Deferment",$G19="M - Under 21",$G19="Z - Deferment (Under 21)",$G19="Please Enter The NI Cont. in ££££")),$G19,SUM(MAX(MIN(AG19-'Input Data'!$BG$3,'Input Data'!$BG$5-'Input Data'!$BG$3),0)*VLOOKUP($G19,'Input Data'!$BI$3:$BL$10,2,FALSE),MAX(MIN(AG19-'Input Data'!$BG$5,IF(OR($G19="M (under 21)",$G19="Z (under 21 - deferment)"),'Input Data'!$BG$6,IF($G19="H (Apprentice under 25)",'Input Data'!$BG$7,'Input Data'!$BG$8))-'Input Data'!$BG$5),0)*VLOOKUP($G19,'Input Data'!$BI$3:$BL$10,3,FALSE),MAX((AG19-IF(OR($G19="M (under 21)",$G19="Z (under 21 - deferment)"),'Input Data'!$BG$6,IF($G19="H (Apprentice under 25)",'Input Data'!$BG$7,'Input Data'!$BG$8))),0)*VLOOKUP($G19,'Input Data'!$BI$3:$BL$10,4,FALSE))))</f>
        <v>0</v>
      </c>
      <c r="AP19" s="56">
        <f>IF($G19="",0,IF(NOT(OR($G19="A - All employees not in groups B, C, J, H, M or Z",$G19="B - Married women and widows entitled to reduced NI",$G19="C - Over the State Pension age",$G19="H - Apprentice under 25",$G19="J – Deferment",$G19="M - Under 21",$G19="Z - Deferment (Under 21)",$G19="Please Enter The NI Cont. in ££££")),$G19,SUM(MAX(MIN(AH19-'Input Data'!$BG$3,'Input Data'!$BG$5-'Input Data'!$BG$3),0)*VLOOKUP($G19,'Input Data'!$BI$3:$BL$10,2,FALSE),MAX(MIN(AH19-'Input Data'!$BG$5,IF(OR($G19="M (under 21)",$G19="Z (under 21 - deferment)"),'Input Data'!$BG$6,IF($G19="H (Apprentice under 25)",'Input Data'!$BG$7,'Input Data'!$BG$8))-'Input Data'!$BG$5),0)*VLOOKUP($G19,'Input Data'!$BI$3:$BL$10,3,FALSE),MAX((AH19-IF(OR($G19="M (under 21)",$G19="Z (under 21 - deferment)"),'Input Data'!$BG$6,IF($G19="H (Apprentice under 25)",'Input Data'!$BG$7,'Input Data'!$BG$8))),0)*VLOOKUP($G19,'Input Data'!$BI$3:$BL$10,4,FALSE))))</f>
        <v>0</v>
      </c>
      <c r="AQ19" s="56">
        <f>IF($G19="",0,IF(NOT(OR($G19="A - All employees not in groups B, C, J, H, M or Z",$G19="B - Married women and widows entitled to reduced NI",$G19="C - Over the State Pension age",$G19="H - Apprentice under 25",$G19="J – Deferment",$G19="M - Under 21",$G19="Z - Deferment (Under 21)",$G19="Please Enter The NI Cont. in ££££")),$G19,SUM(MAX(MIN(AI19-'Input Data'!$BG$3,'Input Data'!$BG$5-'Input Data'!$BG$3),0)*VLOOKUP($G19,'Input Data'!$BI$3:$BL$10,2,FALSE),MAX(MIN(AI19-'Input Data'!$BG$5,IF(OR($G19="M (under 21)",$G19="Z (under 21 - deferment)"),'Input Data'!$BG$6,IF($G19="H (Apprentice under 25)",'Input Data'!$BG$7,'Input Data'!$BG$8))-'Input Data'!$BG$5),0)*VLOOKUP($G19,'Input Data'!$BI$3:$BL$10,3,FALSE),MAX((AI19-IF(OR($G19="M (under 21)",$G19="Z (under 21 - deferment)"),'Input Data'!$BG$6,IF($G19="H (Apprentice under 25)",'Input Data'!$BG$7,'Input Data'!$BG$8))),0)*VLOOKUP($G19,'Input Data'!$BI$3:$BL$10,4,FALSE))))</f>
        <v>0</v>
      </c>
      <c r="AR19" s="56">
        <f>IF($G19="",0,IF(NOT(OR($G19="A - All employees not in groups B, C, J, H, M or Z",$G19="B - Married women and widows entitled to reduced NI",$G19="C - Over the State Pension age",$G19="H - Apprentice under 25",$G19="J – Deferment",$G19="M - Under 21",$G19="Z - Deferment (Under 21)",$G19="Please Enter The NI Cont. in ££££")),$G19,SUM(MAX(MIN(AJ19-'Input Data'!$BG$3,'Input Data'!$BG$5-'Input Data'!$BG$3),0)*VLOOKUP($G19,'Input Data'!$BI$3:$BL$10,2,FALSE),MAX(MIN(AJ19-'Input Data'!$BG$5,IF(OR($G19="M (under 21)",$G19="Z (under 21 - deferment)"),'Input Data'!$BG$6,IF($G19="H (Apprentice under 25)",'Input Data'!$BG$7,'Input Data'!$BG$8))-'Input Data'!$BG$5),0)*VLOOKUP($G19,'Input Data'!$BI$3:$BL$10,3,FALSE),MAX((AJ19-IF(OR($G19="M (under 21)",$G19="Z (under 21 - deferment)"),'Input Data'!$BG$6,IF($G19="H (Apprentice under 25)",'Input Data'!$BG$7,'Input Data'!$BG$8))),0)*VLOOKUP($G19,'Input Data'!$BI$3:$BL$10,4,FALSE))))</f>
        <v>0</v>
      </c>
      <c r="AS19" s="56">
        <f>AC19*$F19</f>
        <v>0</v>
      </c>
      <c r="AT19" s="56">
        <f>AD19*$F19</f>
        <v>0</v>
      </c>
      <c r="AU19" s="56">
        <f>AE19*$F19</f>
        <v>0</v>
      </c>
      <c r="AV19" s="56">
        <f>AF19*$F19</f>
        <v>0</v>
      </c>
      <c r="AW19" s="56">
        <f>AG19*$F19</f>
        <v>0</v>
      </c>
      <c r="AX19" s="56">
        <f>AH19*$F19</f>
        <v>0</v>
      </c>
      <c r="AY19" s="56">
        <f>AI19*$F19</f>
        <v>0</v>
      </c>
      <c r="AZ19" s="56">
        <f>AJ19*$F19</f>
        <v>0</v>
      </c>
    </row>
    <row r="20" spans="1:52" ht="25.5">
      <c r="A20" s="26"/>
      <c r="B20" s="41"/>
      <c r="C20" s="57" t="s">
        <v>66</v>
      </c>
      <c r="D20" s="58"/>
      <c r="E20" s="58"/>
      <c r="F20" s="535"/>
      <c r="G20" s="693" t="s">
        <v>1149</v>
      </c>
      <c r="H20" s="65"/>
      <c r="I20" s="65"/>
      <c r="J20" s="65"/>
      <c r="K20" s="65"/>
      <c r="L20" s="65"/>
      <c r="M20" s="65"/>
      <c r="N20" s="65"/>
      <c r="O20" s="65"/>
      <c r="P20" s="29"/>
      <c r="Q20" s="597"/>
      <c r="R20" s="42"/>
      <c r="T20" s="43">
        <f>SUM(AC20,AK20,AS20)</f>
        <v>0</v>
      </c>
      <c r="U20" s="43">
        <f>SUM(AD20,AL20,AT20)</f>
        <v>0</v>
      </c>
      <c r="V20" s="43">
        <f>SUM(AE20,AM20,AU20)</f>
        <v>0</v>
      </c>
      <c r="W20" s="43">
        <f>SUM(AF20,AN20,AV20)</f>
        <v>0</v>
      </c>
      <c r="X20" s="43">
        <f>SUM(AG20,AO20,AW20)</f>
        <v>0</v>
      </c>
      <c r="Y20" s="43">
        <f>SUM(AH20,AP20,AX20)</f>
        <v>0</v>
      </c>
      <c r="Z20" s="43">
        <f>SUM(AI20,AQ20,AY20)</f>
        <v>0</v>
      </c>
      <c r="AA20" s="43">
        <f>SUM(AJ20,AR20,AZ20)</f>
        <v>0</v>
      </c>
      <c r="AC20" s="631">
        <f>SUM($D20:$E20)*H20</f>
        <v>0</v>
      </c>
      <c r="AD20" s="631">
        <f>SUM($D20:$E20)*I20</f>
        <v>0</v>
      </c>
      <c r="AE20" s="631">
        <f>SUM($D20:$E20)*J20</f>
        <v>0</v>
      </c>
      <c r="AF20" s="631">
        <f>SUM($D20:$E20)*K20</f>
        <v>0</v>
      </c>
      <c r="AG20" s="631">
        <f>SUM($D20:$E20)*L20</f>
        <v>0</v>
      </c>
      <c r="AH20" s="631">
        <f>SUM($D20:$E20)*M20</f>
        <v>0</v>
      </c>
      <c r="AI20" s="631">
        <f>SUM($D20:$E20)*N20</f>
        <v>0</v>
      </c>
      <c r="AJ20" s="631">
        <f>SUM($D20:$E20)*O20</f>
        <v>0</v>
      </c>
      <c r="AK20" s="56">
        <f>IF($G20="",0,IF(NOT(OR($G20="A - All employees not in groups B, C, J, H, M or Z",$G20="B - Married women and widows entitled to reduced NI",$G20="C - Over the State Pension age",$G20="H - Apprentice under 25",$G20="J – Deferment",$G20="M - Under 21",$G20="Z - Deferment (Under 21)",$G20="Please Enter The NI Cont. in ££££")),$G20,SUM(MAX(MIN(AC20-'Input Data'!$BG$3,'Input Data'!$BG$5-'Input Data'!$BG$3),0)*VLOOKUP($G20,'Input Data'!$BI$3:$BL$10,2,FALSE),MAX(MIN(AC20-'Input Data'!$BG$5,IF(OR($G20="M (under 21)",$G20="Z (under 21 - deferment)"),'Input Data'!$BG$6,IF($G20="H (Apprentice under 25)",'Input Data'!$BG$7,'Input Data'!$BG$8))-'Input Data'!$BG$5),0)*VLOOKUP($G20,'Input Data'!$BI$3:$BL$10,3,FALSE),MAX((AC20-IF(OR($G20="M (under 21)",$G20="Z (under 21 - deferment)"),'Input Data'!$BG$6,IF($G20="H (Apprentice under 25)",'Input Data'!$BG$7,'Input Data'!$BG$8))),0)*VLOOKUP($G20,'Input Data'!$BI$3:$BL$10,4,FALSE))))</f>
        <v>0</v>
      </c>
      <c r="AL20" s="56">
        <f>IF($G20="",0,IF(NOT(OR($G20="A - All employees not in groups B, C, J, H, M or Z",$G20="B - Married women and widows entitled to reduced NI",$G20="C - Over the State Pension age",$G20="H - Apprentice under 25",$G20="J – Deferment",$G20="M - Under 21",$G20="Z - Deferment (Under 21)",$G20="Please Enter The NI Cont. in ££££")),$G20,SUM(MAX(MIN(AD20-'Input Data'!$BG$3,'Input Data'!$BG$5-'Input Data'!$BG$3),0)*VLOOKUP($G20,'Input Data'!$BI$3:$BL$10,2,FALSE),MAX(MIN(AD20-'Input Data'!$BG$5,IF(OR($G20="M (under 21)",$G20="Z (under 21 - deferment)"),'Input Data'!$BG$6,IF($G20="H (Apprentice under 25)",'Input Data'!$BG$7,'Input Data'!$BG$8))-'Input Data'!$BG$5),0)*VLOOKUP($G20,'Input Data'!$BI$3:$BL$10,3,FALSE),MAX((AD20-IF(OR($G20="M (under 21)",$G20="Z (under 21 - deferment)"),'Input Data'!$BG$6,IF($G20="H (Apprentice under 25)",'Input Data'!$BG$7,'Input Data'!$BG$8))),0)*VLOOKUP($G20,'Input Data'!$BI$3:$BL$10,4,FALSE))))</f>
        <v>0</v>
      </c>
      <c r="AM20" s="56">
        <f>IF($G20="",0,IF(NOT(OR($G20="A - All employees not in groups B, C, J, H, M or Z",$G20="B - Married women and widows entitled to reduced NI",$G20="C - Over the State Pension age",$G20="H - Apprentice under 25",$G20="J – Deferment",$G20="M - Under 21",$G20="Z - Deferment (Under 21)",$G20="Please Enter The NI Cont. in ££££")),$G20,SUM(MAX(MIN(AE20-'Input Data'!$BG$3,'Input Data'!$BG$5-'Input Data'!$BG$3),0)*VLOOKUP($G20,'Input Data'!$BI$3:$BL$10,2,FALSE),MAX(MIN(AE20-'Input Data'!$BG$5,IF(OR($G20="M (under 21)",$G20="Z (under 21 - deferment)"),'Input Data'!$BG$6,IF($G20="H (Apprentice under 25)",'Input Data'!$BG$7,'Input Data'!$BG$8))-'Input Data'!$BG$5),0)*VLOOKUP($G20,'Input Data'!$BI$3:$BL$10,3,FALSE),MAX((AE20-IF(OR($G20="M (under 21)",$G20="Z (under 21 - deferment)"),'Input Data'!$BG$6,IF($G20="H (Apprentice under 25)",'Input Data'!$BG$7,'Input Data'!$BG$8))),0)*VLOOKUP($G20,'Input Data'!$BI$3:$BL$10,4,FALSE))))</f>
        <v>0</v>
      </c>
      <c r="AN20" s="56">
        <f>IF($G20="",0,IF(NOT(OR($G20="A - All employees not in groups B, C, J, H, M or Z",$G20="B - Married women and widows entitled to reduced NI",$G20="C - Over the State Pension age",$G20="H - Apprentice under 25",$G20="J – Deferment",$G20="M - Under 21",$G20="Z - Deferment (Under 21)",$G20="Please Enter The NI Cont. in ££££")),$G20,SUM(MAX(MIN(AF20-'Input Data'!$BG$3,'Input Data'!$BG$5-'Input Data'!$BG$3),0)*VLOOKUP($G20,'Input Data'!$BI$3:$BL$10,2,FALSE),MAX(MIN(AF20-'Input Data'!$BG$5,IF(OR($G20="M (under 21)",$G20="Z (under 21 - deferment)"),'Input Data'!$BG$6,IF($G20="H (Apprentice under 25)",'Input Data'!$BG$7,'Input Data'!$BG$8))-'Input Data'!$BG$5),0)*VLOOKUP($G20,'Input Data'!$BI$3:$BL$10,3,FALSE),MAX((AF20-IF(OR($G20="M (under 21)",$G20="Z (under 21 - deferment)"),'Input Data'!$BG$6,IF($G20="H (Apprentice under 25)",'Input Data'!$BG$7,'Input Data'!$BG$8))),0)*VLOOKUP($G20,'Input Data'!$BI$3:$BL$10,4,FALSE))))</f>
        <v>0</v>
      </c>
      <c r="AO20" s="56">
        <f>IF($G20="",0,IF(NOT(OR($G20="A - All employees not in groups B, C, J, H, M or Z",$G20="B - Married women and widows entitled to reduced NI",$G20="C - Over the State Pension age",$G20="H - Apprentice under 25",$G20="J – Deferment",$G20="M - Under 21",$G20="Z - Deferment (Under 21)",$G20="Please Enter The NI Cont. in ££££")),$G20,SUM(MAX(MIN(AG20-'Input Data'!$BG$3,'Input Data'!$BG$5-'Input Data'!$BG$3),0)*VLOOKUP($G20,'Input Data'!$BI$3:$BL$10,2,FALSE),MAX(MIN(AG20-'Input Data'!$BG$5,IF(OR($G20="M (under 21)",$G20="Z (under 21 - deferment)"),'Input Data'!$BG$6,IF($G20="H (Apprentice under 25)",'Input Data'!$BG$7,'Input Data'!$BG$8))-'Input Data'!$BG$5),0)*VLOOKUP($G20,'Input Data'!$BI$3:$BL$10,3,FALSE),MAX((AG20-IF(OR($G20="M (under 21)",$G20="Z (under 21 - deferment)"),'Input Data'!$BG$6,IF($G20="H (Apprentice under 25)",'Input Data'!$BG$7,'Input Data'!$BG$8))),0)*VLOOKUP($G20,'Input Data'!$BI$3:$BL$10,4,FALSE))))</f>
        <v>0</v>
      </c>
      <c r="AP20" s="56">
        <f>IF($G20="",0,IF(NOT(OR($G20="A - All employees not in groups B, C, J, H, M or Z",$G20="B - Married women and widows entitled to reduced NI",$G20="C - Over the State Pension age",$G20="H - Apprentice under 25",$G20="J – Deferment",$G20="M - Under 21",$G20="Z - Deferment (Under 21)",$G20="Please Enter The NI Cont. in ££££")),$G20,SUM(MAX(MIN(AH20-'Input Data'!$BG$3,'Input Data'!$BG$5-'Input Data'!$BG$3),0)*VLOOKUP($G20,'Input Data'!$BI$3:$BL$10,2,FALSE),MAX(MIN(AH20-'Input Data'!$BG$5,IF(OR($G20="M (under 21)",$G20="Z (under 21 - deferment)"),'Input Data'!$BG$6,IF($G20="H (Apprentice under 25)",'Input Data'!$BG$7,'Input Data'!$BG$8))-'Input Data'!$BG$5),0)*VLOOKUP($G20,'Input Data'!$BI$3:$BL$10,3,FALSE),MAX((AH20-IF(OR($G20="M (under 21)",$G20="Z (under 21 - deferment)"),'Input Data'!$BG$6,IF($G20="H (Apprentice under 25)",'Input Data'!$BG$7,'Input Data'!$BG$8))),0)*VLOOKUP($G20,'Input Data'!$BI$3:$BL$10,4,FALSE))))</f>
        <v>0</v>
      </c>
      <c r="AQ20" s="56">
        <f>IF($G20="",0,IF(NOT(OR($G20="A - All employees not in groups B, C, J, H, M or Z",$G20="B - Married women and widows entitled to reduced NI",$G20="C - Over the State Pension age",$G20="H - Apprentice under 25",$G20="J – Deferment",$G20="M - Under 21",$G20="Z - Deferment (Under 21)",$G20="Please Enter The NI Cont. in ££££")),$G20,SUM(MAX(MIN(AI20-'Input Data'!$BG$3,'Input Data'!$BG$5-'Input Data'!$BG$3),0)*VLOOKUP($G20,'Input Data'!$BI$3:$BL$10,2,FALSE),MAX(MIN(AI20-'Input Data'!$BG$5,IF(OR($G20="M (under 21)",$G20="Z (under 21 - deferment)"),'Input Data'!$BG$6,IF($G20="H (Apprentice under 25)",'Input Data'!$BG$7,'Input Data'!$BG$8))-'Input Data'!$BG$5),0)*VLOOKUP($G20,'Input Data'!$BI$3:$BL$10,3,FALSE),MAX((AI20-IF(OR($G20="M (under 21)",$G20="Z (under 21 - deferment)"),'Input Data'!$BG$6,IF($G20="H (Apprentice under 25)",'Input Data'!$BG$7,'Input Data'!$BG$8))),0)*VLOOKUP($G20,'Input Data'!$BI$3:$BL$10,4,FALSE))))</f>
        <v>0</v>
      </c>
      <c r="AR20" s="56">
        <f>IF($G20="",0,IF(NOT(OR($G20="A - All employees not in groups B, C, J, H, M or Z",$G20="B - Married women and widows entitled to reduced NI",$G20="C - Over the State Pension age",$G20="H - Apprentice under 25",$G20="J – Deferment",$G20="M - Under 21",$G20="Z - Deferment (Under 21)",$G20="Please Enter The NI Cont. in ££££")),$G20,SUM(MAX(MIN(AJ20-'Input Data'!$BG$3,'Input Data'!$BG$5-'Input Data'!$BG$3),0)*VLOOKUP($G20,'Input Data'!$BI$3:$BL$10,2,FALSE),MAX(MIN(AJ20-'Input Data'!$BG$5,IF(OR($G20="M (under 21)",$G20="Z (under 21 - deferment)"),'Input Data'!$BG$6,IF($G20="H (Apprentice under 25)",'Input Data'!$BG$7,'Input Data'!$BG$8))-'Input Data'!$BG$5),0)*VLOOKUP($G20,'Input Data'!$BI$3:$BL$10,3,FALSE),MAX((AJ20-IF(OR($G20="M (under 21)",$G20="Z (under 21 - deferment)"),'Input Data'!$BG$6,IF($G20="H (Apprentice under 25)",'Input Data'!$BG$7,'Input Data'!$BG$8))),0)*VLOOKUP($G20,'Input Data'!$BI$3:$BL$10,4,FALSE))))</f>
        <v>0</v>
      </c>
      <c r="AS20" s="56">
        <f>AC20*$F20</f>
        <v>0</v>
      </c>
      <c r="AT20" s="56">
        <f>AD20*$F20</f>
        <v>0</v>
      </c>
      <c r="AU20" s="56">
        <f>AE20*$F20</f>
        <v>0</v>
      </c>
      <c r="AV20" s="56">
        <f>AF20*$F20</f>
        <v>0</v>
      </c>
      <c r="AW20" s="56">
        <f>AG20*$F20</f>
        <v>0</v>
      </c>
      <c r="AX20" s="56">
        <f>AH20*$F20</f>
        <v>0</v>
      </c>
      <c r="AY20" s="56">
        <f>AI20*$F20</f>
        <v>0</v>
      </c>
      <c r="AZ20" s="56">
        <f>AJ20*$F20</f>
        <v>0</v>
      </c>
    </row>
    <row r="21" spans="1:52" ht="25.5">
      <c r="A21" s="26"/>
      <c r="B21" s="41"/>
      <c r="C21" s="57" t="s">
        <v>67</v>
      </c>
      <c r="D21" s="58"/>
      <c r="E21" s="58"/>
      <c r="F21" s="535"/>
      <c r="G21" s="693" t="s">
        <v>1149</v>
      </c>
      <c r="H21" s="65"/>
      <c r="I21" s="65"/>
      <c r="J21" s="65"/>
      <c r="K21" s="65"/>
      <c r="L21" s="65"/>
      <c r="M21" s="65"/>
      <c r="N21" s="65"/>
      <c r="O21" s="65"/>
      <c r="P21" s="29"/>
      <c r="Q21" s="597"/>
      <c r="R21" s="42"/>
      <c r="T21" s="43">
        <f>SUM(AC21,AK21,AS21)</f>
        <v>0</v>
      </c>
      <c r="U21" s="43">
        <f>SUM(AD21,AL21,AT21)</f>
        <v>0</v>
      </c>
      <c r="V21" s="43">
        <f>SUM(AE21,AM21,AU21)</f>
        <v>0</v>
      </c>
      <c r="W21" s="43">
        <f>SUM(AF21,AN21,AV21)</f>
        <v>0</v>
      </c>
      <c r="X21" s="43">
        <f>SUM(AG21,AO21,AW21)</f>
        <v>0</v>
      </c>
      <c r="Y21" s="43">
        <f>SUM(AH21,AP21,AX21)</f>
        <v>0</v>
      </c>
      <c r="Z21" s="43">
        <f>SUM(AI21,AQ21,AY21)</f>
        <v>0</v>
      </c>
      <c r="AA21" s="43">
        <f>SUM(AJ21,AR21,AZ21)</f>
        <v>0</v>
      </c>
      <c r="AC21" s="631">
        <f>SUM($D21:$E21)*H21</f>
        <v>0</v>
      </c>
      <c r="AD21" s="631">
        <f>SUM($D21:$E21)*I21</f>
        <v>0</v>
      </c>
      <c r="AE21" s="631">
        <f>SUM($D21:$E21)*J21</f>
        <v>0</v>
      </c>
      <c r="AF21" s="631">
        <f>SUM($D21:$E21)*K21</f>
        <v>0</v>
      </c>
      <c r="AG21" s="631">
        <f>SUM($D21:$E21)*L21</f>
        <v>0</v>
      </c>
      <c r="AH21" s="631">
        <f>SUM($D21:$E21)*M21</f>
        <v>0</v>
      </c>
      <c r="AI21" s="631">
        <f>SUM($D21:$E21)*N21</f>
        <v>0</v>
      </c>
      <c r="AJ21" s="631">
        <f>SUM($D21:$E21)*O21</f>
        <v>0</v>
      </c>
      <c r="AK21" s="56">
        <f>IF($G21="",0,IF(NOT(OR($G21="A - All employees not in groups B, C, J, H, M or Z",$G21="B - Married women and widows entitled to reduced NI",$G21="C - Over the State Pension age",$G21="H - Apprentice under 25",$G21="J – Deferment",$G21="M - Under 21",$G21="Z - Deferment (Under 21)",$G21="Please Enter The NI Cont. in ££££")),$G21,SUM(MAX(MIN(AC21-'Input Data'!$BG$3,'Input Data'!$BG$5-'Input Data'!$BG$3),0)*VLOOKUP($G21,'Input Data'!$BI$3:$BL$10,2,FALSE),MAX(MIN(AC21-'Input Data'!$BG$5,IF(OR($G21="M (under 21)",$G21="Z (under 21 - deferment)"),'Input Data'!$BG$6,IF($G21="H (Apprentice under 25)",'Input Data'!$BG$7,'Input Data'!$BG$8))-'Input Data'!$BG$5),0)*VLOOKUP($G21,'Input Data'!$BI$3:$BL$10,3,FALSE),MAX((AC21-IF(OR($G21="M (under 21)",$G21="Z (under 21 - deferment)"),'Input Data'!$BG$6,IF($G21="H (Apprentice under 25)",'Input Data'!$BG$7,'Input Data'!$BG$8))),0)*VLOOKUP($G21,'Input Data'!$BI$3:$BL$10,4,FALSE))))</f>
        <v>0</v>
      </c>
      <c r="AL21" s="56">
        <f>IF($G21="",0,IF(NOT(OR($G21="A - All employees not in groups B, C, J, H, M or Z",$G21="B - Married women and widows entitled to reduced NI",$G21="C - Over the State Pension age",$G21="H - Apprentice under 25",$G21="J – Deferment",$G21="M - Under 21",$G21="Z - Deferment (Under 21)",$G21="Please Enter The NI Cont. in ££££")),$G21,SUM(MAX(MIN(AD21-'Input Data'!$BG$3,'Input Data'!$BG$5-'Input Data'!$BG$3),0)*VLOOKUP($G21,'Input Data'!$BI$3:$BL$10,2,FALSE),MAX(MIN(AD21-'Input Data'!$BG$5,IF(OR($G21="M (under 21)",$G21="Z (under 21 - deferment)"),'Input Data'!$BG$6,IF($G21="H (Apprentice under 25)",'Input Data'!$BG$7,'Input Data'!$BG$8))-'Input Data'!$BG$5),0)*VLOOKUP($G21,'Input Data'!$BI$3:$BL$10,3,FALSE),MAX((AD21-IF(OR($G21="M (under 21)",$G21="Z (under 21 - deferment)"),'Input Data'!$BG$6,IF($G21="H (Apprentice under 25)",'Input Data'!$BG$7,'Input Data'!$BG$8))),0)*VLOOKUP($G21,'Input Data'!$BI$3:$BL$10,4,FALSE))))</f>
        <v>0</v>
      </c>
      <c r="AM21" s="56">
        <f>IF($G21="",0,IF(NOT(OR($G21="A - All employees not in groups B, C, J, H, M or Z",$G21="B - Married women and widows entitled to reduced NI",$G21="C - Over the State Pension age",$G21="H - Apprentice under 25",$G21="J – Deferment",$G21="M - Under 21",$G21="Z - Deferment (Under 21)",$G21="Please Enter The NI Cont. in ££££")),$G21,SUM(MAX(MIN(AE21-'Input Data'!$BG$3,'Input Data'!$BG$5-'Input Data'!$BG$3),0)*VLOOKUP($G21,'Input Data'!$BI$3:$BL$10,2,FALSE),MAX(MIN(AE21-'Input Data'!$BG$5,IF(OR($G21="M (under 21)",$G21="Z (under 21 - deferment)"),'Input Data'!$BG$6,IF($G21="H (Apprentice under 25)",'Input Data'!$BG$7,'Input Data'!$BG$8))-'Input Data'!$BG$5),0)*VLOOKUP($G21,'Input Data'!$BI$3:$BL$10,3,FALSE),MAX((AE21-IF(OR($G21="M (under 21)",$G21="Z (under 21 - deferment)"),'Input Data'!$BG$6,IF($G21="H (Apprentice under 25)",'Input Data'!$BG$7,'Input Data'!$BG$8))),0)*VLOOKUP($G21,'Input Data'!$BI$3:$BL$10,4,FALSE))))</f>
        <v>0</v>
      </c>
      <c r="AN21" s="56">
        <f>IF($G21="",0,IF(NOT(OR($G21="A - All employees not in groups B, C, J, H, M or Z",$G21="B - Married women and widows entitled to reduced NI",$G21="C - Over the State Pension age",$G21="H - Apprentice under 25",$G21="J – Deferment",$G21="M - Under 21",$G21="Z - Deferment (Under 21)",$G21="Please Enter The NI Cont. in ££££")),$G21,SUM(MAX(MIN(AF21-'Input Data'!$BG$3,'Input Data'!$BG$5-'Input Data'!$BG$3),0)*VLOOKUP($G21,'Input Data'!$BI$3:$BL$10,2,FALSE),MAX(MIN(AF21-'Input Data'!$BG$5,IF(OR($G21="M (under 21)",$G21="Z (under 21 - deferment)"),'Input Data'!$BG$6,IF($G21="H (Apprentice under 25)",'Input Data'!$BG$7,'Input Data'!$BG$8))-'Input Data'!$BG$5),0)*VLOOKUP($G21,'Input Data'!$BI$3:$BL$10,3,FALSE),MAX((AF21-IF(OR($G21="M (under 21)",$G21="Z (under 21 - deferment)"),'Input Data'!$BG$6,IF($G21="H (Apprentice under 25)",'Input Data'!$BG$7,'Input Data'!$BG$8))),0)*VLOOKUP($G21,'Input Data'!$BI$3:$BL$10,4,FALSE))))</f>
        <v>0</v>
      </c>
      <c r="AO21" s="56">
        <f>IF($G21="",0,IF(NOT(OR($G21="A - All employees not in groups B, C, J, H, M or Z",$G21="B - Married women and widows entitled to reduced NI",$G21="C - Over the State Pension age",$G21="H - Apprentice under 25",$G21="J – Deferment",$G21="M - Under 21",$G21="Z - Deferment (Under 21)",$G21="Please Enter The NI Cont. in ££££")),$G21,SUM(MAX(MIN(AG21-'Input Data'!$BG$3,'Input Data'!$BG$5-'Input Data'!$BG$3),0)*VLOOKUP($G21,'Input Data'!$BI$3:$BL$10,2,FALSE),MAX(MIN(AG21-'Input Data'!$BG$5,IF(OR($G21="M (under 21)",$G21="Z (under 21 - deferment)"),'Input Data'!$BG$6,IF($G21="H (Apprentice under 25)",'Input Data'!$BG$7,'Input Data'!$BG$8))-'Input Data'!$BG$5),0)*VLOOKUP($G21,'Input Data'!$BI$3:$BL$10,3,FALSE),MAX((AG21-IF(OR($G21="M (under 21)",$G21="Z (under 21 - deferment)"),'Input Data'!$BG$6,IF($G21="H (Apprentice under 25)",'Input Data'!$BG$7,'Input Data'!$BG$8))),0)*VLOOKUP($G21,'Input Data'!$BI$3:$BL$10,4,FALSE))))</f>
        <v>0</v>
      </c>
      <c r="AP21" s="56">
        <f>IF($G21="",0,IF(NOT(OR($G21="A - All employees not in groups B, C, J, H, M or Z",$G21="B - Married women and widows entitled to reduced NI",$G21="C - Over the State Pension age",$G21="H - Apprentice under 25",$G21="J – Deferment",$G21="M - Under 21",$G21="Z - Deferment (Under 21)",$G21="Please Enter The NI Cont. in ££££")),$G21,SUM(MAX(MIN(AH21-'Input Data'!$BG$3,'Input Data'!$BG$5-'Input Data'!$BG$3),0)*VLOOKUP($G21,'Input Data'!$BI$3:$BL$10,2,FALSE),MAX(MIN(AH21-'Input Data'!$BG$5,IF(OR($G21="M (under 21)",$G21="Z (under 21 - deferment)"),'Input Data'!$BG$6,IF($G21="H (Apprentice under 25)",'Input Data'!$BG$7,'Input Data'!$BG$8))-'Input Data'!$BG$5),0)*VLOOKUP($G21,'Input Data'!$BI$3:$BL$10,3,FALSE),MAX((AH21-IF(OR($G21="M (under 21)",$G21="Z (under 21 - deferment)"),'Input Data'!$BG$6,IF($G21="H (Apprentice under 25)",'Input Data'!$BG$7,'Input Data'!$BG$8))),0)*VLOOKUP($G21,'Input Data'!$BI$3:$BL$10,4,FALSE))))</f>
        <v>0</v>
      </c>
      <c r="AQ21" s="56">
        <f>IF($G21="",0,IF(NOT(OR($G21="A - All employees not in groups B, C, J, H, M or Z",$G21="B - Married women and widows entitled to reduced NI",$G21="C - Over the State Pension age",$G21="H - Apprentice under 25",$G21="J – Deferment",$G21="M - Under 21",$G21="Z - Deferment (Under 21)",$G21="Please Enter The NI Cont. in ££££")),$G21,SUM(MAX(MIN(AI21-'Input Data'!$BG$3,'Input Data'!$BG$5-'Input Data'!$BG$3),0)*VLOOKUP($G21,'Input Data'!$BI$3:$BL$10,2,FALSE),MAX(MIN(AI21-'Input Data'!$BG$5,IF(OR($G21="M (under 21)",$G21="Z (under 21 - deferment)"),'Input Data'!$BG$6,IF($G21="H (Apprentice under 25)",'Input Data'!$BG$7,'Input Data'!$BG$8))-'Input Data'!$BG$5),0)*VLOOKUP($G21,'Input Data'!$BI$3:$BL$10,3,FALSE),MAX((AI21-IF(OR($G21="M (under 21)",$G21="Z (under 21 - deferment)"),'Input Data'!$BG$6,IF($G21="H (Apprentice under 25)",'Input Data'!$BG$7,'Input Data'!$BG$8))),0)*VLOOKUP($G21,'Input Data'!$BI$3:$BL$10,4,FALSE))))</f>
        <v>0</v>
      </c>
      <c r="AR21" s="56">
        <f>IF($G21="",0,IF(NOT(OR($G21="A - All employees not in groups B, C, J, H, M or Z",$G21="B - Married women and widows entitled to reduced NI",$G21="C - Over the State Pension age",$G21="H - Apprentice under 25",$G21="J – Deferment",$G21="M - Under 21",$G21="Z - Deferment (Under 21)",$G21="Please Enter The NI Cont. in ££££")),$G21,SUM(MAX(MIN(AJ21-'Input Data'!$BG$3,'Input Data'!$BG$5-'Input Data'!$BG$3),0)*VLOOKUP($G21,'Input Data'!$BI$3:$BL$10,2,FALSE),MAX(MIN(AJ21-'Input Data'!$BG$5,IF(OR($G21="M (under 21)",$G21="Z (under 21 - deferment)"),'Input Data'!$BG$6,IF($G21="H (Apprentice under 25)",'Input Data'!$BG$7,'Input Data'!$BG$8))-'Input Data'!$BG$5),0)*VLOOKUP($G21,'Input Data'!$BI$3:$BL$10,3,FALSE),MAX((AJ21-IF(OR($G21="M (under 21)",$G21="Z (under 21 - deferment)"),'Input Data'!$BG$6,IF($G21="H (Apprentice under 25)",'Input Data'!$BG$7,'Input Data'!$BG$8))),0)*VLOOKUP($G21,'Input Data'!$BI$3:$BL$10,4,FALSE))))</f>
        <v>0</v>
      </c>
      <c r="AS21" s="56">
        <f>AC21*$F21</f>
        <v>0</v>
      </c>
      <c r="AT21" s="56">
        <f>AD21*$F21</f>
        <v>0</v>
      </c>
      <c r="AU21" s="56">
        <f>AE21*$F21</f>
        <v>0</v>
      </c>
      <c r="AV21" s="56">
        <f>AF21*$F21</f>
        <v>0</v>
      </c>
      <c r="AW21" s="56">
        <f>AG21*$F21</f>
        <v>0</v>
      </c>
      <c r="AX21" s="56">
        <f>AH21*$F21</f>
        <v>0</v>
      </c>
      <c r="AY21" s="56">
        <f>AI21*$F21</f>
        <v>0</v>
      </c>
      <c r="AZ21" s="56">
        <f>AJ21*$F21</f>
        <v>0</v>
      </c>
    </row>
    <row r="22" spans="1:52" ht="25.5">
      <c r="A22" s="26"/>
      <c r="B22" s="41"/>
      <c r="C22" s="57" t="s">
        <v>68</v>
      </c>
      <c r="D22" s="58"/>
      <c r="E22" s="58"/>
      <c r="F22" s="535"/>
      <c r="G22" s="693" t="s">
        <v>1149</v>
      </c>
      <c r="H22" s="65"/>
      <c r="I22" s="65"/>
      <c r="J22" s="65"/>
      <c r="K22" s="65"/>
      <c r="L22" s="65"/>
      <c r="M22" s="65"/>
      <c r="N22" s="65"/>
      <c r="O22" s="65"/>
      <c r="P22" s="29"/>
      <c r="Q22" s="597"/>
      <c r="R22" s="42"/>
      <c r="T22" s="43">
        <f>SUM(AC22,AK22,AS22)</f>
        <v>0</v>
      </c>
      <c r="U22" s="43">
        <f>SUM(AD22,AL22,AT22)</f>
        <v>0</v>
      </c>
      <c r="V22" s="43">
        <f>SUM(AE22,AM22,AU22)</f>
        <v>0</v>
      </c>
      <c r="W22" s="43">
        <f>SUM(AF22,AN22,AV22)</f>
        <v>0</v>
      </c>
      <c r="X22" s="43">
        <f>SUM(AG22,AO22,AW22)</f>
        <v>0</v>
      </c>
      <c r="Y22" s="43">
        <f>SUM(AH22,AP22,AX22)</f>
        <v>0</v>
      </c>
      <c r="Z22" s="43">
        <f>SUM(AI22,AQ22,AY22)</f>
        <v>0</v>
      </c>
      <c r="AA22" s="43">
        <f>SUM(AJ22,AR22,AZ22)</f>
        <v>0</v>
      </c>
      <c r="AC22" s="631">
        <f>SUM($D22:$E22)*H22</f>
        <v>0</v>
      </c>
      <c r="AD22" s="631">
        <f>SUM($D22:$E22)*I22</f>
        <v>0</v>
      </c>
      <c r="AE22" s="631">
        <f>SUM($D22:$E22)*J22</f>
        <v>0</v>
      </c>
      <c r="AF22" s="631">
        <f>SUM($D22:$E22)*K22</f>
        <v>0</v>
      </c>
      <c r="AG22" s="631">
        <f>SUM($D22:$E22)*L22</f>
        <v>0</v>
      </c>
      <c r="AH22" s="631">
        <f>SUM($D22:$E22)*M22</f>
        <v>0</v>
      </c>
      <c r="AI22" s="631">
        <f>SUM($D22:$E22)*N22</f>
        <v>0</v>
      </c>
      <c r="AJ22" s="631">
        <f>SUM($D22:$E22)*O22</f>
        <v>0</v>
      </c>
      <c r="AK22" s="56">
        <f>IF($G22="",0,IF(NOT(OR($G22="A - All employees not in groups B, C, J, H, M or Z",$G22="B - Married women and widows entitled to reduced NI",$G22="C - Over the State Pension age",$G22="H - Apprentice under 25",$G22="J – Deferment",$G22="M - Under 21",$G22="Z - Deferment (Under 21)",$G22="Please Enter The NI Cont. in ££££")),$G22,SUM(MAX(MIN(AC22-'Input Data'!$BG$3,'Input Data'!$BG$5-'Input Data'!$BG$3),0)*VLOOKUP($G22,'Input Data'!$BI$3:$BL$10,2,FALSE),MAX(MIN(AC22-'Input Data'!$BG$5,IF(OR($G22="M (under 21)",$G22="Z (under 21 - deferment)"),'Input Data'!$BG$6,IF($G22="H (Apprentice under 25)",'Input Data'!$BG$7,'Input Data'!$BG$8))-'Input Data'!$BG$5),0)*VLOOKUP($G22,'Input Data'!$BI$3:$BL$10,3,FALSE),MAX((AC22-IF(OR($G22="M (under 21)",$G22="Z (under 21 - deferment)"),'Input Data'!$BG$6,IF($G22="H (Apprentice under 25)",'Input Data'!$BG$7,'Input Data'!$BG$8))),0)*VLOOKUP($G22,'Input Data'!$BI$3:$BL$10,4,FALSE))))</f>
        <v>0</v>
      </c>
      <c r="AL22" s="56">
        <f>IF($G22="",0,IF(NOT(OR($G22="A - All employees not in groups B, C, J, H, M or Z",$G22="B - Married women and widows entitled to reduced NI",$G22="C - Over the State Pension age",$G22="H - Apprentice under 25",$G22="J – Deferment",$G22="M - Under 21",$G22="Z - Deferment (Under 21)",$G22="Please Enter The NI Cont. in ££££")),$G22,SUM(MAX(MIN(AD22-'Input Data'!$BG$3,'Input Data'!$BG$5-'Input Data'!$BG$3),0)*VLOOKUP($G22,'Input Data'!$BI$3:$BL$10,2,FALSE),MAX(MIN(AD22-'Input Data'!$BG$5,IF(OR($G22="M (under 21)",$G22="Z (under 21 - deferment)"),'Input Data'!$BG$6,IF($G22="H (Apprentice under 25)",'Input Data'!$BG$7,'Input Data'!$BG$8))-'Input Data'!$BG$5),0)*VLOOKUP($G22,'Input Data'!$BI$3:$BL$10,3,FALSE),MAX((AD22-IF(OR($G22="M (under 21)",$G22="Z (under 21 - deferment)"),'Input Data'!$BG$6,IF($G22="H (Apprentice under 25)",'Input Data'!$BG$7,'Input Data'!$BG$8))),0)*VLOOKUP($G22,'Input Data'!$BI$3:$BL$10,4,FALSE))))</f>
        <v>0</v>
      </c>
      <c r="AM22" s="56">
        <f>IF($G22="",0,IF(NOT(OR($G22="A - All employees not in groups B, C, J, H, M or Z",$G22="B - Married women and widows entitled to reduced NI",$G22="C - Over the State Pension age",$G22="H - Apprentice under 25",$G22="J – Deferment",$G22="M - Under 21",$G22="Z - Deferment (Under 21)",$G22="Please Enter The NI Cont. in ££££")),$G22,SUM(MAX(MIN(AE22-'Input Data'!$BG$3,'Input Data'!$BG$5-'Input Data'!$BG$3),0)*VLOOKUP($G22,'Input Data'!$BI$3:$BL$10,2,FALSE),MAX(MIN(AE22-'Input Data'!$BG$5,IF(OR($G22="M (under 21)",$G22="Z (under 21 - deferment)"),'Input Data'!$BG$6,IF($G22="H (Apprentice under 25)",'Input Data'!$BG$7,'Input Data'!$BG$8))-'Input Data'!$BG$5),0)*VLOOKUP($G22,'Input Data'!$BI$3:$BL$10,3,FALSE),MAX((AE22-IF(OR($G22="M (under 21)",$G22="Z (under 21 - deferment)"),'Input Data'!$BG$6,IF($G22="H (Apprentice under 25)",'Input Data'!$BG$7,'Input Data'!$BG$8))),0)*VLOOKUP($G22,'Input Data'!$BI$3:$BL$10,4,FALSE))))</f>
        <v>0</v>
      </c>
      <c r="AN22" s="56">
        <f>IF($G22="",0,IF(NOT(OR($G22="A - All employees not in groups B, C, J, H, M or Z",$G22="B - Married women and widows entitled to reduced NI",$G22="C - Over the State Pension age",$G22="H - Apprentice under 25",$G22="J – Deferment",$G22="M - Under 21",$G22="Z - Deferment (Under 21)",$G22="Please Enter The NI Cont. in ££££")),$G22,SUM(MAX(MIN(AF22-'Input Data'!$BG$3,'Input Data'!$BG$5-'Input Data'!$BG$3),0)*VLOOKUP($G22,'Input Data'!$BI$3:$BL$10,2,FALSE),MAX(MIN(AF22-'Input Data'!$BG$5,IF(OR($G22="M (under 21)",$G22="Z (under 21 - deferment)"),'Input Data'!$BG$6,IF($G22="H (Apprentice under 25)",'Input Data'!$BG$7,'Input Data'!$BG$8))-'Input Data'!$BG$5),0)*VLOOKUP($G22,'Input Data'!$BI$3:$BL$10,3,FALSE),MAX((AF22-IF(OR($G22="M (under 21)",$G22="Z (under 21 - deferment)"),'Input Data'!$BG$6,IF($G22="H (Apprentice under 25)",'Input Data'!$BG$7,'Input Data'!$BG$8))),0)*VLOOKUP($G22,'Input Data'!$BI$3:$BL$10,4,FALSE))))</f>
        <v>0</v>
      </c>
      <c r="AO22" s="56">
        <f>IF($G22="",0,IF(NOT(OR($G22="A - All employees not in groups B, C, J, H, M or Z",$G22="B - Married women and widows entitled to reduced NI",$G22="C - Over the State Pension age",$G22="H - Apprentice under 25",$G22="J – Deferment",$G22="M - Under 21",$G22="Z - Deferment (Under 21)",$G22="Please Enter The NI Cont. in ££££")),$G22,SUM(MAX(MIN(AG22-'Input Data'!$BG$3,'Input Data'!$BG$5-'Input Data'!$BG$3),0)*VLOOKUP($G22,'Input Data'!$BI$3:$BL$10,2,FALSE),MAX(MIN(AG22-'Input Data'!$BG$5,IF(OR($G22="M (under 21)",$G22="Z (under 21 - deferment)"),'Input Data'!$BG$6,IF($G22="H (Apprentice under 25)",'Input Data'!$BG$7,'Input Data'!$BG$8))-'Input Data'!$BG$5),0)*VLOOKUP($G22,'Input Data'!$BI$3:$BL$10,3,FALSE),MAX((AG22-IF(OR($G22="M (under 21)",$G22="Z (under 21 - deferment)"),'Input Data'!$BG$6,IF($G22="H (Apprentice under 25)",'Input Data'!$BG$7,'Input Data'!$BG$8))),0)*VLOOKUP($G22,'Input Data'!$BI$3:$BL$10,4,FALSE))))</f>
        <v>0</v>
      </c>
      <c r="AP22" s="56">
        <f>IF($G22="",0,IF(NOT(OR($G22="A - All employees not in groups B, C, J, H, M or Z",$G22="B - Married women and widows entitled to reduced NI",$G22="C - Over the State Pension age",$G22="H - Apprentice under 25",$G22="J – Deferment",$G22="M - Under 21",$G22="Z - Deferment (Under 21)",$G22="Please Enter The NI Cont. in ££££")),$G22,SUM(MAX(MIN(AH22-'Input Data'!$BG$3,'Input Data'!$BG$5-'Input Data'!$BG$3),0)*VLOOKUP($G22,'Input Data'!$BI$3:$BL$10,2,FALSE),MAX(MIN(AH22-'Input Data'!$BG$5,IF(OR($G22="M (under 21)",$G22="Z (under 21 - deferment)"),'Input Data'!$BG$6,IF($G22="H (Apprentice under 25)",'Input Data'!$BG$7,'Input Data'!$BG$8))-'Input Data'!$BG$5),0)*VLOOKUP($G22,'Input Data'!$BI$3:$BL$10,3,FALSE),MAX((AH22-IF(OR($G22="M (under 21)",$G22="Z (under 21 - deferment)"),'Input Data'!$BG$6,IF($G22="H (Apprentice under 25)",'Input Data'!$BG$7,'Input Data'!$BG$8))),0)*VLOOKUP($G22,'Input Data'!$BI$3:$BL$10,4,FALSE))))</f>
        <v>0</v>
      </c>
      <c r="AQ22" s="56">
        <f>IF($G22="",0,IF(NOT(OR($G22="A - All employees not in groups B, C, J, H, M or Z",$G22="B - Married women and widows entitled to reduced NI",$G22="C - Over the State Pension age",$G22="H - Apprentice under 25",$G22="J – Deferment",$G22="M - Under 21",$G22="Z - Deferment (Under 21)",$G22="Please Enter The NI Cont. in ££££")),$G22,SUM(MAX(MIN(AI22-'Input Data'!$BG$3,'Input Data'!$BG$5-'Input Data'!$BG$3),0)*VLOOKUP($G22,'Input Data'!$BI$3:$BL$10,2,FALSE),MAX(MIN(AI22-'Input Data'!$BG$5,IF(OR($G22="M (under 21)",$G22="Z (under 21 - deferment)"),'Input Data'!$BG$6,IF($G22="H (Apprentice under 25)",'Input Data'!$BG$7,'Input Data'!$BG$8))-'Input Data'!$BG$5),0)*VLOOKUP($G22,'Input Data'!$BI$3:$BL$10,3,FALSE),MAX((AI22-IF(OR($G22="M (under 21)",$G22="Z (under 21 - deferment)"),'Input Data'!$BG$6,IF($G22="H (Apprentice under 25)",'Input Data'!$BG$7,'Input Data'!$BG$8))),0)*VLOOKUP($G22,'Input Data'!$BI$3:$BL$10,4,FALSE))))</f>
        <v>0</v>
      </c>
      <c r="AR22" s="56">
        <f>IF($G22="",0,IF(NOT(OR($G22="A - All employees not in groups B, C, J, H, M or Z",$G22="B - Married women and widows entitled to reduced NI",$G22="C - Over the State Pension age",$G22="H - Apprentice under 25",$G22="J – Deferment",$G22="M - Under 21",$G22="Z - Deferment (Under 21)",$G22="Please Enter The NI Cont. in ££££")),$G22,SUM(MAX(MIN(AJ22-'Input Data'!$BG$3,'Input Data'!$BG$5-'Input Data'!$BG$3),0)*VLOOKUP($G22,'Input Data'!$BI$3:$BL$10,2,FALSE),MAX(MIN(AJ22-'Input Data'!$BG$5,IF(OR($G22="M (under 21)",$G22="Z (under 21 - deferment)"),'Input Data'!$BG$6,IF($G22="H (Apprentice under 25)",'Input Data'!$BG$7,'Input Data'!$BG$8))-'Input Data'!$BG$5),0)*VLOOKUP($G22,'Input Data'!$BI$3:$BL$10,3,FALSE),MAX((AJ22-IF(OR($G22="M (under 21)",$G22="Z (under 21 - deferment)"),'Input Data'!$BG$6,IF($G22="H (Apprentice under 25)",'Input Data'!$BG$7,'Input Data'!$BG$8))),0)*VLOOKUP($G22,'Input Data'!$BI$3:$BL$10,4,FALSE))))</f>
        <v>0</v>
      </c>
      <c r="AS22" s="56">
        <f>AC22*$F22</f>
        <v>0</v>
      </c>
      <c r="AT22" s="56">
        <f>AD22*$F22</f>
        <v>0</v>
      </c>
      <c r="AU22" s="56">
        <f>AE22*$F22</f>
        <v>0</v>
      </c>
      <c r="AV22" s="56">
        <f>AF22*$F22</f>
        <v>0</v>
      </c>
      <c r="AW22" s="56">
        <f>AG22*$F22</f>
        <v>0</v>
      </c>
      <c r="AX22" s="56">
        <f>AH22*$F22</f>
        <v>0</v>
      </c>
      <c r="AY22" s="56">
        <f>AI22*$F22</f>
        <v>0</v>
      </c>
      <c r="AZ22" s="56">
        <f>AJ22*$F22</f>
        <v>0</v>
      </c>
    </row>
    <row r="23" spans="1:52" ht="25.5">
      <c r="A23" s="26"/>
      <c r="B23" s="41"/>
      <c r="C23" s="57" t="s">
        <v>69</v>
      </c>
      <c r="D23" s="58"/>
      <c r="E23" s="58"/>
      <c r="F23" s="535"/>
      <c r="G23" s="693" t="s">
        <v>1149</v>
      </c>
      <c r="H23" s="65"/>
      <c r="I23" s="65"/>
      <c r="J23" s="65"/>
      <c r="K23" s="65"/>
      <c r="L23" s="65"/>
      <c r="M23" s="65"/>
      <c r="N23" s="65"/>
      <c r="O23" s="65"/>
      <c r="P23" s="29"/>
      <c r="Q23" s="597"/>
      <c r="R23" s="42"/>
      <c r="T23" s="43">
        <f>SUM(AC23,AK23,AS23)</f>
        <v>0</v>
      </c>
      <c r="U23" s="43">
        <f>SUM(AD23,AL23,AT23)</f>
        <v>0</v>
      </c>
      <c r="V23" s="43">
        <f>SUM(AE23,AM23,AU23)</f>
        <v>0</v>
      </c>
      <c r="W23" s="43">
        <f>SUM(AF23,AN23,AV23)</f>
        <v>0</v>
      </c>
      <c r="X23" s="43">
        <f>SUM(AG23,AO23,AW23)</f>
        <v>0</v>
      </c>
      <c r="Y23" s="43">
        <f>SUM(AH23,AP23,AX23)</f>
        <v>0</v>
      </c>
      <c r="Z23" s="43">
        <f>SUM(AI23,AQ23,AY23)</f>
        <v>0</v>
      </c>
      <c r="AA23" s="43">
        <f>SUM(AJ23,AR23,AZ23)</f>
        <v>0</v>
      </c>
      <c r="AC23" s="631">
        <f>SUM($D23:$E23)*H23</f>
        <v>0</v>
      </c>
      <c r="AD23" s="631">
        <f>SUM($D23:$E23)*I23</f>
        <v>0</v>
      </c>
      <c r="AE23" s="631">
        <f>SUM($D23:$E23)*J23</f>
        <v>0</v>
      </c>
      <c r="AF23" s="631">
        <f>SUM($D23:$E23)*K23</f>
        <v>0</v>
      </c>
      <c r="AG23" s="631">
        <f>SUM($D23:$E23)*L23</f>
        <v>0</v>
      </c>
      <c r="AH23" s="631">
        <f>SUM($D23:$E23)*M23</f>
        <v>0</v>
      </c>
      <c r="AI23" s="631">
        <f>SUM($D23:$E23)*N23</f>
        <v>0</v>
      </c>
      <c r="AJ23" s="631">
        <f>SUM($D23:$E23)*O23</f>
        <v>0</v>
      </c>
      <c r="AK23" s="56">
        <f>IF($G23="",0,IF(NOT(OR($G23="A - All employees not in groups B, C, J, H, M or Z",$G23="B - Married women and widows entitled to reduced NI",$G23="C - Over the State Pension age",$G23="H - Apprentice under 25",$G23="J – Deferment",$G23="M - Under 21",$G23="Z - Deferment (Under 21)",$G23="Please Enter The NI Cont. in ££££")),$G23,SUM(MAX(MIN(AC23-'Input Data'!$BG$3,'Input Data'!$BG$5-'Input Data'!$BG$3),0)*VLOOKUP($G23,'Input Data'!$BI$3:$BL$10,2,FALSE),MAX(MIN(AC23-'Input Data'!$BG$5,IF(OR($G23="M (under 21)",$G23="Z (under 21 - deferment)"),'Input Data'!$BG$6,IF($G23="H (Apprentice under 25)",'Input Data'!$BG$7,'Input Data'!$BG$8))-'Input Data'!$BG$5),0)*VLOOKUP($G23,'Input Data'!$BI$3:$BL$10,3,FALSE),MAX((AC23-IF(OR($G23="M (under 21)",$G23="Z (under 21 - deferment)"),'Input Data'!$BG$6,IF($G23="H (Apprentice under 25)",'Input Data'!$BG$7,'Input Data'!$BG$8))),0)*VLOOKUP($G23,'Input Data'!$BI$3:$BL$10,4,FALSE))))</f>
        <v>0</v>
      </c>
      <c r="AL23" s="56">
        <f>IF($G23="",0,IF(NOT(OR($G23="A - All employees not in groups B, C, J, H, M or Z",$G23="B - Married women and widows entitled to reduced NI",$G23="C - Over the State Pension age",$G23="H - Apprentice under 25",$G23="J – Deferment",$G23="M - Under 21",$G23="Z - Deferment (Under 21)",$G23="Please Enter The NI Cont. in ££££")),$G23,SUM(MAX(MIN(AD23-'Input Data'!$BG$3,'Input Data'!$BG$5-'Input Data'!$BG$3),0)*VLOOKUP($G23,'Input Data'!$BI$3:$BL$10,2,FALSE),MAX(MIN(AD23-'Input Data'!$BG$5,IF(OR($G23="M (under 21)",$G23="Z (under 21 - deferment)"),'Input Data'!$BG$6,IF($G23="H (Apprentice under 25)",'Input Data'!$BG$7,'Input Data'!$BG$8))-'Input Data'!$BG$5),0)*VLOOKUP($G23,'Input Data'!$BI$3:$BL$10,3,FALSE),MAX((AD23-IF(OR($G23="M (under 21)",$G23="Z (under 21 - deferment)"),'Input Data'!$BG$6,IF($G23="H (Apprentice under 25)",'Input Data'!$BG$7,'Input Data'!$BG$8))),0)*VLOOKUP($G23,'Input Data'!$BI$3:$BL$10,4,FALSE))))</f>
        <v>0</v>
      </c>
      <c r="AM23" s="56">
        <f>IF($G23="",0,IF(NOT(OR($G23="A - All employees not in groups B, C, J, H, M or Z",$G23="B - Married women and widows entitled to reduced NI",$G23="C - Over the State Pension age",$G23="H - Apprentice under 25",$G23="J – Deferment",$G23="M - Under 21",$G23="Z - Deferment (Under 21)",$G23="Please Enter The NI Cont. in ££££")),$G23,SUM(MAX(MIN(AE23-'Input Data'!$BG$3,'Input Data'!$BG$5-'Input Data'!$BG$3),0)*VLOOKUP($G23,'Input Data'!$BI$3:$BL$10,2,FALSE),MAX(MIN(AE23-'Input Data'!$BG$5,IF(OR($G23="M (under 21)",$G23="Z (under 21 - deferment)"),'Input Data'!$BG$6,IF($G23="H (Apprentice under 25)",'Input Data'!$BG$7,'Input Data'!$BG$8))-'Input Data'!$BG$5),0)*VLOOKUP($G23,'Input Data'!$BI$3:$BL$10,3,FALSE),MAX((AE23-IF(OR($G23="M (under 21)",$G23="Z (under 21 - deferment)"),'Input Data'!$BG$6,IF($G23="H (Apprentice under 25)",'Input Data'!$BG$7,'Input Data'!$BG$8))),0)*VLOOKUP($G23,'Input Data'!$BI$3:$BL$10,4,FALSE))))</f>
        <v>0</v>
      </c>
      <c r="AN23" s="56">
        <f>IF($G23="",0,IF(NOT(OR($G23="A - All employees not in groups B, C, J, H, M or Z",$G23="B - Married women and widows entitled to reduced NI",$G23="C - Over the State Pension age",$G23="H - Apprentice under 25",$G23="J – Deferment",$G23="M - Under 21",$G23="Z - Deferment (Under 21)",$G23="Please Enter The NI Cont. in ££££")),$G23,SUM(MAX(MIN(AF23-'Input Data'!$BG$3,'Input Data'!$BG$5-'Input Data'!$BG$3),0)*VLOOKUP($G23,'Input Data'!$BI$3:$BL$10,2,FALSE),MAX(MIN(AF23-'Input Data'!$BG$5,IF(OR($G23="M (under 21)",$G23="Z (under 21 - deferment)"),'Input Data'!$BG$6,IF($G23="H (Apprentice under 25)",'Input Data'!$BG$7,'Input Data'!$BG$8))-'Input Data'!$BG$5),0)*VLOOKUP($G23,'Input Data'!$BI$3:$BL$10,3,FALSE),MAX((AF23-IF(OR($G23="M (under 21)",$G23="Z (under 21 - deferment)"),'Input Data'!$BG$6,IF($G23="H (Apprentice under 25)",'Input Data'!$BG$7,'Input Data'!$BG$8))),0)*VLOOKUP($G23,'Input Data'!$BI$3:$BL$10,4,FALSE))))</f>
        <v>0</v>
      </c>
      <c r="AO23" s="56">
        <f>IF($G23="",0,IF(NOT(OR($G23="A - All employees not in groups B, C, J, H, M or Z",$G23="B - Married women and widows entitled to reduced NI",$G23="C - Over the State Pension age",$G23="H - Apprentice under 25",$G23="J – Deferment",$G23="M - Under 21",$G23="Z - Deferment (Under 21)",$G23="Please Enter The NI Cont. in ££££")),$G23,SUM(MAX(MIN(AG23-'Input Data'!$BG$3,'Input Data'!$BG$5-'Input Data'!$BG$3),0)*VLOOKUP($G23,'Input Data'!$BI$3:$BL$10,2,FALSE),MAX(MIN(AG23-'Input Data'!$BG$5,IF(OR($G23="M (under 21)",$G23="Z (under 21 - deferment)"),'Input Data'!$BG$6,IF($G23="H (Apprentice under 25)",'Input Data'!$BG$7,'Input Data'!$BG$8))-'Input Data'!$BG$5),0)*VLOOKUP($G23,'Input Data'!$BI$3:$BL$10,3,FALSE),MAX((AG23-IF(OR($G23="M (under 21)",$G23="Z (under 21 - deferment)"),'Input Data'!$BG$6,IF($G23="H (Apprentice under 25)",'Input Data'!$BG$7,'Input Data'!$BG$8))),0)*VLOOKUP($G23,'Input Data'!$BI$3:$BL$10,4,FALSE))))</f>
        <v>0</v>
      </c>
      <c r="AP23" s="56">
        <f>IF($G23="",0,IF(NOT(OR($G23="A - All employees not in groups B, C, J, H, M or Z",$G23="B - Married women and widows entitled to reduced NI",$G23="C - Over the State Pension age",$G23="H - Apprentice under 25",$G23="J – Deferment",$G23="M - Under 21",$G23="Z - Deferment (Under 21)",$G23="Please Enter The NI Cont. in ££££")),$G23,SUM(MAX(MIN(AH23-'Input Data'!$BG$3,'Input Data'!$BG$5-'Input Data'!$BG$3),0)*VLOOKUP($G23,'Input Data'!$BI$3:$BL$10,2,FALSE),MAX(MIN(AH23-'Input Data'!$BG$5,IF(OR($G23="M (under 21)",$G23="Z (under 21 - deferment)"),'Input Data'!$BG$6,IF($G23="H (Apprentice under 25)",'Input Data'!$BG$7,'Input Data'!$BG$8))-'Input Data'!$BG$5),0)*VLOOKUP($G23,'Input Data'!$BI$3:$BL$10,3,FALSE),MAX((AH23-IF(OR($G23="M (under 21)",$G23="Z (under 21 - deferment)"),'Input Data'!$BG$6,IF($G23="H (Apprentice under 25)",'Input Data'!$BG$7,'Input Data'!$BG$8))),0)*VLOOKUP($G23,'Input Data'!$BI$3:$BL$10,4,FALSE))))</f>
        <v>0</v>
      </c>
      <c r="AQ23" s="56">
        <f>IF($G23="",0,IF(NOT(OR($G23="A - All employees not in groups B, C, J, H, M or Z",$G23="B - Married women and widows entitled to reduced NI",$G23="C - Over the State Pension age",$G23="H - Apprentice under 25",$G23="J – Deferment",$G23="M - Under 21",$G23="Z - Deferment (Under 21)",$G23="Please Enter The NI Cont. in ££££")),$G23,SUM(MAX(MIN(AI23-'Input Data'!$BG$3,'Input Data'!$BG$5-'Input Data'!$BG$3),0)*VLOOKUP($G23,'Input Data'!$BI$3:$BL$10,2,FALSE),MAX(MIN(AI23-'Input Data'!$BG$5,IF(OR($G23="M (under 21)",$G23="Z (under 21 - deferment)"),'Input Data'!$BG$6,IF($G23="H (Apprentice under 25)",'Input Data'!$BG$7,'Input Data'!$BG$8))-'Input Data'!$BG$5),0)*VLOOKUP($G23,'Input Data'!$BI$3:$BL$10,3,FALSE),MAX((AI23-IF(OR($G23="M (under 21)",$G23="Z (under 21 - deferment)"),'Input Data'!$BG$6,IF($G23="H (Apprentice under 25)",'Input Data'!$BG$7,'Input Data'!$BG$8))),0)*VLOOKUP($G23,'Input Data'!$BI$3:$BL$10,4,FALSE))))</f>
        <v>0</v>
      </c>
      <c r="AR23" s="56">
        <f>IF($G23="",0,IF(NOT(OR($G23="A - All employees not in groups B, C, J, H, M or Z",$G23="B - Married women and widows entitled to reduced NI",$G23="C - Over the State Pension age",$G23="H - Apprentice under 25",$G23="J – Deferment",$G23="M - Under 21",$G23="Z - Deferment (Under 21)",$G23="Please Enter The NI Cont. in ££££")),$G23,SUM(MAX(MIN(AJ23-'Input Data'!$BG$3,'Input Data'!$BG$5-'Input Data'!$BG$3),0)*VLOOKUP($G23,'Input Data'!$BI$3:$BL$10,2,FALSE),MAX(MIN(AJ23-'Input Data'!$BG$5,IF(OR($G23="M (under 21)",$G23="Z (under 21 - deferment)"),'Input Data'!$BG$6,IF($G23="H (Apprentice under 25)",'Input Data'!$BG$7,'Input Data'!$BG$8))-'Input Data'!$BG$5),0)*VLOOKUP($G23,'Input Data'!$BI$3:$BL$10,3,FALSE),MAX((AJ23-IF(OR($G23="M (under 21)",$G23="Z (under 21 - deferment)"),'Input Data'!$BG$6,IF($G23="H (Apprentice under 25)",'Input Data'!$BG$7,'Input Data'!$BG$8))),0)*VLOOKUP($G23,'Input Data'!$BI$3:$BL$10,4,FALSE))))</f>
        <v>0</v>
      </c>
      <c r="AS23" s="56">
        <f>AC23*$F23</f>
        <v>0</v>
      </c>
      <c r="AT23" s="56">
        <f>AD23*$F23</f>
        <v>0</v>
      </c>
      <c r="AU23" s="56">
        <f>AE23*$F23</f>
        <v>0</v>
      </c>
      <c r="AV23" s="56">
        <f>AF23*$F23</f>
        <v>0</v>
      </c>
      <c r="AW23" s="56">
        <f>AG23*$F23</f>
        <v>0</v>
      </c>
      <c r="AX23" s="56">
        <f>AH23*$F23</f>
        <v>0</v>
      </c>
      <c r="AY23" s="56">
        <f>AI23*$F23</f>
        <v>0</v>
      </c>
      <c r="AZ23" s="56">
        <f>AJ23*$F23</f>
        <v>0</v>
      </c>
    </row>
    <row r="24" spans="1:52" ht="25.5">
      <c r="A24" s="26"/>
      <c r="B24" s="41"/>
      <c r="C24" s="57" t="s">
        <v>70</v>
      </c>
      <c r="D24" s="58"/>
      <c r="E24" s="58"/>
      <c r="F24" s="535"/>
      <c r="G24" s="693" t="s">
        <v>1149</v>
      </c>
      <c r="H24" s="65"/>
      <c r="I24" s="65"/>
      <c r="J24" s="65"/>
      <c r="K24" s="65"/>
      <c r="L24" s="65"/>
      <c r="M24" s="65"/>
      <c r="N24" s="65"/>
      <c r="O24" s="65"/>
      <c r="P24" s="29"/>
      <c r="Q24" s="597"/>
      <c r="R24" s="42"/>
      <c r="T24" s="43">
        <f>SUM(AC24,AK24,AS24)</f>
        <v>0</v>
      </c>
      <c r="U24" s="43">
        <f>SUM(AD24,AL24,AT24)</f>
        <v>0</v>
      </c>
      <c r="V24" s="43">
        <f>SUM(AE24,AM24,AU24)</f>
        <v>0</v>
      </c>
      <c r="W24" s="43">
        <f>SUM(AF24,AN24,AV24)</f>
        <v>0</v>
      </c>
      <c r="X24" s="43">
        <f>SUM(AG24,AO24,AW24)</f>
        <v>0</v>
      </c>
      <c r="Y24" s="43">
        <f>SUM(AH24,AP24,AX24)</f>
        <v>0</v>
      </c>
      <c r="Z24" s="43">
        <f>SUM(AI24,AQ24,AY24)</f>
        <v>0</v>
      </c>
      <c r="AA24" s="43">
        <f>SUM(AJ24,AR24,AZ24)</f>
        <v>0</v>
      </c>
      <c r="AC24" s="631">
        <f>SUM($D24:$E24)*H24</f>
        <v>0</v>
      </c>
      <c r="AD24" s="631">
        <f>SUM($D24:$E24)*I24</f>
        <v>0</v>
      </c>
      <c r="AE24" s="631">
        <f>SUM($D24:$E24)*J24</f>
        <v>0</v>
      </c>
      <c r="AF24" s="631">
        <f>SUM($D24:$E24)*K24</f>
        <v>0</v>
      </c>
      <c r="AG24" s="631">
        <f>SUM($D24:$E24)*L24</f>
        <v>0</v>
      </c>
      <c r="AH24" s="631">
        <f>SUM($D24:$E24)*M24</f>
        <v>0</v>
      </c>
      <c r="AI24" s="631">
        <f>SUM($D24:$E24)*N24</f>
        <v>0</v>
      </c>
      <c r="AJ24" s="631">
        <f>SUM($D24:$E24)*O24</f>
        <v>0</v>
      </c>
      <c r="AK24" s="56">
        <f>IF($G24="",0,IF(NOT(OR($G24="A - All employees not in groups B, C, J, H, M or Z",$G24="B - Married women and widows entitled to reduced NI",$G24="C - Over the State Pension age",$G24="H - Apprentice under 25",$G24="J – Deferment",$G24="M - Under 21",$G24="Z - Deferment (Under 21)",$G24="Please Enter The NI Cont. in ££££")),$G24,SUM(MAX(MIN(AC24-'Input Data'!$BG$3,'Input Data'!$BG$5-'Input Data'!$BG$3),0)*VLOOKUP($G24,'Input Data'!$BI$3:$BL$10,2,FALSE),MAX(MIN(AC24-'Input Data'!$BG$5,IF(OR($G24="M (under 21)",$G24="Z (under 21 - deferment)"),'Input Data'!$BG$6,IF($G24="H (Apprentice under 25)",'Input Data'!$BG$7,'Input Data'!$BG$8))-'Input Data'!$BG$5),0)*VLOOKUP($G24,'Input Data'!$BI$3:$BL$10,3,FALSE),MAX((AC24-IF(OR($G24="M (under 21)",$G24="Z (under 21 - deferment)"),'Input Data'!$BG$6,IF($G24="H (Apprentice under 25)",'Input Data'!$BG$7,'Input Data'!$BG$8))),0)*VLOOKUP($G24,'Input Data'!$BI$3:$BL$10,4,FALSE))))</f>
        <v>0</v>
      </c>
      <c r="AL24" s="56">
        <f>IF($G24="",0,IF(NOT(OR($G24="A - All employees not in groups B, C, J, H, M or Z",$G24="B - Married women and widows entitled to reduced NI",$G24="C - Over the State Pension age",$G24="H - Apprentice under 25",$G24="J – Deferment",$G24="M - Under 21",$G24="Z - Deferment (Under 21)",$G24="Please Enter The NI Cont. in ££££")),$G24,SUM(MAX(MIN(AD24-'Input Data'!$BG$3,'Input Data'!$BG$5-'Input Data'!$BG$3),0)*VLOOKUP($G24,'Input Data'!$BI$3:$BL$10,2,FALSE),MAX(MIN(AD24-'Input Data'!$BG$5,IF(OR($G24="M (under 21)",$G24="Z (under 21 - deferment)"),'Input Data'!$BG$6,IF($G24="H (Apprentice under 25)",'Input Data'!$BG$7,'Input Data'!$BG$8))-'Input Data'!$BG$5),0)*VLOOKUP($G24,'Input Data'!$BI$3:$BL$10,3,FALSE),MAX((AD24-IF(OR($G24="M (under 21)",$G24="Z (under 21 - deferment)"),'Input Data'!$BG$6,IF($G24="H (Apprentice under 25)",'Input Data'!$BG$7,'Input Data'!$BG$8))),0)*VLOOKUP($G24,'Input Data'!$BI$3:$BL$10,4,FALSE))))</f>
        <v>0</v>
      </c>
      <c r="AM24" s="56">
        <f>IF($G24="",0,IF(NOT(OR($G24="A - All employees not in groups B, C, J, H, M or Z",$G24="B - Married women and widows entitled to reduced NI",$G24="C - Over the State Pension age",$G24="H - Apprentice under 25",$G24="J – Deferment",$G24="M - Under 21",$G24="Z - Deferment (Under 21)",$G24="Please Enter The NI Cont. in ££££")),$G24,SUM(MAX(MIN(AE24-'Input Data'!$BG$3,'Input Data'!$BG$5-'Input Data'!$BG$3),0)*VLOOKUP($G24,'Input Data'!$BI$3:$BL$10,2,FALSE),MAX(MIN(AE24-'Input Data'!$BG$5,IF(OR($G24="M (under 21)",$G24="Z (under 21 - deferment)"),'Input Data'!$BG$6,IF($G24="H (Apprentice under 25)",'Input Data'!$BG$7,'Input Data'!$BG$8))-'Input Data'!$BG$5),0)*VLOOKUP($G24,'Input Data'!$BI$3:$BL$10,3,FALSE),MAX((AE24-IF(OR($G24="M (under 21)",$G24="Z (under 21 - deferment)"),'Input Data'!$BG$6,IF($G24="H (Apprentice under 25)",'Input Data'!$BG$7,'Input Data'!$BG$8))),0)*VLOOKUP($G24,'Input Data'!$BI$3:$BL$10,4,FALSE))))</f>
        <v>0</v>
      </c>
      <c r="AN24" s="56">
        <f>IF($G24="",0,IF(NOT(OR($G24="A - All employees not in groups B, C, J, H, M or Z",$G24="B - Married women and widows entitled to reduced NI",$G24="C - Over the State Pension age",$G24="H - Apprentice under 25",$G24="J – Deferment",$G24="M - Under 21",$G24="Z - Deferment (Under 21)",$G24="Please Enter The NI Cont. in ££££")),$G24,SUM(MAX(MIN(AF24-'Input Data'!$BG$3,'Input Data'!$BG$5-'Input Data'!$BG$3),0)*VLOOKUP($G24,'Input Data'!$BI$3:$BL$10,2,FALSE),MAX(MIN(AF24-'Input Data'!$BG$5,IF(OR($G24="M (under 21)",$G24="Z (under 21 - deferment)"),'Input Data'!$BG$6,IF($G24="H (Apprentice under 25)",'Input Data'!$BG$7,'Input Data'!$BG$8))-'Input Data'!$BG$5),0)*VLOOKUP($G24,'Input Data'!$BI$3:$BL$10,3,FALSE),MAX((AF24-IF(OR($G24="M (under 21)",$G24="Z (under 21 - deferment)"),'Input Data'!$BG$6,IF($G24="H (Apprentice under 25)",'Input Data'!$BG$7,'Input Data'!$BG$8))),0)*VLOOKUP($G24,'Input Data'!$BI$3:$BL$10,4,FALSE))))</f>
        <v>0</v>
      </c>
      <c r="AO24" s="56">
        <f>IF($G24="",0,IF(NOT(OR($G24="A - All employees not in groups B, C, J, H, M or Z",$G24="B - Married women and widows entitled to reduced NI",$G24="C - Over the State Pension age",$G24="H - Apprentice under 25",$G24="J – Deferment",$G24="M - Under 21",$G24="Z - Deferment (Under 21)",$G24="Please Enter The NI Cont. in ££££")),$G24,SUM(MAX(MIN(AG24-'Input Data'!$BG$3,'Input Data'!$BG$5-'Input Data'!$BG$3),0)*VLOOKUP($G24,'Input Data'!$BI$3:$BL$10,2,FALSE),MAX(MIN(AG24-'Input Data'!$BG$5,IF(OR($G24="M (under 21)",$G24="Z (under 21 - deferment)"),'Input Data'!$BG$6,IF($G24="H (Apprentice under 25)",'Input Data'!$BG$7,'Input Data'!$BG$8))-'Input Data'!$BG$5),0)*VLOOKUP($G24,'Input Data'!$BI$3:$BL$10,3,FALSE),MAX((AG24-IF(OR($G24="M (under 21)",$G24="Z (under 21 - deferment)"),'Input Data'!$BG$6,IF($G24="H (Apprentice under 25)",'Input Data'!$BG$7,'Input Data'!$BG$8))),0)*VLOOKUP($G24,'Input Data'!$BI$3:$BL$10,4,FALSE))))</f>
        <v>0</v>
      </c>
      <c r="AP24" s="56">
        <f>IF($G24="",0,IF(NOT(OR($G24="A - All employees not in groups B, C, J, H, M or Z",$G24="B - Married women and widows entitled to reduced NI",$G24="C - Over the State Pension age",$G24="H - Apprentice under 25",$G24="J – Deferment",$G24="M - Under 21",$G24="Z - Deferment (Under 21)",$G24="Please Enter The NI Cont. in ££££")),$G24,SUM(MAX(MIN(AH24-'Input Data'!$BG$3,'Input Data'!$BG$5-'Input Data'!$BG$3),0)*VLOOKUP($G24,'Input Data'!$BI$3:$BL$10,2,FALSE),MAX(MIN(AH24-'Input Data'!$BG$5,IF(OR($G24="M (under 21)",$G24="Z (under 21 - deferment)"),'Input Data'!$BG$6,IF($G24="H (Apprentice under 25)",'Input Data'!$BG$7,'Input Data'!$BG$8))-'Input Data'!$BG$5),0)*VLOOKUP($G24,'Input Data'!$BI$3:$BL$10,3,FALSE),MAX((AH24-IF(OR($G24="M (under 21)",$G24="Z (under 21 - deferment)"),'Input Data'!$BG$6,IF($G24="H (Apprentice under 25)",'Input Data'!$BG$7,'Input Data'!$BG$8))),0)*VLOOKUP($G24,'Input Data'!$BI$3:$BL$10,4,FALSE))))</f>
        <v>0</v>
      </c>
      <c r="AQ24" s="56">
        <f>IF($G24="",0,IF(NOT(OR($G24="A - All employees not in groups B, C, J, H, M or Z",$G24="B - Married women and widows entitled to reduced NI",$G24="C - Over the State Pension age",$G24="H - Apprentice under 25",$G24="J – Deferment",$G24="M - Under 21",$G24="Z - Deferment (Under 21)",$G24="Please Enter The NI Cont. in ££££")),$G24,SUM(MAX(MIN(AI24-'Input Data'!$BG$3,'Input Data'!$BG$5-'Input Data'!$BG$3),0)*VLOOKUP($G24,'Input Data'!$BI$3:$BL$10,2,FALSE),MAX(MIN(AI24-'Input Data'!$BG$5,IF(OR($G24="M (under 21)",$G24="Z (under 21 - deferment)"),'Input Data'!$BG$6,IF($G24="H (Apprentice under 25)",'Input Data'!$BG$7,'Input Data'!$BG$8))-'Input Data'!$BG$5),0)*VLOOKUP($G24,'Input Data'!$BI$3:$BL$10,3,FALSE),MAX((AI24-IF(OR($G24="M (under 21)",$G24="Z (under 21 - deferment)"),'Input Data'!$BG$6,IF($G24="H (Apprentice under 25)",'Input Data'!$BG$7,'Input Data'!$BG$8))),0)*VLOOKUP($G24,'Input Data'!$BI$3:$BL$10,4,FALSE))))</f>
        <v>0</v>
      </c>
      <c r="AR24" s="56">
        <f>IF($G24="",0,IF(NOT(OR($G24="A - All employees not in groups B, C, J, H, M or Z",$G24="B - Married women and widows entitled to reduced NI",$G24="C - Over the State Pension age",$G24="H - Apprentice under 25",$G24="J – Deferment",$G24="M - Under 21",$G24="Z - Deferment (Under 21)",$G24="Please Enter The NI Cont. in ££££")),$G24,SUM(MAX(MIN(AJ24-'Input Data'!$BG$3,'Input Data'!$BG$5-'Input Data'!$BG$3),0)*VLOOKUP($G24,'Input Data'!$BI$3:$BL$10,2,FALSE),MAX(MIN(AJ24-'Input Data'!$BG$5,IF(OR($G24="M (under 21)",$G24="Z (under 21 - deferment)"),'Input Data'!$BG$6,IF($G24="H (Apprentice under 25)",'Input Data'!$BG$7,'Input Data'!$BG$8))-'Input Data'!$BG$5),0)*VLOOKUP($G24,'Input Data'!$BI$3:$BL$10,3,FALSE),MAX((AJ24-IF(OR($G24="M (under 21)",$G24="Z (under 21 - deferment)"),'Input Data'!$BG$6,IF($G24="H (Apprentice under 25)",'Input Data'!$BG$7,'Input Data'!$BG$8))),0)*VLOOKUP($G24,'Input Data'!$BI$3:$BL$10,4,FALSE))))</f>
        <v>0</v>
      </c>
      <c r="AS24" s="56">
        <f>AC24*$F24</f>
        <v>0</v>
      </c>
      <c r="AT24" s="56">
        <f>AD24*$F24</f>
        <v>0</v>
      </c>
      <c r="AU24" s="56">
        <f>AE24*$F24</f>
        <v>0</v>
      </c>
      <c r="AV24" s="56">
        <f>AF24*$F24</f>
        <v>0</v>
      </c>
      <c r="AW24" s="56">
        <f>AG24*$F24</f>
        <v>0</v>
      </c>
      <c r="AX24" s="56">
        <f>AH24*$F24</f>
        <v>0</v>
      </c>
      <c r="AY24" s="56">
        <f>AI24*$F24</f>
        <v>0</v>
      </c>
      <c r="AZ24" s="56">
        <f>AJ24*$F24</f>
        <v>0</v>
      </c>
    </row>
    <row r="25" spans="1:52" ht="25.5">
      <c r="A25" s="26"/>
      <c r="B25" s="41"/>
      <c r="C25" s="57" t="s">
        <v>71</v>
      </c>
      <c r="D25" s="58"/>
      <c r="E25" s="58"/>
      <c r="F25" s="535"/>
      <c r="G25" s="693" t="s">
        <v>1149</v>
      </c>
      <c r="H25" s="65"/>
      <c r="I25" s="65"/>
      <c r="J25" s="65"/>
      <c r="K25" s="65"/>
      <c r="L25" s="65"/>
      <c r="M25" s="65"/>
      <c r="N25" s="65"/>
      <c r="O25" s="65"/>
      <c r="P25" s="29"/>
      <c r="Q25" s="597"/>
      <c r="R25" s="42"/>
      <c r="T25" s="43">
        <f>SUM(AC25,AK25,AS25)</f>
        <v>0</v>
      </c>
      <c r="U25" s="43">
        <f>SUM(AD25,AL25,AT25)</f>
        <v>0</v>
      </c>
      <c r="V25" s="43">
        <f>SUM(AE25,AM25,AU25)</f>
        <v>0</v>
      </c>
      <c r="W25" s="43">
        <f>SUM(AF25,AN25,AV25)</f>
        <v>0</v>
      </c>
      <c r="X25" s="43">
        <f>SUM(AG25,AO25,AW25)</f>
        <v>0</v>
      </c>
      <c r="Y25" s="43">
        <f>SUM(AH25,AP25,AX25)</f>
        <v>0</v>
      </c>
      <c r="Z25" s="43">
        <f>SUM(AI25,AQ25,AY25)</f>
        <v>0</v>
      </c>
      <c r="AA25" s="43">
        <f>SUM(AJ25,AR25,AZ25)</f>
        <v>0</v>
      </c>
      <c r="AC25" s="631">
        <f>SUM($D25:$E25)*H25</f>
        <v>0</v>
      </c>
      <c r="AD25" s="631">
        <f>SUM($D25:$E25)*I25</f>
        <v>0</v>
      </c>
      <c r="AE25" s="631">
        <f>SUM($D25:$E25)*J25</f>
        <v>0</v>
      </c>
      <c r="AF25" s="631">
        <f>SUM($D25:$E25)*K25</f>
        <v>0</v>
      </c>
      <c r="AG25" s="631">
        <f>SUM($D25:$E25)*L25</f>
        <v>0</v>
      </c>
      <c r="AH25" s="631">
        <f>SUM($D25:$E25)*M25</f>
        <v>0</v>
      </c>
      <c r="AI25" s="631">
        <f>SUM($D25:$E25)*N25</f>
        <v>0</v>
      </c>
      <c r="AJ25" s="631">
        <f>SUM($D25:$E25)*O25</f>
        <v>0</v>
      </c>
      <c r="AK25" s="56">
        <f>IF($G25="",0,IF(NOT(OR($G25="A - All employees not in groups B, C, J, H, M or Z",$G25="B - Married women and widows entitled to reduced NI",$G25="C - Over the State Pension age",$G25="H - Apprentice under 25",$G25="J – Deferment",$G25="M - Under 21",$G25="Z - Deferment (Under 21)",$G25="Please Enter The NI Cont. in ££££")),$G25,SUM(MAX(MIN(AC25-'Input Data'!$BG$3,'Input Data'!$BG$5-'Input Data'!$BG$3),0)*VLOOKUP($G25,'Input Data'!$BI$3:$BL$10,2,FALSE),MAX(MIN(AC25-'Input Data'!$BG$5,IF(OR($G25="M (under 21)",$G25="Z (under 21 - deferment)"),'Input Data'!$BG$6,IF($G25="H (Apprentice under 25)",'Input Data'!$BG$7,'Input Data'!$BG$8))-'Input Data'!$BG$5),0)*VLOOKUP($G25,'Input Data'!$BI$3:$BL$10,3,FALSE),MAX((AC25-IF(OR($G25="M (under 21)",$G25="Z (under 21 - deferment)"),'Input Data'!$BG$6,IF($G25="H (Apprentice under 25)",'Input Data'!$BG$7,'Input Data'!$BG$8))),0)*VLOOKUP($G25,'Input Data'!$BI$3:$BL$10,4,FALSE))))</f>
        <v>0</v>
      </c>
      <c r="AL25" s="56">
        <f>IF($G25="",0,IF(NOT(OR($G25="A - All employees not in groups B, C, J, H, M or Z",$G25="B - Married women and widows entitled to reduced NI",$G25="C - Over the State Pension age",$G25="H - Apprentice under 25",$G25="J – Deferment",$G25="M - Under 21",$G25="Z - Deferment (Under 21)",$G25="Please Enter The NI Cont. in ££££")),$G25,SUM(MAX(MIN(AD25-'Input Data'!$BG$3,'Input Data'!$BG$5-'Input Data'!$BG$3),0)*VLOOKUP($G25,'Input Data'!$BI$3:$BL$10,2,FALSE),MAX(MIN(AD25-'Input Data'!$BG$5,IF(OR($G25="M (under 21)",$G25="Z (under 21 - deferment)"),'Input Data'!$BG$6,IF($G25="H (Apprentice under 25)",'Input Data'!$BG$7,'Input Data'!$BG$8))-'Input Data'!$BG$5),0)*VLOOKUP($G25,'Input Data'!$BI$3:$BL$10,3,FALSE),MAX((AD25-IF(OR($G25="M (under 21)",$G25="Z (under 21 - deferment)"),'Input Data'!$BG$6,IF($G25="H (Apprentice under 25)",'Input Data'!$BG$7,'Input Data'!$BG$8))),0)*VLOOKUP($G25,'Input Data'!$BI$3:$BL$10,4,FALSE))))</f>
        <v>0</v>
      </c>
      <c r="AM25" s="56">
        <f>IF($G25="",0,IF(NOT(OR($G25="A - All employees not in groups B, C, J, H, M or Z",$G25="B - Married women and widows entitled to reduced NI",$G25="C - Over the State Pension age",$G25="H - Apprentice under 25",$G25="J – Deferment",$G25="M - Under 21",$G25="Z - Deferment (Under 21)",$G25="Please Enter The NI Cont. in ££££")),$G25,SUM(MAX(MIN(AE25-'Input Data'!$BG$3,'Input Data'!$BG$5-'Input Data'!$BG$3),0)*VLOOKUP($G25,'Input Data'!$BI$3:$BL$10,2,FALSE),MAX(MIN(AE25-'Input Data'!$BG$5,IF(OR($G25="M (under 21)",$G25="Z (under 21 - deferment)"),'Input Data'!$BG$6,IF($G25="H (Apprentice under 25)",'Input Data'!$BG$7,'Input Data'!$BG$8))-'Input Data'!$BG$5),0)*VLOOKUP($G25,'Input Data'!$BI$3:$BL$10,3,FALSE),MAX((AE25-IF(OR($G25="M (under 21)",$G25="Z (under 21 - deferment)"),'Input Data'!$BG$6,IF($G25="H (Apprentice under 25)",'Input Data'!$BG$7,'Input Data'!$BG$8))),0)*VLOOKUP($G25,'Input Data'!$BI$3:$BL$10,4,FALSE))))</f>
        <v>0</v>
      </c>
      <c r="AN25" s="56">
        <f>IF($G25="",0,IF(NOT(OR($G25="A - All employees not in groups B, C, J, H, M or Z",$G25="B - Married women and widows entitled to reduced NI",$G25="C - Over the State Pension age",$G25="H - Apprentice under 25",$G25="J – Deferment",$G25="M - Under 21",$G25="Z - Deferment (Under 21)",$G25="Please Enter The NI Cont. in ££££")),$G25,SUM(MAX(MIN(AF25-'Input Data'!$BG$3,'Input Data'!$BG$5-'Input Data'!$BG$3),0)*VLOOKUP($G25,'Input Data'!$BI$3:$BL$10,2,FALSE),MAX(MIN(AF25-'Input Data'!$BG$5,IF(OR($G25="M (under 21)",$G25="Z (under 21 - deferment)"),'Input Data'!$BG$6,IF($G25="H (Apprentice under 25)",'Input Data'!$BG$7,'Input Data'!$BG$8))-'Input Data'!$BG$5),0)*VLOOKUP($G25,'Input Data'!$BI$3:$BL$10,3,FALSE),MAX((AF25-IF(OR($G25="M (under 21)",$G25="Z (under 21 - deferment)"),'Input Data'!$BG$6,IF($G25="H (Apprentice under 25)",'Input Data'!$BG$7,'Input Data'!$BG$8))),0)*VLOOKUP($G25,'Input Data'!$BI$3:$BL$10,4,FALSE))))</f>
        <v>0</v>
      </c>
      <c r="AO25" s="56">
        <f>IF($G25="",0,IF(NOT(OR($G25="A - All employees not in groups B, C, J, H, M or Z",$G25="B - Married women and widows entitled to reduced NI",$G25="C - Over the State Pension age",$G25="H - Apprentice under 25",$G25="J – Deferment",$G25="M - Under 21",$G25="Z - Deferment (Under 21)",$G25="Please Enter The NI Cont. in ££££")),$G25,SUM(MAX(MIN(AG25-'Input Data'!$BG$3,'Input Data'!$BG$5-'Input Data'!$BG$3),0)*VLOOKUP($G25,'Input Data'!$BI$3:$BL$10,2,FALSE),MAX(MIN(AG25-'Input Data'!$BG$5,IF(OR($G25="M (under 21)",$G25="Z (under 21 - deferment)"),'Input Data'!$BG$6,IF($G25="H (Apprentice under 25)",'Input Data'!$BG$7,'Input Data'!$BG$8))-'Input Data'!$BG$5),0)*VLOOKUP($G25,'Input Data'!$BI$3:$BL$10,3,FALSE),MAX((AG25-IF(OR($G25="M (under 21)",$G25="Z (under 21 - deferment)"),'Input Data'!$BG$6,IF($G25="H (Apprentice under 25)",'Input Data'!$BG$7,'Input Data'!$BG$8))),0)*VLOOKUP($G25,'Input Data'!$BI$3:$BL$10,4,FALSE))))</f>
        <v>0</v>
      </c>
      <c r="AP25" s="56">
        <f>IF($G25="",0,IF(NOT(OR($G25="A - All employees not in groups B, C, J, H, M or Z",$G25="B - Married women and widows entitled to reduced NI",$G25="C - Over the State Pension age",$G25="H - Apprentice under 25",$G25="J – Deferment",$G25="M - Under 21",$G25="Z - Deferment (Under 21)",$G25="Please Enter The NI Cont. in ££££")),$G25,SUM(MAX(MIN(AH25-'Input Data'!$BG$3,'Input Data'!$BG$5-'Input Data'!$BG$3),0)*VLOOKUP($G25,'Input Data'!$BI$3:$BL$10,2,FALSE),MAX(MIN(AH25-'Input Data'!$BG$5,IF(OR($G25="M (under 21)",$G25="Z (under 21 - deferment)"),'Input Data'!$BG$6,IF($G25="H (Apprentice under 25)",'Input Data'!$BG$7,'Input Data'!$BG$8))-'Input Data'!$BG$5),0)*VLOOKUP($G25,'Input Data'!$BI$3:$BL$10,3,FALSE),MAX((AH25-IF(OR($G25="M (under 21)",$G25="Z (under 21 - deferment)"),'Input Data'!$BG$6,IF($G25="H (Apprentice under 25)",'Input Data'!$BG$7,'Input Data'!$BG$8))),0)*VLOOKUP($G25,'Input Data'!$BI$3:$BL$10,4,FALSE))))</f>
        <v>0</v>
      </c>
      <c r="AQ25" s="56">
        <f>IF($G25="",0,IF(NOT(OR($G25="A - All employees not in groups B, C, J, H, M or Z",$G25="B - Married women and widows entitled to reduced NI",$G25="C - Over the State Pension age",$G25="H - Apprentice under 25",$G25="J – Deferment",$G25="M - Under 21",$G25="Z - Deferment (Under 21)",$G25="Please Enter The NI Cont. in ££££")),$G25,SUM(MAX(MIN(AI25-'Input Data'!$BG$3,'Input Data'!$BG$5-'Input Data'!$BG$3),0)*VLOOKUP($G25,'Input Data'!$BI$3:$BL$10,2,FALSE),MAX(MIN(AI25-'Input Data'!$BG$5,IF(OR($G25="M (under 21)",$G25="Z (under 21 - deferment)"),'Input Data'!$BG$6,IF($G25="H (Apprentice under 25)",'Input Data'!$BG$7,'Input Data'!$BG$8))-'Input Data'!$BG$5),0)*VLOOKUP($G25,'Input Data'!$BI$3:$BL$10,3,FALSE),MAX((AI25-IF(OR($G25="M (under 21)",$G25="Z (under 21 - deferment)"),'Input Data'!$BG$6,IF($G25="H (Apprentice under 25)",'Input Data'!$BG$7,'Input Data'!$BG$8))),0)*VLOOKUP($G25,'Input Data'!$BI$3:$BL$10,4,FALSE))))</f>
        <v>0</v>
      </c>
      <c r="AR25" s="56">
        <f>IF($G25="",0,IF(NOT(OR($G25="A - All employees not in groups B, C, J, H, M or Z",$G25="B - Married women and widows entitled to reduced NI",$G25="C - Over the State Pension age",$G25="H - Apprentice under 25",$G25="J – Deferment",$G25="M - Under 21",$G25="Z - Deferment (Under 21)",$G25="Please Enter The NI Cont. in ££££")),$G25,SUM(MAX(MIN(AJ25-'Input Data'!$BG$3,'Input Data'!$BG$5-'Input Data'!$BG$3),0)*VLOOKUP($G25,'Input Data'!$BI$3:$BL$10,2,FALSE),MAX(MIN(AJ25-'Input Data'!$BG$5,IF(OR($G25="M (under 21)",$G25="Z (under 21 - deferment)"),'Input Data'!$BG$6,IF($G25="H (Apprentice under 25)",'Input Data'!$BG$7,'Input Data'!$BG$8))-'Input Data'!$BG$5),0)*VLOOKUP($G25,'Input Data'!$BI$3:$BL$10,3,FALSE),MAX((AJ25-IF(OR($G25="M (under 21)",$G25="Z (under 21 - deferment)"),'Input Data'!$BG$6,IF($G25="H (Apprentice under 25)",'Input Data'!$BG$7,'Input Data'!$BG$8))),0)*VLOOKUP($G25,'Input Data'!$BI$3:$BL$10,4,FALSE))))</f>
        <v>0</v>
      </c>
      <c r="AS25" s="56">
        <f>AC25*$F25</f>
        <v>0</v>
      </c>
      <c r="AT25" s="56">
        <f>AD25*$F25</f>
        <v>0</v>
      </c>
      <c r="AU25" s="56">
        <f>AE25*$F25</f>
        <v>0</v>
      </c>
      <c r="AV25" s="56">
        <f>AF25*$F25</f>
        <v>0</v>
      </c>
      <c r="AW25" s="56">
        <f>AG25*$F25</f>
        <v>0</v>
      </c>
      <c r="AX25" s="56">
        <f>AH25*$F25</f>
        <v>0</v>
      </c>
      <c r="AY25" s="56">
        <f>AI25*$F25</f>
        <v>0</v>
      </c>
      <c r="AZ25" s="56">
        <f>AJ25*$F25</f>
        <v>0</v>
      </c>
    </row>
    <row r="26" spans="1:52" ht="25.5">
      <c r="A26" s="26"/>
      <c r="B26" s="41"/>
      <c r="C26" s="57" t="s">
        <v>72</v>
      </c>
      <c r="D26" s="58"/>
      <c r="E26" s="58"/>
      <c r="F26" s="535"/>
      <c r="G26" s="693" t="s">
        <v>1149</v>
      </c>
      <c r="H26" s="65"/>
      <c r="I26" s="65"/>
      <c r="J26" s="65"/>
      <c r="K26" s="65"/>
      <c r="L26" s="65"/>
      <c r="M26" s="65"/>
      <c r="N26" s="65"/>
      <c r="O26" s="65"/>
      <c r="P26" s="29"/>
      <c r="Q26" s="597"/>
      <c r="R26" s="42"/>
      <c r="T26" s="43">
        <f>SUM(AC26,AK26,AS26)</f>
        <v>0</v>
      </c>
      <c r="U26" s="43">
        <f>SUM(AD26,AL26,AT26)</f>
        <v>0</v>
      </c>
      <c r="V26" s="43">
        <f>SUM(AE26,AM26,AU26)</f>
        <v>0</v>
      </c>
      <c r="W26" s="43">
        <f>SUM(AF26,AN26,AV26)</f>
        <v>0</v>
      </c>
      <c r="X26" s="43">
        <f>SUM(AG26,AO26,AW26)</f>
        <v>0</v>
      </c>
      <c r="Y26" s="43">
        <f>SUM(AH26,AP26,AX26)</f>
        <v>0</v>
      </c>
      <c r="Z26" s="43">
        <f>SUM(AI26,AQ26,AY26)</f>
        <v>0</v>
      </c>
      <c r="AA26" s="43">
        <f>SUM(AJ26,AR26,AZ26)</f>
        <v>0</v>
      </c>
      <c r="AC26" s="631">
        <f>SUM($D26:$E26)*H26</f>
        <v>0</v>
      </c>
      <c r="AD26" s="631">
        <f>SUM($D26:$E26)*I26</f>
        <v>0</v>
      </c>
      <c r="AE26" s="631">
        <f>SUM($D26:$E26)*J26</f>
        <v>0</v>
      </c>
      <c r="AF26" s="631">
        <f>SUM($D26:$E26)*K26</f>
        <v>0</v>
      </c>
      <c r="AG26" s="631">
        <f>SUM($D26:$E26)*L26</f>
        <v>0</v>
      </c>
      <c r="AH26" s="631">
        <f>SUM($D26:$E26)*M26</f>
        <v>0</v>
      </c>
      <c r="AI26" s="631">
        <f>SUM($D26:$E26)*N26</f>
        <v>0</v>
      </c>
      <c r="AJ26" s="631">
        <f>SUM($D26:$E26)*O26</f>
        <v>0</v>
      </c>
      <c r="AK26" s="56">
        <f>IF($G26="",0,IF(NOT(OR($G26="A - All employees not in groups B, C, J, H, M or Z",$G26="B - Married women and widows entitled to reduced NI",$G26="C - Over the State Pension age",$G26="H - Apprentice under 25",$G26="J – Deferment",$G26="M - Under 21",$G26="Z - Deferment (Under 21)",$G26="Please Enter The NI Cont. in ££££")),$G26,SUM(MAX(MIN(AC26-'Input Data'!$BG$3,'Input Data'!$BG$5-'Input Data'!$BG$3),0)*VLOOKUP($G26,'Input Data'!$BI$3:$BL$10,2,FALSE),MAX(MIN(AC26-'Input Data'!$BG$5,IF(OR($G26="M (under 21)",$G26="Z (under 21 - deferment)"),'Input Data'!$BG$6,IF($G26="H (Apprentice under 25)",'Input Data'!$BG$7,'Input Data'!$BG$8))-'Input Data'!$BG$5),0)*VLOOKUP($G26,'Input Data'!$BI$3:$BL$10,3,FALSE),MAX((AC26-IF(OR($G26="M (under 21)",$G26="Z (under 21 - deferment)"),'Input Data'!$BG$6,IF($G26="H (Apprentice under 25)",'Input Data'!$BG$7,'Input Data'!$BG$8))),0)*VLOOKUP($G26,'Input Data'!$BI$3:$BL$10,4,FALSE))))</f>
        <v>0</v>
      </c>
      <c r="AL26" s="56">
        <f>IF($G26="",0,IF(NOT(OR($G26="A - All employees not in groups B, C, J, H, M or Z",$G26="B - Married women and widows entitled to reduced NI",$G26="C - Over the State Pension age",$G26="H - Apprentice under 25",$G26="J – Deferment",$G26="M - Under 21",$G26="Z - Deferment (Under 21)",$G26="Please Enter The NI Cont. in ££££")),$G26,SUM(MAX(MIN(AD26-'Input Data'!$BG$3,'Input Data'!$BG$5-'Input Data'!$BG$3),0)*VLOOKUP($G26,'Input Data'!$BI$3:$BL$10,2,FALSE),MAX(MIN(AD26-'Input Data'!$BG$5,IF(OR($G26="M (under 21)",$G26="Z (under 21 - deferment)"),'Input Data'!$BG$6,IF($G26="H (Apprentice under 25)",'Input Data'!$BG$7,'Input Data'!$BG$8))-'Input Data'!$BG$5),0)*VLOOKUP($G26,'Input Data'!$BI$3:$BL$10,3,FALSE),MAX((AD26-IF(OR($G26="M (under 21)",$G26="Z (under 21 - deferment)"),'Input Data'!$BG$6,IF($G26="H (Apprentice under 25)",'Input Data'!$BG$7,'Input Data'!$BG$8))),0)*VLOOKUP($G26,'Input Data'!$BI$3:$BL$10,4,FALSE))))</f>
        <v>0</v>
      </c>
      <c r="AM26" s="56">
        <f>IF($G26="",0,IF(NOT(OR($G26="A - All employees not in groups B, C, J, H, M or Z",$G26="B - Married women and widows entitled to reduced NI",$G26="C - Over the State Pension age",$G26="H - Apprentice under 25",$G26="J – Deferment",$G26="M - Under 21",$G26="Z - Deferment (Under 21)",$G26="Please Enter The NI Cont. in ££££")),$G26,SUM(MAX(MIN(AE26-'Input Data'!$BG$3,'Input Data'!$BG$5-'Input Data'!$BG$3),0)*VLOOKUP($G26,'Input Data'!$BI$3:$BL$10,2,FALSE),MAX(MIN(AE26-'Input Data'!$BG$5,IF(OR($G26="M (under 21)",$G26="Z (under 21 - deferment)"),'Input Data'!$BG$6,IF($G26="H (Apprentice under 25)",'Input Data'!$BG$7,'Input Data'!$BG$8))-'Input Data'!$BG$5),0)*VLOOKUP($G26,'Input Data'!$BI$3:$BL$10,3,FALSE),MAX((AE26-IF(OR($G26="M (under 21)",$G26="Z (under 21 - deferment)"),'Input Data'!$BG$6,IF($G26="H (Apprentice under 25)",'Input Data'!$BG$7,'Input Data'!$BG$8))),0)*VLOOKUP($G26,'Input Data'!$BI$3:$BL$10,4,FALSE))))</f>
        <v>0</v>
      </c>
      <c r="AN26" s="56">
        <f>IF($G26="",0,IF(NOT(OR($G26="A - All employees not in groups B, C, J, H, M or Z",$G26="B - Married women and widows entitled to reduced NI",$G26="C - Over the State Pension age",$G26="H - Apprentice under 25",$G26="J – Deferment",$G26="M - Under 21",$G26="Z - Deferment (Under 21)",$G26="Please Enter The NI Cont. in ££££")),$G26,SUM(MAX(MIN(AF26-'Input Data'!$BG$3,'Input Data'!$BG$5-'Input Data'!$BG$3),0)*VLOOKUP($G26,'Input Data'!$BI$3:$BL$10,2,FALSE),MAX(MIN(AF26-'Input Data'!$BG$5,IF(OR($G26="M (under 21)",$G26="Z (under 21 - deferment)"),'Input Data'!$BG$6,IF($G26="H (Apprentice under 25)",'Input Data'!$BG$7,'Input Data'!$BG$8))-'Input Data'!$BG$5),0)*VLOOKUP($G26,'Input Data'!$BI$3:$BL$10,3,FALSE),MAX((AF26-IF(OR($G26="M (under 21)",$G26="Z (under 21 - deferment)"),'Input Data'!$BG$6,IF($G26="H (Apprentice under 25)",'Input Data'!$BG$7,'Input Data'!$BG$8))),0)*VLOOKUP($G26,'Input Data'!$BI$3:$BL$10,4,FALSE))))</f>
        <v>0</v>
      </c>
      <c r="AO26" s="56">
        <f>IF($G26="",0,IF(NOT(OR($G26="A - All employees not in groups B, C, J, H, M or Z",$G26="B - Married women and widows entitled to reduced NI",$G26="C - Over the State Pension age",$G26="H - Apprentice under 25",$G26="J – Deferment",$G26="M - Under 21",$G26="Z - Deferment (Under 21)",$G26="Please Enter The NI Cont. in ££££")),$G26,SUM(MAX(MIN(AG26-'Input Data'!$BG$3,'Input Data'!$BG$5-'Input Data'!$BG$3),0)*VLOOKUP($G26,'Input Data'!$BI$3:$BL$10,2,FALSE),MAX(MIN(AG26-'Input Data'!$BG$5,IF(OR($G26="M (under 21)",$G26="Z (under 21 - deferment)"),'Input Data'!$BG$6,IF($G26="H (Apprentice under 25)",'Input Data'!$BG$7,'Input Data'!$BG$8))-'Input Data'!$BG$5),0)*VLOOKUP($G26,'Input Data'!$BI$3:$BL$10,3,FALSE),MAX((AG26-IF(OR($G26="M (under 21)",$G26="Z (under 21 - deferment)"),'Input Data'!$BG$6,IF($G26="H (Apprentice under 25)",'Input Data'!$BG$7,'Input Data'!$BG$8))),0)*VLOOKUP($G26,'Input Data'!$BI$3:$BL$10,4,FALSE))))</f>
        <v>0</v>
      </c>
      <c r="AP26" s="56">
        <f>IF($G26="",0,IF(NOT(OR($G26="A - All employees not in groups B, C, J, H, M or Z",$G26="B - Married women and widows entitled to reduced NI",$G26="C - Over the State Pension age",$G26="H - Apprentice under 25",$G26="J – Deferment",$G26="M - Under 21",$G26="Z - Deferment (Under 21)",$G26="Please Enter The NI Cont. in ££££")),$G26,SUM(MAX(MIN(AH26-'Input Data'!$BG$3,'Input Data'!$BG$5-'Input Data'!$BG$3),0)*VLOOKUP($G26,'Input Data'!$BI$3:$BL$10,2,FALSE),MAX(MIN(AH26-'Input Data'!$BG$5,IF(OR($G26="M (under 21)",$G26="Z (under 21 - deferment)"),'Input Data'!$BG$6,IF($G26="H (Apprentice under 25)",'Input Data'!$BG$7,'Input Data'!$BG$8))-'Input Data'!$BG$5),0)*VLOOKUP($G26,'Input Data'!$BI$3:$BL$10,3,FALSE),MAX((AH26-IF(OR($G26="M (under 21)",$G26="Z (under 21 - deferment)"),'Input Data'!$BG$6,IF($G26="H (Apprentice under 25)",'Input Data'!$BG$7,'Input Data'!$BG$8))),0)*VLOOKUP($G26,'Input Data'!$BI$3:$BL$10,4,FALSE))))</f>
        <v>0</v>
      </c>
      <c r="AQ26" s="56">
        <f>IF($G26="",0,IF(NOT(OR($G26="A - All employees not in groups B, C, J, H, M or Z",$G26="B - Married women and widows entitled to reduced NI",$G26="C - Over the State Pension age",$G26="H - Apprentice under 25",$G26="J – Deferment",$G26="M - Under 21",$G26="Z - Deferment (Under 21)",$G26="Please Enter The NI Cont. in ££££")),$G26,SUM(MAX(MIN(AI26-'Input Data'!$BG$3,'Input Data'!$BG$5-'Input Data'!$BG$3),0)*VLOOKUP($G26,'Input Data'!$BI$3:$BL$10,2,FALSE),MAX(MIN(AI26-'Input Data'!$BG$5,IF(OR($G26="M (under 21)",$G26="Z (under 21 - deferment)"),'Input Data'!$BG$6,IF($G26="H (Apprentice under 25)",'Input Data'!$BG$7,'Input Data'!$BG$8))-'Input Data'!$BG$5),0)*VLOOKUP($G26,'Input Data'!$BI$3:$BL$10,3,FALSE),MAX((AI26-IF(OR($G26="M (under 21)",$G26="Z (under 21 - deferment)"),'Input Data'!$BG$6,IF($G26="H (Apprentice under 25)",'Input Data'!$BG$7,'Input Data'!$BG$8))),0)*VLOOKUP($G26,'Input Data'!$BI$3:$BL$10,4,FALSE))))</f>
        <v>0</v>
      </c>
      <c r="AR26" s="56">
        <f>IF($G26="",0,IF(NOT(OR($G26="A - All employees not in groups B, C, J, H, M or Z",$G26="B - Married women and widows entitled to reduced NI",$G26="C - Over the State Pension age",$G26="H - Apprentice under 25",$G26="J – Deferment",$G26="M - Under 21",$G26="Z - Deferment (Under 21)",$G26="Please Enter The NI Cont. in ££££")),$G26,SUM(MAX(MIN(AJ26-'Input Data'!$BG$3,'Input Data'!$BG$5-'Input Data'!$BG$3),0)*VLOOKUP($G26,'Input Data'!$BI$3:$BL$10,2,FALSE),MAX(MIN(AJ26-'Input Data'!$BG$5,IF(OR($G26="M (under 21)",$G26="Z (under 21 - deferment)"),'Input Data'!$BG$6,IF($G26="H (Apprentice under 25)",'Input Data'!$BG$7,'Input Data'!$BG$8))-'Input Data'!$BG$5),0)*VLOOKUP($G26,'Input Data'!$BI$3:$BL$10,3,FALSE),MAX((AJ26-IF(OR($G26="M (under 21)",$G26="Z (under 21 - deferment)"),'Input Data'!$BG$6,IF($G26="H (Apprentice under 25)",'Input Data'!$BG$7,'Input Data'!$BG$8))),0)*VLOOKUP($G26,'Input Data'!$BI$3:$BL$10,4,FALSE))))</f>
        <v>0</v>
      </c>
      <c r="AS26" s="56">
        <f>AC26*$F26</f>
        <v>0</v>
      </c>
      <c r="AT26" s="56">
        <f>AD26*$F26</f>
        <v>0</v>
      </c>
      <c r="AU26" s="56">
        <f>AE26*$F26</f>
        <v>0</v>
      </c>
      <c r="AV26" s="56">
        <f>AF26*$F26</f>
        <v>0</v>
      </c>
      <c r="AW26" s="56">
        <f>AG26*$F26</f>
        <v>0</v>
      </c>
      <c r="AX26" s="56">
        <f>AH26*$F26</f>
        <v>0</v>
      </c>
      <c r="AY26" s="56">
        <f>AI26*$F26</f>
        <v>0</v>
      </c>
      <c r="AZ26" s="56">
        <f>AJ26*$F26</f>
        <v>0</v>
      </c>
    </row>
    <row r="27" spans="1:52" ht="25.5">
      <c r="A27" s="26"/>
      <c r="B27" s="41"/>
      <c r="C27" s="57" t="s">
        <v>73</v>
      </c>
      <c r="D27" s="58"/>
      <c r="E27" s="58"/>
      <c r="F27" s="535"/>
      <c r="G27" s="693" t="s">
        <v>1149</v>
      </c>
      <c r="H27" s="65"/>
      <c r="I27" s="65"/>
      <c r="J27" s="65"/>
      <c r="K27" s="65"/>
      <c r="L27" s="65"/>
      <c r="M27" s="65"/>
      <c r="N27" s="65"/>
      <c r="O27" s="65"/>
      <c r="P27" s="29"/>
      <c r="Q27" s="597"/>
      <c r="R27" s="42"/>
      <c r="T27" s="43">
        <f>SUM(AC27,AK27,AS27)</f>
        <v>0</v>
      </c>
      <c r="U27" s="43">
        <f>SUM(AD27,AL27,AT27)</f>
        <v>0</v>
      </c>
      <c r="V27" s="43">
        <f>SUM(AE27,AM27,AU27)</f>
        <v>0</v>
      </c>
      <c r="W27" s="43">
        <f>SUM(AF27,AN27,AV27)</f>
        <v>0</v>
      </c>
      <c r="X27" s="43">
        <f>SUM(AG27,AO27,AW27)</f>
        <v>0</v>
      </c>
      <c r="Y27" s="43">
        <f>SUM(AH27,AP27,AX27)</f>
        <v>0</v>
      </c>
      <c r="Z27" s="43">
        <f>SUM(AI27,AQ27,AY27)</f>
        <v>0</v>
      </c>
      <c r="AA27" s="43">
        <f>SUM(AJ27,AR27,AZ27)</f>
        <v>0</v>
      </c>
      <c r="AC27" s="631">
        <f>SUM($D27:$E27)*H27</f>
        <v>0</v>
      </c>
      <c r="AD27" s="631">
        <f>SUM($D27:$E27)*I27</f>
        <v>0</v>
      </c>
      <c r="AE27" s="631">
        <f>SUM($D27:$E27)*J27</f>
        <v>0</v>
      </c>
      <c r="AF27" s="631">
        <f>SUM($D27:$E27)*K27</f>
        <v>0</v>
      </c>
      <c r="AG27" s="631">
        <f>SUM($D27:$E27)*L27</f>
        <v>0</v>
      </c>
      <c r="AH27" s="631">
        <f>SUM($D27:$E27)*M27</f>
        <v>0</v>
      </c>
      <c r="AI27" s="631">
        <f>SUM($D27:$E27)*N27</f>
        <v>0</v>
      </c>
      <c r="AJ27" s="631">
        <f>SUM($D27:$E27)*O27</f>
        <v>0</v>
      </c>
      <c r="AK27" s="56">
        <f>IF($G27="",0,IF(NOT(OR($G27="A - All employees not in groups B, C, J, H, M or Z",$G27="B - Married women and widows entitled to reduced NI",$G27="C - Over the State Pension age",$G27="H - Apprentice under 25",$G27="J – Deferment",$G27="M - Under 21",$G27="Z - Deferment (Under 21)",$G27="Please Enter The NI Cont. in ££££")),$G27,SUM(MAX(MIN(AC27-'Input Data'!$BG$3,'Input Data'!$BG$5-'Input Data'!$BG$3),0)*VLOOKUP($G27,'Input Data'!$BI$3:$BL$10,2,FALSE),MAX(MIN(AC27-'Input Data'!$BG$5,IF(OR($G27="M (under 21)",$G27="Z (under 21 - deferment)"),'Input Data'!$BG$6,IF($G27="H (Apprentice under 25)",'Input Data'!$BG$7,'Input Data'!$BG$8))-'Input Data'!$BG$5),0)*VLOOKUP($G27,'Input Data'!$BI$3:$BL$10,3,FALSE),MAX((AC27-IF(OR($G27="M (under 21)",$G27="Z (under 21 - deferment)"),'Input Data'!$BG$6,IF($G27="H (Apprentice under 25)",'Input Data'!$BG$7,'Input Data'!$BG$8))),0)*VLOOKUP($G27,'Input Data'!$BI$3:$BL$10,4,FALSE))))</f>
        <v>0</v>
      </c>
      <c r="AL27" s="56">
        <f>IF($G27="",0,IF(NOT(OR($G27="A - All employees not in groups B, C, J, H, M or Z",$G27="B - Married women and widows entitled to reduced NI",$G27="C - Over the State Pension age",$G27="H - Apprentice under 25",$G27="J – Deferment",$G27="M - Under 21",$G27="Z - Deferment (Under 21)",$G27="Please Enter The NI Cont. in ££££")),$G27,SUM(MAX(MIN(AD27-'Input Data'!$BG$3,'Input Data'!$BG$5-'Input Data'!$BG$3),0)*VLOOKUP($G27,'Input Data'!$BI$3:$BL$10,2,FALSE),MAX(MIN(AD27-'Input Data'!$BG$5,IF(OR($G27="M (under 21)",$G27="Z (under 21 - deferment)"),'Input Data'!$BG$6,IF($G27="H (Apprentice under 25)",'Input Data'!$BG$7,'Input Data'!$BG$8))-'Input Data'!$BG$5),0)*VLOOKUP($G27,'Input Data'!$BI$3:$BL$10,3,FALSE),MAX((AD27-IF(OR($G27="M (under 21)",$G27="Z (under 21 - deferment)"),'Input Data'!$BG$6,IF($G27="H (Apprentice under 25)",'Input Data'!$BG$7,'Input Data'!$BG$8))),0)*VLOOKUP($G27,'Input Data'!$BI$3:$BL$10,4,FALSE))))</f>
        <v>0</v>
      </c>
      <c r="AM27" s="56">
        <f>IF($G27="",0,IF(NOT(OR($G27="A - All employees not in groups B, C, J, H, M or Z",$G27="B - Married women and widows entitled to reduced NI",$G27="C - Over the State Pension age",$G27="H - Apprentice under 25",$G27="J – Deferment",$G27="M - Under 21",$G27="Z - Deferment (Under 21)",$G27="Please Enter The NI Cont. in ££££")),$G27,SUM(MAX(MIN(AE27-'Input Data'!$BG$3,'Input Data'!$BG$5-'Input Data'!$BG$3),0)*VLOOKUP($G27,'Input Data'!$BI$3:$BL$10,2,FALSE),MAX(MIN(AE27-'Input Data'!$BG$5,IF(OR($G27="M (under 21)",$G27="Z (under 21 - deferment)"),'Input Data'!$BG$6,IF($G27="H (Apprentice under 25)",'Input Data'!$BG$7,'Input Data'!$BG$8))-'Input Data'!$BG$5),0)*VLOOKUP($G27,'Input Data'!$BI$3:$BL$10,3,FALSE),MAX((AE27-IF(OR($G27="M (under 21)",$G27="Z (under 21 - deferment)"),'Input Data'!$BG$6,IF($G27="H (Apprentice under 25)",'Input Data'!$BG$7,'Input Data'!$BG$8))),0)*VLOOKUP($G27,'Input Data'!$BI$3:$BL$10,4,FALSE))))</f>
        <v>0</v>
      </c>
      <c r="AN27" s="56">
        <f>IF($G27="",0,IF(NOT(OR($G27="A - All employees not in groups B, C, J, H, M or Z",$G27="B - Married women and widows entitled to reduced NI",$G27="C - Over the State Pension age",$G27="H - Apprentice under 25",$G27="J – Deferment",$G27="M - Under 21",$G27="Z - Deferment (Under 21)",$G27="Please Enter The NI Cont. in ££££")),$G27,SUM(MAX(MIN(AF27-'Input Data'!$BG$3,'Input Data'!$BG$5-'Input Data'!$BG$3),0)*VLOOKUP($G27,'Input Data'!$BI$3:$BL$10,2,FALSE),MAX(MIN(AF27-'Input Data'!$BG$5,IF(OR($G27="M (under 21)",$G27="Z (under 21 - deferment)"),'Input Data'!$BG$6,IF($G27="H (Apprentice under 25)",'Input Data'!$BG$7,'Input Data'!$BG$8))-'Input Data'!$BG$5),0)*VLOOKUP($G27,'Input Data'!$BI$3:$BL$10,3,FALSE),MAX((AF27-IF(OR($G27="M (under 21)",$G27="Z (under 21 - deferment)"),'Input Data'!$BG$6,IF($G27="H (Apprentice under 25)",'Input Data'!$BG$7,'Input Data'!$BG$8))),0)*VLOOKUP($G27,'Input Data'!$BI$3:$BL$10,4,FALSE))))</f>
        <v>0</v>
      </c>
      <c r="AO27" s="56">
        <f>IF($G27="",0,IF(NOT(OR($G27="A - All employees not in groups B, C, J, H, M or Z",$G27="B - Married women and widows entitled to reduced NI",$G27="C - Over the State Pension age",$G27="H - Apprentice under 25",$G27="J – Deferment",$G27="M - Under 21",$G27="Z - Deferment (Under 21)",$G27="Please Enter The NI Cont. in ££££")),$G27,SUM(MAX(MIN(AG27-'Input Data'!$BG$3,'Input Data'!$BG$5-'Input Data'!$BG$3),0)*VLOOKUP($G27,'Input Data'!$BI$3:$BL$10,2,FALSE),MAX(MIN(AG27-'Input Data'!$BG$5,IF(OR($G27="M (under 21)",$G27="Z (under 21 - deferment)"),'Input Data'!$BG$6,IF($G27="H (Apprentice under 25)",'Input Data'!$BG$7,'Input Data'!$BG$8))-'Input Data'!$BG$5),0)*VLOOKUP($G27,'Input Data'!$BI$3:$BL$10,3,FALSE),MAX((AG27-IF(OR($G27="M (under 21)",$G27="Z (under 21 - deferment)"),'Input Data'!$BG$6,IF($G27="H (Apprentice under 25)",'Input Data'!$BG$7,'Input Data'!$BG$8))),0)*VLOOKUP($G27,'Input Data'!$BI$3:$BL$10,4,FALSE))))</f>
        <v>0</v>
      </c>
      <c r="AP27" s="56">
        <f>IF($G27="",0,IF(NOT(OR($G27="A - All employees not in groups B, C, J, H, M or Z",$G27="B - Married women and widows entitled to reduced NI",$G27="C - Over the State Pension age",$G27="H - Apprentice under 25",$G27="J – Deferment",$G27="M - Under 21",$G27="Z - Deferment (Under 21)",$G27="Please Enter The NI Cont. in ££££")),$G27,SUM(MAX(MIN(AH27-'Input Data'!$BG$3,'Input Data'!$BG$5-'Input Data'!$BG$3),0)*VLOOKUP($G27,'Input Data'!$BI$3:$BL$10,2,FALSE),MAX(MIN(AH27-'Input Data'!$BG$5,IF(OR($G27="M (under 21)",$G27="Z (under 21 - deferment)"),'Input Data'!$BG$6,IF($G27="H (Apprentice under 25)",'Input Data'!$BG$7,'Input Data'!$BG$8))-'Input Data'!$BG$5),0)*VLOOKUP($G27,'Input Data'!$BI$3:$BL$10,3,FALSE),MAX((AH27-IF(OR($G27="M (under 21)",$G27="Z (under 21 - deferment)"),'Input Data'!$BG$6,IF($G27="H (Apprentice under 25)",'Input Data'!$BG$7,'Input Data'!$BG$8))),0)*VLOOKUP($G27,'Input Data'!$BI$3:$BL$10,4,FALSE))))</f>
        <v>0</v>
      </c>
      <c r="AQ27" s="56">
        <f>IF($G27="",0,IF(NOT(OR($G27="A - All employees not in groups B, C, J, H, M or Z",$G27="B - Married women and widows entitled to reduced NI",$G27="C - Over the State Pension age",$G27="H - Apprentice under 25",$G27="J – Deferment",$G27="M - Under 21",$G27="Z - Deferment (Under 21)",$G27="Please Enter The NI Cont. in ££££")),$G27,SUM(MAX(MIN(AI27-'Input Data'!$BG$3,'Input Data'!$BG$5-'Input Data'!$BG$3),0)*VLOOKUP($G27,'Input Data'!$BI$3:$BL$10,2,FALSE),MAX(MIN(AI27-'Input Data'!$BG$5,IF(OR($G27="M (under 21)",$G27="Z (under 21 - deferment)"),'Input Data'!$BG$6,IF($G27="H (Apprentice under 25)",'Input Data'!$BG$7,'Input Data'!$BG$8))-'Input Data'!$BG$5),0)*VLOOKUP($G27,'Input Data'!$BI$3:$BL$10,3,FALSE),MAX((AI27-IF(OR($G27="M (under 21)",$G27="Z (under 21 - deferment)"),'Input Data'!$BG$6,IF($G27="H (Apprentice under 25)",'Input Data'!$BG$7,'Input Data'!$BG$8))),0)*VLOOKUP($G27,'Input Data'!$BI$3:$BL$10,4,FALSE))))</f>
        <v>0</v>
      </c>
      <c r="AR27" s="56">
        <f>IF($G27="",0,IF(NOT(OR($G27="A - All employees not in groups B, C, J, H, M or Z",$G27="B - Married women and widows entitled to reduced NI",$G27="C - Over the State Pension age",$G27="H - Apprentice under 25",$G27="J – Deferment",$G27="M - Under 21",$G27="Z - Deferment (Under 21)",$G27="Please Enter The NI Cont. in ££££")),$G27,SUM(MAX(MIN(AJ27-'Input Data'!$BG$3,'Input Data'!$BG$5-'Input Data'!$BG$3),0)*VLOOKUP($G27,'Input Data'!$BI$3:$BL$10,2,FALSE),MAX(MIN(AJ27-'Input Data'!$BG$5,IF(OR($G27="M (under 21)",$G27="Z (under 21 - deferment)"),'Input Data'!$BG$6,IF($G27="H (Apprentice under 25)",'Input Data'!$BG$7,'Input Data'!$BG$8))-'Input Data'!$BG$5),0)*VLOOKUP($G27,'Input Data'!$BI$3:$BL$10,3,FALSE),MAX((AJ27-IF(OR($G27="M (under 21)",$G27="Z (under 21 - deferment)"),'Input Data'!$BG$6,IF($G27="H (Apprentice under 25)",'Input Data'!$BG$7,'Input Data'!$BG$8))),0)*VLOOKUP($G27,'Input Data'!$BI$3:$BL$10,4,FALSE))))</f>
        <v>0</v>
      </c>
      <c r="AS27" s="56">
        <f>AC27*$F27</f>
        <v>0</v>
      </c>
      <c r="AT27" s="56">
        <f>AD27*$F27</f>
        <v>0</v>
      </c>
      <c r="AU27" s="56">
        <f>AE27*$F27</f>
        <v>0</v>
      </c>
      <c r="AV27" s="56">
        <f>AF27*$F27</f>
        <v>0</v>
      </c>
      <c r="AW27" s="56">
        <f>AG27*$F27</f>
        <v>0</v>
      </c>
      <c r="AX27" s="56">
        <f>AH27*$F27</f>
        <v>0</v>
      </c>
      <c r="AY27" s="56">
        <f>AI27*$F27</f>
        <v>0</v>
      </c>
      <c r="AZ27" s="56">
        <f>AJ27*$F27</f>
        <v>0</v>
      </c>
    </row>
    <row r="28" spans="1:52" ht="25.5">
      <c r="A28" s="26"/>
      <c r="B28" s="41"/>
      <c r="C28" s="57" t="s">
        <v>74</v>
      </c>
      <c r="D28" s="58"/>
      <c r="E28" s="58"/>
      <c r="F28" s="535"/>
      <c r="G28" s="693" t="s">
        <v>1149</v>
      </c>
      <c r="H28" s="65"/>
      <c r="I28" s="65"/>
      <c r="J28" s="65"/>
      <c r="K28" s="65"/>
      <c r="L28" s="65"/>
      <c r="M28" s="65"/>
      <c r="N28" s="65"/>
      <c r="O28" s="65"/>
      <c r="P28" s="29"/>
      <c r="Q28" s="597"/>
      <c r="R28" s="42"/>
      <c r="T28" s="43">
        <f>SUM(AC28,AK28,AS28)</f>
        <v>0</v>
      </c>
      <c r="U28" s="43">
        <f>SUM(AD28,AL28,AT28)</f>
        <v>0</v>
      </c>
      <c r="V28" s="43">
        <f>SUM(AE28,AM28,AU28)</f>
        <v>0</v>
      </c>
      <c r="W28" s="43">
        <f>SUM(AF28,AN28,AV28)</f>
        <v>0</v>
      </c>
      <c r="X28" s="43">
        <f>SUM(AG28,AO28,AW28)</f>
        <v>0</v>
      </c>
      <c r="Y28" s="43">
        <f>SUM(AH28,AP28,AX28)</f>
        <v>0</v>
      </c>
      <c r="Z28" s="43">
        <f>SUM(AI28,AQ28,AY28)</f>
        <v>0</v>
      </c>
      <c r="AA28" s="43">
        <f>SUM(AJ28,AR28,AZ28)</f>
        <v>0</v>
      </c>
      <c r="AC28" s="631">
        <f>SUM($D28:$E28)*H28</f>
        <v>0</v>
      </c>
      <c r="AD28" s="631">
        <f>SUM($D28:$E28)*I28</f>
        <v>0</v>
      </c>
      <c r="AE28" s="631">
        <f>SUM($D28:$E28)*J28</f>
        <v>0</v>
      </c>
      <c r="AF28" s="631">
        <f>SUM($D28:$E28)*K28</f>
        <v>0</v>
      </c>
      <c r="AG28" s="631">
        <f>SUM($D28:$E28)*L28</f>
        <v>0</v>
      </c>
      <c r="AH28" s="631">
        <f>SUM($D28:$E28)*M28</f>
        <v>0</v>
      </c>
      <c r="AI28" s="631">
        <f>SUM($D28:$E28)*N28</f>
        <v>0</v>
      </c>
      <c r="AJ28" s="631">
        <f>SUM($D28:$E28)*O28</f>
        <v>0</v>
      </c>
      <c r="AK28" s="56">
        <f>IF($G28="",0,IF(NOT(OR($G28="A - All employees not in groups B, C, J, H, M or Z",$G28="B - Married women and widows entitled to reduced NI",$G28="C - Over the State Pension age",$G28="H - Apprentice under 25",$G28="J – Deferment",$G28="M - Under 21",$G28="Z - Deferment (Under 21)",$G28="Please Enter The NI Cont. in ££££")),$G28,SUM(MAX(MIN(AC28-'Input Data'!$BG$3,'Input Data'!$BG$5-'Input Data'!$BG$3),0)*VLOOKUP($G28,'Input Data'!$BI$3:$BL$10,2,FALSE),MAX(MIN(AC28-'Input Data'!$BG$5,IF(OR($G28="M (under 21)",$G28="Z (under 21 - deferment)"),'Input Data'!$BG$6,IF($G28="H (Apprentice under 25)",'Input Data'!$BG$7,'Input Data'!$BG$8))-'Input Data'!$BG$5),0)*VLOOKUP($G28,'Input Data'!$BI$3:$BL$10,3,FALSE),MAX((AC28-IF(OR($G28="M (under 21)",$G28="Z (under 21 - deferment)"),'Input Data'!$BG$6,IF($G28="H (Apprentice under 25)",'Input Data'!$BG$7,'Input Data'!$BG$8))),0)*VLOOKUP($G28,'Input Data'!$BI$3:$BL$10,4,FALSE))))</f>
        <v>0</v>
      </c>
      <c r="AL28" s="56">
        <f>IF($G28="",0,IF(NOT(OR($G28="A - All employees not in groups B, C, J, H, M or Z",$G28="B - Married women and widows entitled to reduced NI",$G28="C - Over the State Pension age",$G28="H - Apprentice under 25",$G28="J – Deferment",$G28="M - Under 21",$G28="Z - Deferment (Under 21)",$G28="Please Enter The NI Cont. in ££££")),$G28,SUM(MAX(MIN(AD28-'Input Data'!$BG$3,'Input Data'!$BG$5-'Input Data'!$BG$3),0)*VLOOKUP($G28,'Input Data'!$BI$3:$BL$10,2,FALSE),MAX(MIN(AD28-'Input Data'!$BG$5,IF(OR($G28="M (under 21)",$G28="Z (under 21 - deferment)"),'Input Data'!$BG$6,IF($G28="H (Apprentice under 25)",'Input Data'!$BG$7,'Input Data'!$BG$8))-'Input Data'!$BG$5),0)*VLOOKUP($G28,'Input Data'!$BI$3:$BL$10,3,FALSE),MAX((AD28-IF(OR($G28="M (under 21)",$G28="Z (under 21 - deferment)"),'Input Data'!$BG$6,IF($G28="H (Apprentice under 25)",'Input Data'!$BG$7,'Input Data'!$BG$8))),0)*VLOOKUP($G28,'Input Data'!$BI$3:$BL$10,4,FALSE))))</f>
        <v>0</v>
      </c>
      <c r="AM28" s="56">
        <f>IF($G28="",0,IF(NOT(OR($G28="A - All employees not in groups B, C, J, H, M or Z",$G28="B - Married women and widows entitled to reduced NI",$G28="C - Over the State Pension age",$G28="H - Apprentice under 25",$G28="J – Deferment",$G28="M - Under 21",$G28="Z - Deferment (Under 21)",$G28="Please Enter The NI Cont. in ££££")),$G28,SUM(MAX(MIN(AE28-'Input Data'!$BG$3,'Input Data'!$BG$5-'Input Data'!$BG$3),0)*VLOOKUP($G28,'Input Data'!$BI$3:$BL$10,2,FALSE),MAX(MIN(AE28-'Input Data'!$BG$5,IF(OR($G28="M (under 21)",$G28="Z (under 21 - deferment)"),'Input Data'!$BG$6,IF($G28="H (Apprentice under 25)",'Input Data'!$BG$7,'Input Data'!$BG$8))-'Input Data'!$BG$5),0)*VLOOKUP($G28,'Input Data'!$BI$3:$BL$10,3,FALSE),MAX((AE28-IF(OR($G28="M (under 21)",$G28="Z (under 21 - deferment)"),'Input Data'!$BG$6,IF($G28="H (Apprentice under 25)",'Input Data'!$BG$7,'Input Data'!$BG$8))),0)*VLOOKUP($G28,'Input Data'!$BI$3:$BL$10,4,FALSE))))</f>
        <v>0</v>
      </c>
      <c r="AN28" s="56">
        <f>IF($G28="",0,IF(NOT(OR($G28="A - All employees not in groups B, C, J, H, M or Z",$G28="B - Married women and widows entitled to reduced NI",$G28="C - Over the State Pension age",$G28="H - Apprentice under 25",$G28="J – Deferment",$G28="M - Under 21",$G28="Z - Deferment (Under 21)",$G28="Please Enter The NI Cont. in ££££")),$G28,SUM(MAX(MIN(AF28-'Input Data'!$BG$3,'Input Data'!$BG$5-'Input Data'!$BG$3),0)*VLOOKUP($G28,'Input Data'!$BI$3:$BL$10,2,FALSE),MAX(MIN(AF28-'Input Data'!$BG$5,IF(OR($G28="M (under 21)",$G28="Z (under 21 - deferment)"),'Input Data'!$BG$6,IF($G28="H (Apprentice under 25)",'Input Data'!$BG$7,'Input Data'!$BG$8))-'Input Data'!$BG$5),0)*VLOOKUP($G28,'Input Data'!$BI$3:$BL$10,3,FALSE),MAX((AF28-IF(OR($G28="M (under 21)",$G28="Z (under 21 - deferment)"),'Input Data'!$BG$6,IF($G28="H (Apprentice under 25)",'Input Data'!$BG$7,'Input Data'!$BG$8))),0)*VLOOKUP($G28,'Input Data'!$BI$3:$BL$10,4,FALSE))))</f>
        <v>0</v>
      </c>
      <c r="AO28" s="56">
        <f>IF($G28="",0,IF(NOT(OR($G28="A - All employees not in groups B, C, J, H, M or Z",$G28="B - Married women and widows entitled to reduced NI",$G28="C - Over the State Pension age",$G28="H - Apprentice under 25",$G28="J – Deferment",$G28="M - Under 21",$G28="Z - Deferment (Under 21)",$G28="Please Enter The NI Cont. in ££££")),$G28,SUM(MAX(MIN(AG28-'Input Data'!$BG$3,'Input Data'!$BG$5-'Input Data'!$BG$3),0)*VLOOKUP($G28,'Input Data'!$BI$3:$BL$10,2,FALSE),MAX(MIN(AG28-'Input Data'!$BG$5,IF(OR($G28="M (under 21)",$G28="Z (under 21 - deferment)"),'Input Data'!$BG$6,IF($G28="H (Apprentice under 25)",'Input Data'!$BG$7,'Input Data'!$BG$8))-'Input Data'!$BG$5),0)*VLOOKUP($G28,'Input Data'!$BI$3:$BL$10,3,FALSE),MAX((AG28-IF(OR($G28="M (under 21)",$G28="Z (under 21 - deferment)"),'Input Data'!$BG$6,IF($G28="H (Apprentice under 25)",'Input Data'!$BG$7,'Input Data'!$BG$8))),0)*VLOOKUP($G28,'Input Data'!$BI$3:$BL$10,4,FALSE))))</f>
        <v>0</v>
      </c>
      <c r="AP28" s="56">
        <f>IF($G28="",0,IF(NOT(OR($G28="A - All employees not in groups B, C, J, H, M or Z",$G28="B - Married women and widows entitled to reduced NI",$G28="C - Over the State Pension age",$G28="H - Apprentice under 25",$G28="J – Deferment",$G28="M - Under 21",$G28="Z - Deferment (Under 21)",$G28="Please Enter The NI Cont. in ££££")),$G28,SUM(MAX(MIN(AH28-'Input Data'!$BG$3,'Input Data'!$BG$5-'Input Data'!$BG$3),0)*VLOOKUP($G28,'Input Data'!$BI$3:$BL$10,2,FALSE),MAX(MIN(AH28-'Input Data'!$BG$5,IF(OR($G28="M (under 21)",$G28="Z (under 21 - deferment)"),'Input Data'!$BG$6,IF($G28="H (Apprentice under 25)",'Input Data'!$BG$7,'Input Data'!$BG$8))-'Input Data'!$BG$5),0)*VLOOKUP($G28,'Input Data'!$BI$3:$BL$10,3,FALSE),MAX((AH28-IF(OR($G28="M (under 21)",$G28="Z (under 21 - deferment)"),'Input Data'!$BG$6,IF($G28="H (Apprentice under 25)",'Input Data'!$BG$7,'Input Data'!$BG$8))),0)*VLOOKUP($G28,'Input Data'!$BI$3:$BL$10,4,FALSE))))</f>
        <v>0</v>
      </c>
      <c r="AQ28" s="56">
        <f>IF($G28="",0,IF(NOT(OR($G28="A - All employees not in groups B, C, J, H, M or Z",$G28="B - Married women and widows entitled to reduced NI",$G28="C - Over the State Pension age",$G28="H - Apprentice under 25",$G28="J – Deferment",$G28="M - Under 21",$G28="Z - Deferment (Under 21)",$G28="Please Enter The NI Cont. in ££££")),$G28,SUM(MAX(MIN(AI28-'Input Data'!$BG$3,'Input Data'!$BG$5-'Input Data'!$BG$3),0)*VLOOKUP($G28,'Input Data'!$BI$3:$BL$10,2,FALSE),MAX(MIN(AI28-'Input Data'!$BG$5,IF(OR($G28="M (under 21)",$G28="Z (under 21 - deferment)"),'Input Data'!$BG$6,IF($G28="H (Apprentice under 25)",'Input Data'!$BG$7,'Input Data'!$BG$8))-'Input Data'!$BG$5),0)*VLOOKUP($G28,'Input Data'!$BI$3:$BL$10,3,FALSE),MAX((AI28-IF(OR($G28="M (under 21)",$G28="Z (under 21 - deferment)"),'Input Data'!$BG$6,IF($G28="H (Apprentice under 25)",'Input Data'!$BG$7,'Input Data'!$BG$8))),0)*VLOOKUP($G28,'Input Data'!$BI$3:$BL$10,4,FALSE))))</f>
        <v>0</v>
      </c>
      <c r="AR28" s="56">
        <f>IF($G28="",0,IF(NOT(OR($G28="A - All employees not in groups B, C, J, H, M or Z",$G28="B - Married women and widows entitled to reduced NI",$G28="C - Over the State Pension age",$G28="H - Apprentice under 25",$G28="J – Deferment",$G28="M - Under 21",$G28="Z - Deferment (Under 21)",$G28="Please Enter The NI Cont. in ££££")),$G28,SUM(MAX(MIN(AJ28-'Input Data'!$BG$3,'Input Data'!$BG$5-'Input Data'!$BG$3),0)*VLOOKUP($G28,'Input Data'!$BI$3:$BL$10,2,FALSE),MAX(MIN(AJ28-'Input Data'!$BG$5,IF(OR($G28="M (under 21)",$G28="Z (under 21 - deferment)"),'Input Data'!$BG$6,IF($G28="H (Apprentice under 25)",'Input Data'!$BG$7,'Input Data'!$BG$8))-'Input Data'!$BG$5),0)*VLOOKUP($G28,'Input Data'!$BI$3:$BL$10,3,FALSE),MAX((AJ28-IF(OR($G28="M (under 21)",$G28="Z (under 21 - deferment)"),'Input Data'!$BG$6,IF($G28="H (Apprentice under 25)",'Input Data'!$BG$7,'Input Data'!$BG$8))),0)*VLOOKUP($G28,'Input Data'!$BI$3:$BL$10,4,FALSE))))</f>
        <v>0</v>
      </c>
      <c r="AS28" s="56">
        <f>AC28*$F28</f>
        <v>0</v>
      </c>
      <c r="AT28" s="56">
        <f>AD28*$F28</f>
        <v>0</v>
      </c>
      <c r="AU28" s="56">
        <f>AE28*$F28</f>
        <v>0</v>
      </c>
      <c r="AV28" s="56">
        <f>AF28*$F28</f>
        <v>0</v>
      </c>
      <c r="AW28" s="56">
        <f>AG28*$F28</f>
        <v>0</v>
      </c>
      <c r="AX28" s="56">
        <f>AH28*$F28</f>
        <v>0</v>
      </c>
      <c r="AY28" s="56">
        <f>AI28*$F28</f>
        <v>0</v>
      </c>
      <c r="AZ28" s="56">
        <f>AJ28*$F28</f>
        <v>0</v>
      </c>
    </row>
    <row r="29" spans="2:52" ht="15">
      <c r="B29" s="60"/>
      <c r="C29" s="33"/>
      <c r="D29" s="33"/>
      <c r="E29" s="33"/>
      <c r="F29" s="33"/>
      <c r="G29" s="34"/>
      <c r="H29" s="53"/>
      <c r="I29" s="53"/>
      <c r="J29" s="53"/>
      <c r="K29" s="53"/>
      <c r="L29" s="53"/>
      <c r="M29" s="53"/>
      <c r="N29" s="53"/>
      <c r="O29" s="53"/>
      <c r="P29" s="26"/>
      <c r="Q29" s="33"/>
      <c r="R29" s="61"/>
      <c r="T29"/>
      <c r="U29"/>
      <c r="V29"/>
      <c r="W29"/>
      <c r="X29"/>
      <c r="Y29"/>
      <c r="Z29"/>
      <c r="AA29"/>
      <c r="AB29"/>
      <c r="AC29"/>
      <c r="AD29"/>
      <c r="AE29"/>
      <c r="AF29"/>
      <c r="AG29"/>
      <c r="AH29"/>
      <c r="AI29"/>
      <c r="AJ29"/>
      <c r="AK29" s="56"/>
      <c r="AL29" s="56"/>
      <c r="AM29" s="56"/>
      <c r="AN29" s="56"/>
      <c r="AO29" s="56"/>
      <c r="AP29" s="56"/>
      <c r="AQ29" s="56"/>
      <c r="AR29" s="56"/>
      <c r="AS29"/>
      <c r="AT29"/>
      <c r="AU29"/>
      <c r="AV29"/>
      <c r="AW29"/>
      <c r="AX29"/>
      <c r="AY29"/>
      <c r="AZ29"/>
    </row>
    <row r="30" spans="2:52" s="64" customFormat="1" ht="15">
      <c r="B30" s="62"/>
      <c r="C30" s="33"/>
      <c r="D30" s="33"/>
      <c r="E30" s="33"/>
      <c r="F30" s="33"/>
      <c r="G30" s="35" t="s">
        <v>1142</v>
      </c>
      <c r="H30" s="53"/>
      <c r="I30" s="53"/>
      <c r="J30" s="53"/>
      <c r="K30" s="53"/>
      <c r="L30" s="53"/>
      <c r="M30" s="53"/>
      <c r="N30" s="53"/>
      <c r="O30" s="53"/>
      <c r="P30" s="26"/>
      <c r="Q30" s="33"/>
      <c r="R30" s="63"/>
      <c r="T30"/>
      <c r="U30"/>
      <c r="V30"/>
      <c r="W30"/>
      <c r="X30"/>
      <c r="Y30"/>
      <c r="Z30"/>
      <c r="AA30"/>
      <c r="AB30"/>
      <c r="AC30"/>
      <c r="AD30"/>
      <c r="AE30"/>
      <c r="AF30"/>
      <c r="AG30"/>
      <c r="AH30"/>
      <c r="AI30"/>
      <c r="AJ30"/>
      <c r="AK30" s="56"/>
      <c r="AL30" s="56"/>
      <c r="AM30" s="56"/>
      <c r="AN30" s="56"/>
      <c r="AO30" s="56"/>
      <c r="AP30" s="56"/>
      <c r="AQ30" s="56"/>
      <c r="AR30" s="56"/>
      <c r="AS30"/>
      <c r="AT30"/>
      <c r="AU30"/>
      <c r="AV30"/>
      <c r="AW30"/>
      <c r="AX30"/>
      <c r="AY30"/>
      <c r="AZ30"/>
    </row>
    <row r="31" spans="2:52" ht="15">
      <c r="B31" s="60"/>
      <c r="C31" s="33" t="s">
        <v>85</v>
      </c>
      <c r="D31" s="33"/>
      <c r="E31" s="33"/>
      <c r="F31" s="33"/>
      <c r="G31" s="34"/>
      <c r="H31" s="53"/>
      <c r="I31" s="53"/>
      <c r="J31" s="53"/>
      <c r="K31" s="53"/>
      <c r="L31" s="53"/>
      <c r="M31" s="53"/>
      <c r="N31" s="53"/>
      <c r="O31" s="53"/>
      <c r="P31" s="26"/>
      <c r="Q31" s="33"/>
      <c r="R31" s="61"/>
      <c r="T31"/>
      <c r="U31"/>
      <c r="V31"/>
      <c r="W31"/>
      <c r="X31"/>
      <c r="Y31"/>
      <c r="Z31"/>
      <c r="AA31"/>
      <c r="AB31"/>
      <c r="AC31"/>
      <c r="AD31"/>
      <c r="AE31"/>
      <c r="AF31"/>
      <c r="AG31"/>
      <c r="AH31"/>
      <c r="AI31"/>
      <c r="AJ31"/>
      <c r="AK31" s="56"/>
      <c r="AL31" s="56"/>
      <c r="AM31" s="56"/>
      <c r="AN31" s="56"/>
      <c r="AO31" s="56"/>
      <c r="AP31" s="56"/>
      <c r="AQ31" s="56"/>
      <c r="AR31" s="56"/>
      <c r="AS31"/>
      <c r="AT31"/>
      <c r="AU31"/>
      <c r="AV31"/>
      <c r="AW31"/>
      <c r="AX31"/>
      <c r="AY31"/>
      <c r="AZ31"/>
    </row>
    <row r="32" spans="2:52" ht="25.5">
      <c r="B32" s="60"/>
      <c r="C32" s="57" t="s">
        <v>65</v>
      </c>
      <c r="D32" s="58"/>
      <c r="E32" s="58"/>
      <c r="F32" s="535"/>
      <c r="G32" s="693" t="s">
        <v>1149</v>
      </c>
      <c r="H32" s="65"/>
      <c r="I32" s="65"/>
      <c r="J32" s="65"/>
      <c r="K32" s="65"/>
      <c r="L32" s="65"/>
      <c r="M32" s="65"/>
      <c r="N32" s="65"/>
      <c r="O32" s="65"/>
      <c r="P32" s="29"/>
      <c r="Q32" s="597"/>
      <c r="R32" s="61"/>
      <c r="T32" s="43">
        <f>SUM(AC32,AK32,AS32)</f>
        <v>0</v>
      </c>
      <c r="U32" s="43">
        <f>SUM(AD32,AL32,AT32)</f>
        <v>0</v>
      </c>
      <c r="V32" s="43">
        <f>SUM(AE32,AM32,AU32)</f>
        <v>0</v>
      </c>
      <c r="W32" s="43">
        <f>SUM(AF32,AN32,AV32)</f>
        <v>0</v>
      </c>
      <c r="X32" s="43">
        <f>SUM(AG32,AO32,AW32)</f>
        <v>0</v>
      </c>
      <c r="Y32" s="43">
        <f>SUM(AH32,AP32,AX32)</f>
        <v>0</v>
      </c>
      <c r="Z32" s="43">
        <f>SUM(AI32,AQ32,AY32)</f>
        <v>0</v>
      </c>
      <c r="AA32" s="43">
        <f>SUM(AJ32,AR32,AZ32)</f>
        <v>0</v>
      </c>
      <c r="AC32" s="631">
        <f>SUM($D32:$E32)*H32</f>
        <v>0</v>
      </c>
      <c r="AD32" s="631">
        <f>SUM($D32:$E32)*I32</f>
        <v>0</v>
      </c>
      <c r="AE32" s="631">
        <f>SUM($D32:$E32)*J32</f>
        <v>0</v>
      </c>
      <c r="AF32" s="631">
        <f>SUM($D32:$E32)*K32</f>
        <v>0</v>
      </c>
      <c r="AG32" s="631">
        <f>SUM($D32:$E32)*L32</f>
        <v>0</v>
      </c>
      <c r="AH32" s="631">
        <f>SUM($D32:$E32)*M32</f>
        <v>0</v>
      </c>
      <c r="AI32" s="631">
        <f>SUM($D32:$E32)*N32</f>
        <v>0</v>
      </c>
      <c r="AJ32" s="631">
        <f>SUM($D32:$E32)*O32</f>
        <v>0</v>
      </c>
      <c r="AK32" s="56">
        <f>IF($G32="",0,IF(NOT(OR($G32="A - All employees not in groups B, C, J, H, M or Z",$G32="B - Married women and widows entitled to reduced NI",$G32="C - Over the State Pension age",$G32="H - Apprentice under 25",$G32="J – Deferment",$G32="M - Under 21",$G32="Z - Deferment (Under 21)",$G32="Please Enter The NI Cont. in ££££")),$G32,SUM(MAX(MIN(AC32-'Input Data'!$BG$3,'Input Data'!$BG$5-'Input Data'!$BG$3),0)*VLOOKUP($G32,'Input Data'!$BI$3:$BL$10,2,FALSE),MAX(MIN(AC32-'Input Data'!$BG$5,IF(OR($G32="M (under 21)",$G32="Z (under 21 - deferment)"),'Input Data'!$BG$6,IF($G32="H (Apprentice under 25)",'Input Data'!$BG$7,'Input Data'!$BG$8))-'Input Data'!$BG$5),0)*VLOOKUP($G32,'Input Data'!$BI$3:$BL$10,3,FALSE),MAX((AC32-IF(OR($G32="M (under 21)",$G32="Z (under 21 - deferment)"),'Input Data'!$BG$6,IF($G32="H (Apprentice under 25)",'Input Data'!$BG$7,'Input Data'!$BG$8))),0)*VLOOKUP($G32,'Input Data'!$BI$3:$BL$10,4,FALSE))))</f>
        <v>0</v>
      </c>
      <c r="AL32" s="56">
        <f>IF($G32="",0,IF(NOT(OR($G32="A - All employees not in groups B, C, J, H, M or Z",$G32="B - Married women and widows entitled to reduced NI",$G32="C - Over the State Pension age",$G32="H - Apprentice under 25",$G32="J – Deferment",$G32="M - Under 21",$G32="Z - Deferment (Under 21)",$G32="Please Enter The NI Cont. in ££££")),$G32,SUM(MAX(MIN(AD32-'Input Data'!$BG$3,'Input Data'!$BG$5-'Input Data'!$BG$3),0)*VLOOKUP($G32,'Input Data'!$BI$3:$BL$10,2,FALSE),MAX(MIN(AD32-'Input Data'!$BG$5,IF(OR($G32="M (under 21)",$G32="Z (under 21 - deferment)"),'Input Data'!$BG$6,IF($G32="H (Apprentice under 25)",'Input Data'!$BG$7,'Input Data'!$BG$8))-'Input Data'!$BG$5),0)*VLOOKUP($G32,'Input Data'!$BI$3:$BL$10,3,FALSE),MAX((AD32-IF(OR($G32="M (under 21)",$G32="Z (under 21 - deferment)"),'Input Data'!$BG$6,IF($G32="H (Apprentice under 25)",'Input Data'!$BG$7,'Input Data'!$BG$8))),0)*VLOOKUP($G32,'Input Data'!$BI$3:$BL$10,4,FALSE))))</f>
        <v>0</v>
      </c>
      <c r="AM32" s="56">
        <f>IF($G32="",0,IF(NOT(OR($G32="A - All employees not in groups B, C, J, H, M or Z",$G32="B - Married women and widows entitled to reduced NI",$G32="C - Over the State Pension age",$G32="H - Apprentice under 25",$G32="J – Deferment",$G32="M - Under 21",$G32="Z - Deferment (Under 21)",$G32="Please Enter The NI Cont. in ££££")),$G32,SUM(MAX(MIN(AE32-'Input Data'!$BG$3,'Input Data'!$BG$5-'Input Data'!$BG$3),0)*VLOOKUP($G32,'Input Data'!$BI$3:$BL$10,2,FALSE),MAX(MIN(AE32-'Input Data'!$BG$5,IF(OR($G32="M (under 21)",$G32="Z (under 21 - deferment)"),'Input Data'!$BG$6,IF($G32="H (Apprentice under 25)",'Input Data'!$BG$7,'Input Data'!$BG$8))-'Input Data'!$BG$5),0)*VLOOKUP($G32,'Input Data'!$BI$3:$BL$10,3,FALSE),MAX((AE32-IF(OR($G32="M (under 21)",$G32="Z (under 21 - deferment)"),'Input Data'!$BG$6,IF($G32="H (Apprentice under 25)",'Input Data'!$BG$7,'Input Data'!$BG$8))),0)*VLOOKUP($G32,'Input Data'!$BI$3:$BL$10,4,FALSE))))</f>
        <v>0</v>
      </c>
      <c r="AN32" s="56">
        <f>IF($G32="",0,IF(NOT(OR($G32="A - All employees not in groups B, C, J, H, M or Z",$G32="B - Married women and widows entitled to reduced NI",$G32="C - Over the State Pension age",$G32="H - Apprentice under 25",$G32="J – Deferment",$G32="M - Under 21",$G32="Z - Deferment (Under 21)",$G32="Please Enter The NI Cont. in ££££")),$G32,SUM(MAX(MIN(AF32-'Input Data'!$BG$3,'Input Data'!$BG$5-'Input Data'!$BG$3),0)*VLOOKUP($G32,'Input Data'!$BI$3:$BL$10,2,FALSE),MAX(MIN(AF32-'Input Data'!$BG$5,IF(OR($G32="M (under 21)",$G32="Z (under 21 - deferment)"),'Input Data'!$BG$6,IF($G32="H (Apprentice under 25)",'Input Data'!$BG$7,'Input Data'!$BG$8))-'Input Data'!$BG$5),0)*VLOOKUP($G32,'Input Data'!$BI$3:$BL$10,3,FALSE),MAX((AF32-IF(OR($G32="M (under 21)",$G32="Z (under 21 - deferment)"),'Input Data'!$BG$6,IF($G32="H (Apprentice under 25)",'Input Data'!$BG$7,'Input Data'!$BG$8))),0)*VLOOKUP($G32,'Input Data'!$BI$3:$BL$10,4,FALSE))))</f>
        <v>0</v>
      </c>
      <c r="AO32" s="56">
        <f>IF($G32="",0,IF(NOT(OR($G32="A - All employees not in groups B, C, J, H, M or Z",$G32="B - Married women and widows entitled to reduced NI",$G32="C - Over the State Pension age",$G32="H - Apprentice under 25",$G32="J – Deferment",$G32="M - Under 21",$G32="Z - Deferment (Under 21)",$G32="Please Enter The NI Cont. in ££££")),$G32,SUM(MAX(MIN(AG32-'Input Data'!$BG$3,'Input Data'!$BG$5-'Input Data'!$BG$3),0)*VLOOKUP($G32,'Input Data'!$BI$3:$BL$10,2,FALSE),MAX(MIN(AG32-'Input Data'!$BG$5,IF(OR($G32="M (under 21)",$G32="Z (under 21 - deferment)"),'Input Data'!$BG$6,IF($G32="H (Apprentice under 25)",'Input Data'!$BG$7,'Input Data'!$BG$8))-'Input Data'!$BG$5),0)*VLOOKUP($G32,'Input Data'!$BI$3:$BL$10,3,FALSE),MAX((AG32-IF(OR($G32="M (under 21)",$G32="Z (under 21 - deferment)"),'Input Data'!$BG$6,IF($G32="H (Apprentice under 25)",'Input Data'!$BG$7,'Input Data'!$BG$8))),0)*VLOOKUP($G32,'Input Data'!$BI$3:$BL$10,4,FALSE))))</f>
        <v>0</v>
      </c>
      <c r="AP32" s="56">
        <f>IF($G32="",0,IF(NOT(OR($G32="A - All employees not in groups B, C, J, H, M or Z",$G32="B - Married women and widows entitled to reduced NI",$G32="C - Over the State Pension age",$G32="H - Apprentice under 25",$G32="J – Deferment",$G32="M - Under 21",$G32="Z - Deferment (Under 21)",$G32="Please Enter The NI Cont. in ££££")),$G32,SUM(MAX(MIN(AH32-'Input Data'!$BG$3,'Input Data'!$BG$5-'Input Data'!$BG$3),0)*VLOOKUP($G32,'Input Data'!$BI$3:$BL$10,2,FALSE),MAX(MIN(AH32-'Input Data'!$BG$5,IF(OR($G32="M (under 21)",$G32="Z (under 21 - deferment)"),'Input Data'!$BG$6,IF($G32="H (Apprentice under 25)",'Input Data'!$BG$7,'Input Data'!$BG$8))-'Input Data'!$BG$5),0)*VLOOKUP($G32,'Input Data'!$BI$3:$BL$10,3,FALSE),MAX((AH32-IF(OR($G32="M (under 21)",$G32="Z (under 21 - deferment)"),'Input Data'!$BG$6,IF($G32="H (Apprentice under 25)",'Input Data'!$BG$7,'Input Data'!$BG$8))),0)*VLOOKUP($G32,'Input Data'!$BI$3:$BL$10,4,FALSE))))</f>
        <v>0</v>
      </c>
      <c r="AQ32" s="56">
        <f>IF($G32="",0,IF(NOT(OR($G32="A - All employees not in groups B, C, J, H, M or Z",$G32="B - Married women and widows entitled to reduced NI",$G32="C - Over the State Pension age",$G32="H - Apprentice under 25",$G32="J – Deferment",$G32="M - Under 21",$G32="Z - Deferment (Under 21)",$G32="Please Enter The NI Cont. in ££££")),$G32,SUM(MAX(MIN(AI32-'Input Data'!$BG$3,'Input Data'!$BG$5-'Input Data'!$BG$3),0)*VLOOKUP($G32,'Input Data'!$BI$3:$BL$10,2,FALSE),MAX(MIN(AI32-'Input Data'!$BG$5,IF(OR($G32="M (under 21)",$G32="Z (under 21 - deferment)"),'Input Data'!$BG$6,IF($G32="H (Apprentice under 25)",'Input Data'!$BG$7,'Input Data'!$BG$8))-'Input Data'!$BG$5),0)*VLOOKUP($G32,'Input Data'!$BI$3:$BL$10,3,FALSE),MAX((AI32-IF(OR($G32="M (under 21)",$G32="Z (under 21 - deferment)"),'Input Data'!$BG$6,IF($G32="H (Apprentice under 25)",'Input Data'!$BG$7,'Input Data'!$BG$8))),0)*VLOOKUP($G32,'Input Data'!$BI$3:$BL$10,4,FALSE))))</f>
        <v>0</v>
      </c>
      <c r="AR32" s="56">
        <f>IF($G32="",0,IF(NOT(OR($G32="A - All employees not in groups B, C, J, H, M or Z",$G32="B - Married women and widows entitled to reduced NI",$G32="C - Over the State Pension age",$G32="H - Apprentice under 25",$G32="J – Deferment",$G32="M - Under 21",$G32="Z - Deferment (Under 21)",$G32="Please Enter The NI Cont. in ££££")),$G32,SUM(MAX(MIN(AJ32-'Input Data'!$BG$3,'Input Data'!$BG$5-'Input Data'!$BG$3),0)*VLOOKUP($G32,'Input Data'!$BI$3:$BL$10,2,FALSE),MAX(MIN(AJ32-'Input Data'!$BG$5,IF(OR($G32="M (under 21)",$G32="Z (under 21 - deferment)"),'Input Data'!$BG$6,IF($G32="H (Apprentice under 25)",'Input Data'!$BG$7,'Input Data'!$BG$8))-'Input Data'!$BG$5),0)*VLOOKUP($G32,'Input Data'!$BI$3:$BL$10,3,FALSE),MAX((AJ32-IF(OR($G32="M (under 21)",$G32="Z (under 21 - deferment)"),'Input Data'!$BG$6,IF($G32="H (Apprentice under 25)",'Input Data'!$BG$7,'Input Data'!$BG$8))),0)*VLOOKUP($G32,'Input Data'!$BI$3:$BL$10,4,FALSE))))</f>
        <v>0</v>
      </c>
      <c r="AS32" s="56">
        <f>AC32*$F32</f>
        <v>0</v>
      </c>
      <c r="AT32" s="56">
        <f>AD32*$F32</f>
        <v>0</v>
      </c>
      <c r="AU32" s="56">
        <f>AE32*$F32</f>
        <v>0</v>
      </c>
      <c r="AV32" s="56">
        <f>AF32*$F32</f>
        <v>0</v>
      </c>
      <c r="AW32" s="56">
        <f>AG32*$F32</f>
        <v>0</v>
      </c>
      <c r="AX32" s="56">
        <f>AH32*$F32</f>
        <v>0</v>
      </c>
      <c r="AY32" s="56">
        <f>AI32*$F32</f>
        <v>0</v>
      </c>
      <c r="AZ32" s="56">
        <f>AJ32*$F32</f>
        <v>0</v>
      </c>
    </row>
    <row r="33" spans="2:52" ht="25.5">
      <c r="B33" s="60"/>
      <c r="C33" s="57" t="s">
        <v>66</v>
      </c>
      <c r="D33" s="58"/>
      <c r="E33" s="58"/>
      <c r="F33" s="535"/>
      <c r="G33" s="693" t="s">
        <v>1149</v>
      </c>
      <c r="H33" s="65"/>
      <c r="I33" s="65"/>
      <c r="J33" s="65"/>
      <c r="K33" s="65"/>
      <c r="L33" s="65"/>
      <c r="M33" s="65"/>
      <c r="N33" s="65"/>
      <c r="O33" s="65"/>
      <c r="P33" s="29"/>
      <c r="Q33" s="597"/>
      <c r="R33" s="61"/>
      <c r="T33" s="43">
        <f>SUM(AC33,AK33,AS33)</f>
        <v>0</v>
      </c>
      <c r="U33" s="43">
        <f>SUM(AD33,AL33,AT33)</f>
        <v>0</v>
      </c>
      <c r="V33" s="43">
        <f>SUM(AE33,AM33,AU33)</f>
        <v>0</v>
      </c>
      <c r="W33" s="43">
        <f>SUM(AF33,AN33,AV33)</f>
        <v>0</v>
      </c>
      <c r="X33" s="43">
        <f>SUM(AG33,AO33,AW33)</f>
        <v>0</v>
      </c>
      <c r="Y33" s="43">
        <f>SUM(AH33,AP33,AX33)</f>
        <v>0</v>
      </c>
      <c r="Z33" s="43">
        <f>SUM(AI33,AQ33,AY33)</f>
        <v>0</v>
      </c>
      <c r="AA33" s="43">
        <f>SUM(AJ33,AR33,AZ33)</f>
        <v>0</v>
      </c>
      <c r="AC33" s="631">
        <f>SUM($D33:$E33)*H33</f>
        <v>0</v>
      </c>
      <c r="AD33" s="631">
        <f>SUM($D33:$E33)*I33</f>
        <v>0</v>
      </c>
      <c r="AE33" s="631">
        <f>SUM($D33:$E33)*J33</f>
        <v>0</v>
      </c>
      <c r="AF33" s="631">
        <f>SUM($D33:$E33)*K33</f>
        <v>0</v>
      </c>
      <c r="AG33" s="631">
        <f>SUM($D33:$E33)*L33</f>
        <v>0</v>
      </c>
      <c r="AH33" s="631">
        <f>SUM($D33:$E33)*M33</f>
        <v>0</v>
      </c>
      <c r="AI33" s="631">
        <f>SUM($D33:$E33)*N33</f>
        <v>0</v>
      </c>
      <c r="AJ33" s="631">
        <f>SUM($D33:$E33)*O33</f>
        <v>0</v>
      </c>
      <c r="AK33" s="56">
        <f>IF($G33="",0,IF(NOT(OR($G33="A - All employees not in groups B, C, J, H, M or Z",$G33="B - Married women and widows entitled to reduced NI",$G33="C - Over the State Pension age",$G33="H - Apprentice under 25",$G33="J – Deferment",$G33="M - Under 21",$G33="Z - Deferment (Under 21)",$G33="Please Enter The NI Cont. in ££££")),$G33,SUM(MAX(MIN(AC33-'Input Data'!$BG$3,'Input Data'!$BG$5-'Input Data'!$BG$3),0)*VLOOKUP($G33,'Input Data'!$BI$3:$BL$10,2,FALSE),MAX(MIN(AC33-'Input Data'!$BG$5,IF(OR($G33="M (under 21)",$G33="Z (under 21 - deferment)"),'Input Data'!$BG$6,IF($G33="H (Apprentice under 25)",'Input Data'!$BG$7,'Input Data'!$BG$8))-'Input Data'!$BG$5),0)*VLOOKUP($G33,'Input Data'!$BI$3:$BL$10,3,FALSE),MAX((AC33-IF(OR($G33="M (under 21)",$G33="Z (under 21 - deferment)"),'Input Data'!$BG$6,IF($G33="H (Apprentice under 25)",'Input Data'!$BG$7,'Input Data'!$BG$8))),0)*VLOOKUP($G33,'Input Data'!$BI$3:$BL$10,4,FALSE))))</f>
        <v>0</v>
      </c>
      <c r="AL33" s="56">
        <f>IF($G33="",0,IF(NOT(OR($G33="A - All employees not in groups B, C, J, H, M or Z",$G33="B - Married women and widows entitled to reduced NI",$G33="C - Over the State Pension age",$G33="H - Apprentice under 25",$G33="J – Deferment",$G33="M - Under 21",$G33="Z - Deferment (Under 21)",$G33="Please Enter The NI Cont. in ££££")),$G33,SUM(MAX(MIN(AD33-'Input Data'!$BG$3,'Input Data'!$BG$5-'Input Data'!$BG$3),0)*VLOOKUP($G33,'Input Data'!$BI$3:$BL$10,2,FALSE),MAX(MIN(AD33-'Input Data'!$BG$5,IF(OR($G33="M (under 21)",$G33="Z (under 21 - deferment)"),'Input Data'!$BG$6,IF($G33="H (Apprentice under 25)",'Input Data'!$BG$7,'Input Data'!$BG$8))-'Input Data'!$BG$5),0)*VLOOKUP($G33,'Input Data'!$BI$3:$BL$10,3,FALSE),MAX((AD33-IF(OR($G33="M (under 21)",$G33="Z (under 21 - deferment)"),'Input Data'!$BG$6,IF($G33="H (Apprentice under 25)",'Input Data'!$BG$7,'Input Data'!$BG$8))),0)*VLOOKUP($G33,'Input Data'!$BI$3:$BL$10,4,FALSE))))</f>
        <v>0</v>
      </c>
      <c r="AM33" s="56">
        <f>IF($G33="",0,IF(NOT(OR($G33="A - All employees not in groups B, C, J, H, M or Z",$G33="B - Married women and widows entitled to reduced NI",$G33="C - Over the State Pension age",$G33="H - Apprentice under 25",$G33="J – Deferment",$G33="M - Under 21",$G33="Z - Deferment (Under 21)",$G33="Please Enter The NI Cont. in ££££")),$G33,SUM(MAX(MIN(AE33-'Input Data'!$BG$3,'Input Data'!$BG$5-'Input Data'!$BG$3),0)*VLOOKUP($G33,'Input Data'!$BI$3:$BL$10,2,FALSE),MAX(MIN(AE33-'Input Data'!$BG$5,IF(OR($G33="M (under 21)",$G33="Z (under 21 - deferment)"),'Input Data'!$BG$6,IF($G33="H (Apprentice under 25)",'Input Data'!$BG$7,'Input Data'!$BG$8))-'Input Data'!$BG$5),0)*VLOOKUP($G33,'Input Data'!$BI$3:$BL$10,3,FALSE),MAX((AE33-IF(OR($G33="M (under 21)",$G33="Z (under 21 - deferment)"),'Input Data'!$BG$6,IF($G33="H (Apprentice under 25)",'Input Data'!$BG$7,'Input Data'!$BG$8))),0)*VLOOKUP($G33,'Input Data'!$BI$3:$BL$10,4,FALSE))))</f>
        <v>0</v>
      </c>
      <c r="AN33" s="56">
        <f>IF($G33="",0,IF(NOT(OR($G33="A - All employees not in groups B, C, J, H, M or Z",$G33="B - Married women and widows entitled to reduced NI",$G33="C - Over the State Pension age",$G33="H - Apprentice under 25",$G33="J – Deferment",$G33="M - Under 21",$G33="Z - Deferment (Under 21)",$G33="Please Enter The NI Cont. in ££££")),$G33,SUM(MAX(MIN(AF33-'Input Data'!$BG$3,'Input Data'!$BG$5-'Input Data'!$BG$3),0)*VLOOKUP($G33,'Input Data'!$BI$3:$BL$10,2,FALSE),MAX(MIN(AF33-'Input Data'!$BG$5,IF(OR($G33="M (under 21)",$G33="Z (under 21 - deferment)"),'Input Data'!$BG$6,IF($G33="H (Apprentice under 25)",'Input Data'!$BG$7,'Input Data'!$BG$8))-'Input Data'!$BG$5),0)*VLOOKUP($G33,'Input Data'!$BI$3:$BL$10,3,FALSE),MAX((AF33-IF(OR($G33="M (under 21)",$G33="Z (under 21 - deferment)"),'Input Data'!$BG$6,IF($G33="H (Apprentice under 25)",'Input Data'!$BG$7,'Input Data'!$BG$8))),0)*VLOOKUP($G33,'Input Data'!$BI$3:$BL$10,4,FALSE))))</f>
        <v>0</v>
      </c>
      <c r="AO33" s="56">
        <f>IF($G33="",0,IF(NOT(OR($G33="A - All employees not in groups B, C, J, H, M or Z",$G33="B - Married women and widows entitled to reduced NI",$G33="C - Over the State Pension age",$G33="H - Apprentice under 25",$G33="J – Deferment",$G33="M - Under 21",$G33="Z - Deferment (Under 21)",$G33="Please Enter The NI Cont. in ££££")),$G33,SUM(MAX(MIN(AG33-'Input Data'!$BG$3,'Input Data'!$BG$5-'Input Data'!$BG$3),0)*VLOOKUP($G33,'Input Data'!$BI$3:$BL$10,2,FALSE),MAX(MIN(AG33-'Input Data'!$BG$5,IF(OR($G33="M (under 21)",$G33="Z (under 21 - deferment)"),'Input Data'!$BG$6,IF($G33="H (Apprentice under 25)",'Input Data'!$BG$7,'Input Data'!$BG$8))-'Input Data'!$BG$5),0)*VLOOKUP($G33,'Input Data'!$BI$3:$BL$10,3,FALSE),MAX((AG33-IF(OR($G33="M (under 21)",$G33="Z (under 21 - deferment)"),'Input Data'!$BG$6,IF($G33="H (Apprentice under 25)",'Input Data'!$BG$7,'Input Data'!$BG$8))),0)*VLOOKUP($G33,'Input Data'!$BI$3:$BL$10,4,FALSE))))</f>
        <v>0</v>
      </c>
      <c r="AP33" s="56">
        <f>IF($G33="",0,IF(NOT(OR($G33="A - All employees not in groups B, C, J, H, M or Z",$G33="B - Married women and widows entitled to reduced NI",$G33="C - Over the State Pension age",$G33="H - Apprentice under 25",$G33="J – Deferment",$G33="M - Under 21",$G33="Z - Deferment (Under 21)",$G33="Please Enter The NI Cont. in ££££")),$G33,SUM(MAX(MIN(AH33-'Input Data'!$BG$3,'Input Data'!$BG$5-'Input Data'!$BG$3),0)*VLOOKUP($G33,'Input Data'!$BI$3:$BL$10,2,FALSE),MAX(MIN(AH33-'Input Data'!$BG$5,IF(OR($G33="M (under 21)",$G33="Z (under 21 - deferment)"),'Input Data'!$BG$6,IF($G33="H (Apprentice under 25)",'Input Data'!$BG$7,'Input Data'!$BG$8))-'Input Data'!$BG$5),0)*VLOOKUP($G33,'Input Data'!$BI$3:$BL$10,3,FALSE),MAX((AH33-IF(OR($G33="M (under 21)",$G33="Z (under 21 - deferment)"),'Input Data'!$BG$6,IF($G33="H (Apprentice under 25)",'Input Data'!$BG$7,'Input Data'!$BG$8))),0)*VLOOKUP($G33,'Input Data'!$BI$3:$BL$10,4,FALSE))))</f>
        <v>0</v>
      </c>
      <c r="AQ33" s="56">
        <f>IF($G33="",0,IF(NOT(OR($G33="A - All employees not in groups B, C, J, H, M or Z",$G33="B - Married women and widows entitled to reduced NI",$G33="C - Over the State Pension age",$G33="H - Apprentice under 25",$G33="J – Deferment",$G33="M - Under 21",$G33="Z - Deferment (Under 21)",$G33="Please Enter The NI Cont. in ££££")),$G33,SUM(MAX(MIN(AI33-'Input Data'!$BG$3,'Input Data'!$BG$5-'Input Data'!$BG$3),0)*VLOOKUP($G33,'Input Data'!$BI$3:$BL$10,2,FALSE),MAX(MIN(AI33-'Input Data'!$BG$5,IF(OR($G33="M (under 21)",$G33="Z (under 21 - deferment)"),'Input Data'!$BG$6,IF($G33="H (Apprentice under 25)",'Input Data'!$BG$7,'Input Data'!$BG$8))-'Input Data'!$BG$5),0)*VLOOKUP($G33,'Input Data'!$BI$3:$BL$10,3,FALSE),MAX((AI33-IF(OR($G33="M (under 21)",$G33="Z (under 21 - deferment)"),'Input Data'!$BG$6,IF($G33="H (Apprentice under 25)",'Input Data'!$BG$7,'Input Data'!$BG$8))),0)*VLOOKUP($G33,'Input Data'!$BI$3:$BL$10,4,FALSE))))</f>
        <v>0</v>
      </c>
      <c r="AR33" s="56">
        <f>IF($G33="",0,IF(NOT(OR($G33="A - All employees not in groups B, C, J, H, M or Z",$G33="B - Married women and widows entitled to reduced NI",$G33="C - Over the State Pension age",$G33="H - Apprentice under 25",$G33="J – Deferment",$G33="M - Under 21",$G33="Z - Deferment (Under 21)",$G33="Please Enter The NI Cont. in ££££")),$G33,SUM(MAX(MIN(AJ33-'Input Data'!$BG$3,'Input Data'!$BG$5-'Input Data'!$BG$3),0)*VLOOKUP($G33,'Input Data'!$BI$3:$BL$10,2,FALSE),MAX(MIN(AJ33-'Input Data'!$BG$5,IF(OR($G33="M (under 21)",$G33="Z (under 21 - deferment)"),'Input Data'!$BG$6,IF($G33="H (Apprentice under 25)",'Input Data'!$BG$7,'Input Data'!$BG$8))-'Input Data'!$BG$5),0)*VLOOKUP($G33,'Input Data'!$BI$3:$BL$10,3,FALSE),MAX((AJ33-IF(OR($G33="M (under 21)",$G33="Z (under 21 - deferment)"),'Input Data'!$BG$6,IF($G33="H (Apprentice under 25)",'Input Data'!$BG$7,'Input Data'!$BG$8))),0)*VLOOKUP($G33,'Input Data'!$BI$3:$BL$10,4,FALSE))))</f>
        <v>0</v>
      </c>
      <c r="AS33" s="56">
        <f>AC33*$F33</f>
        <v>0</v>
      </c>
      <c r="AT33" s="56">
        <f>AD33*$F33</f>
        <v>0</v>
      </c>
      <c r="AU33" s="56">
        <f>AE33*$F33</f>
        <v>0</v>
      </c>
      <c r="AV33" s="56">
        <f>AF33*$F33</f>
        <v>0</v>
      </c>
      <c r="AW33" s="56">
        <f>AG33*$F33</f>
        <v>0</v>
      </c>
      <c r="AX33" s="56">
        <f>AH33*$F33</f>
        <v>0</v>
      </c>
      <c r="AY33" s="56">
        <f>AI33*$F33</f>
        <v>0</v>
      </c>
      <c r="AZ33" s="56">
        <f>AJ33*$F33</f>
        <v>0</v>
      </c>
    </row>
    <row r="34" spans="2:52" ht="25.5">
      <c r="B34" s="60"/>
      <c r="C34" s="57" t="s">
        <v>67</v>
      </c>
      <c r="D34" s="58"/>
      <c r="E34" s="58"/>
      <c r="F34" s="535"/>
      <c r="G34" s="693" t="s">
        <v>1149</v>
      </c>
      <c r="H34" s="65"/>
      <c r="I34" s="65"/>
      <c r="J34" s="65"/>
      <c r="K34" s="65"/>
      <c r="L34" s="65"/>
      <c r="M34" s="65"/>
      <c r="N34" s="65"/>
      <c r="O34" s="65"/>
      <c r="P34" s="29"/>
      <c r="Q34" s="597"/>
      <c r="R34" s="61"/>
      <c r="T34" s="43">
        <f>SUM(AC34,AK34,AS34)</f>
        <v>0</v>
      </c>
      <c r="U34" s="43">
        <f>SUM(AD34,AL34,AT34)</f>
        <v>0</v>
      </c>
      <c r="V34" s="43">
        <f>SUM(AE34,AM34,AU34)</f>
        <v>0</v>
      </c>
      <c r="W34" s="43">
        <f>SUM(AF34,AN34,AV34)</f>
        <v>0</v>
      </c>
      <c r="X34" s="43">
        <f>SUM(AG34,AO34,AW34)</f>
        <v>0</v>
      </c>
      <c r="Y34" s="43">
        <f>SUM(AH34,AP34,AX34)</f>
        <v>0</v>
      </c>
      <c r="Z34" s="43">
        <f>SUM(AI34,AQ34,AY34)</f>
        <v>0</v>
      </c>
      <c r="AA34" s="43">
        <f>SUM(AJ34,AR34,AZ34)</f>
        <v>0</v>
      </c>
      <c r="AC34" s="631">
        <f>SUM($D34:$E34)*H34</f>
        <v>0</v>
      </c>
      <c r="AD34" s="631">
        <f>SUM($D34:$E34)*I34</f>
        <v>0</v>
      </c>
      <c r="AE34" s="631">
        <f>SUM($D34:$E34)*J34</f>
        <v>0</v>
      </c>
      <c r="AF34" s="631">
        <f>SUM($D34:$E34)*K34</f>
        <v>0</v>
      </c>
      <c r="AG34" s="631">
        <f>SUM($D34:$E34)*L34</f>
        <v>0</v>
      </c>
      <c r="AH34" s="631">
        <f>SUM($D34:$E34)*M34</f>
        <v>0</v>
      </c>
      <c r="AI34" s="631">
        <f>SUM($D34:$E34)*N34</f>
        <v>0</v>
      </c>
      <c r="AJ34" s="631">
        <f>SUM($D34:$E34)*O34</f>
        <v>0</v>
      </c>
      <c r="AK34" s="56">
        <f>IF($G34="",0,IF(NOT(OR($G34="A - All employees not in groups B, C, J, H, M or Z",$G34="B - Married women and widows entitled to reduced NI",$G34="C - Over the State Pension age",$G34="H - Apprentice under 25",$G34="J – Deferment",$G34="M - Under 21",$G34="Z - Deferment (Under 21)",$G34="Please Enter The NI Cont. in ££££")),$G34,SUM(MAX(MIN(AC34-'Input Data'!$BG$3,'Input Data'!$BG$5-'Input Data'!$BG$3),0)*VLOOKUP($G34,'Input Data'!$BI$3:$BL$10,2,FALSE),MAX(MIN(AC34-'Input Data'!$BG$5,IF(OR($G34="M (under 21)",$G34="Z (under 21 - deferment)"),'Input Data'!$BG$6,IF($G34="H (Apprentice under 25)",'Input Data'!$BG$7,'Input Data'!$BG$8))-'Input Data'!$BG$5),0)*VLOOKUP($G34,'Input Data'!$BI$3:$BL$10,3,FALSE),MAX((AC34-IF(OR($G34="M (under 21)",$G34="Z (under 21 - deferment)"),'Input Data'!$BG$6,IF($G34="H (Apprentice under 25)",'Input Data'!$BG$7,'Input Data'!$BG$8))),0)*VLOOKUP($G34,'Input Data'!$BI$3:$BL$10,4,FALSE))))</f>
        <v>0</v>
      </c>
      <c r="AL34" s="56">
        <f>IF($G34="",0,IF(NOT(OR($G34="A - All employees not in groups B, C, J, H, M or Z",$G34="B - Married women and widows entitled to reduced NI",$G34="C - Over the State Pension age",$G34="H - Apprentice under 25",$G34="J – Deferment",$G34="M - Under 21",$G34="Z - Deferment (Under 21)",$G34="Please Enter The NI Cont. in ££££")),$G34,SUM(MAX(MIN(AD34-'Input Data'!$BG$3,'Input Data'!$BG$5-'Input Data'!$BG$3),0)*VLOOKUP($G34,'Input Data'!$BI$3:$BL$10,2,FALSE),MAX(MIN(AD34-'Input Data'!$BG$5,IF(OR($G34="M (under 21)",$G34="Z (under 21 - deferment)"),'Input Data'!$BG$6,IF($G34="H (Apprentice under 25)",'Input Data'!$BG$7,'Input Data'!$BG$8))-'Input Data'!$BG$5),0)*VLOOKUP($G34,'Input Data'!$BI$3:$BL$10,3,FALSE),MAX((AD34-IF(OR($G34="M (under 21)",$G34="Z (under 21 - deferment)"),'Input Data'!$BG$6,IF($G34="H (Apprentice under 25)",'Input Data'!$BG$7,'Input Data'!$BG$8))),0)*VLOOKUP($G34,'Input Data'!$BI$3:$BL$10,4,FALSE))))</f>
        <v>0</v>
      </c>
      <c r="AM34" s="56">
        <f>IF($G34="",0,IF(NOT(OR($G34="A - All employees not in groups B, C, J, H, M or Z",$G34="B - Married women and widows entitled to reduced NI",$G34="C - Over the State Pension age",$G34="H - Apprentice under 25",$G34="J – Deferment",$G34="M - Under 21",$G34="Z - Deferment (Under 21)",$G34="Please Enter The NI Cont. in ££££")),$G34,SUM(MAX(MIN(AE34-'Input Data'!$BG$3,'Input Data'!$BG$5-'Input Data'!$BG$3),0)*VLOOKUP($G34,'Input Data'!$BI$3:$BL$10,2,FALSE),MAX(MIN(AE34-'Input Data'!$BG$5,IF(OR($G34="M (under 21)",$G34="Z (under 21 - deferment)"),'Input Data'!$BG$6,IF($G34="H (Apprentice under 25)",'Input Data'!$BG$7,'Input Data'!$BG$8))-'Input Data'!$BG$5),0)*VLOOKUP($G34,'Input Data'!$BI$3:$BL$10,3,FALSE),MAX((AE34-IF(OR($G34="M (under 21)",$G34="Z (under 21 - deferment)"),'Input Data'!$BG$6,IF($G34="H (Apprentice under 25)",'Input Data'!$BG$7,'Input Data'!$BG$8))),0)*VLOOKUP($G34,'Input Data'!$BI$3:$BL$10,4,FALSE))))</f>
        <v>0</v>
      </c>
      <c r="AN34" s="56">
        <f>IF($G34="",0,IF(NOT(OR($G34="A - All employees not in groups B, C, J, H, M or Z",$G34="B - Married women and widows entitled to reduced NI",$G34="C - Over the State Pension age",$G34="H - Apprentice under 25",$G34="J – Deferment",$G34="M - Under 21",$G34="Z - Deferment (Under 21)",$G34="Please Enter The NI Cont. in ££££")),$G34,SUM(MAX(MIN(AF34-'Input Data'!$BG$3,'Input Data'!$BG$5-'Input Data'!$BG$3),0)*VLOOKUP($G34,'Input Data'!$BI$3:$BL$10,2,FALSE),MAX(MIN(AF34-'Input Data'!$BG$5,IF(OR($G34="M (under 21)",$G34="Z (under 21 - deferment)"),'Input Data'!$BG$6,IF($G34="H (Apprentice under 25)",'Input Data'!$BG$7,'Input Data'!$BG$8))-'Input Data'!$BG$5),0)*VLOOKUP($G34,'Input Data'!$BI$3:$BL$10,3,FALSE),MAX((AF34-IF(OR($G34="M (under 21)",$G34="Z (under 21 - deferment)"),'Input Data'!$BG$6,IF($G34="H (Apprentice under 25)",'Input Data'!$BG$7,'Input Data'!$BG$8))),0)*VLOOKUP($G34,'Input Data'!$BI$3:$BL$10,4,FALSE))))</f>
        <v>0</v>
      </c>
      <c r="AO34" s="56">
        <f>IF($G34="",0,IF(NOT(OR($G34="A - All employees not in groups B, C, J, H, M or Z",$G34="B - Married women and widows entitled to reduced NI",$G34="C - Over the State Pension age",$G34="H - Apprentice under 25",$G34="J – Deferment",$G34="M - Under 21",$G34="Z - Deferment (Under 21)",$G34="Please Enter The NI Cont. in ££££")),$G34,SUM(MAX(MIN(AG34-'Input Data'!$BG$3,'Input Data'!$BG$5-'Input Data'!$BG$3),0)*VLOOKUP($G34,'Input Data'!$BI$3:$BL$10,2,FALSE),MAX(MIN(AG34-'Input Data'!$BG$5,IF(OR($G34="M (under 21)",$G34="Z (under 21 - deferment)"),'Input Data'!$BG$6,IF($G34="H (Apprentice under 25)",'Input Data'!$BG$7,'Input Data'!$BG$8))-'Input Data'!$BG$5),0)*VLOOKUP($G34,'Input Data'!$BI$3:$BL$10,3,FALSE),MAX((AG34-IF(OR($G34="M (under 21)",$G34="Z (under 21 - deferment)"),'Input Data'!$BG$6,IF($G34="H (Apprentice under 25)",'Input Data'!$BG$7,'Input Data'!$BG$8))),0)*VLOOKUP($G34,'Input Data'!$BI$3:$BL$10,4,FALSE))))</f>
        <v>0</v>
      </c>
      <c r="AP34" s="56">
        <f>IF($G34="",0,IF(NOT(OR($G34="A - All employees not in groups B, C, J, H, M or Z",$G34="B - Married women and widows entitled to reduced NI",$G34="C - Over the State Pension age",$G34="H - Apprentice under 25",$G34="J – Deferment",$G34="M - Under 21",$G34="Z - Deferment (Under 21)",$G34="Please Enter The NI Cont. in ££££")),$G34,SUM(MAX(MIN(AH34-'Input Data'!$BG$3,'Input Data'!$BG$5-'Input Data'!$BG$3),0)*VLOOKUP($G34,'Input Data'!$BI$3:$BL$10,2,FALSE),MAX(MIN(AH34-'Input Data'!$BG$5,IF(OR($G34="M (under 21)",$G34="Z (under 21 - deferment)"),'Input Data'!$BG$6,IF($G34="H (Apprentice under 25)",'Input Data'!$BG$7,'Input Data'!$BG$8))-'Input Data'!$BG$5),0)*VLOOKUP($G34,'Input Data'!$BI$3:$BL$10,3,FALSE),MAX((AH34-IF(OR($G34="M (under 21)",$G34="Z (under 21 - deferment)"),'Input Data'!$BG$6,IF($G34="H (Apprentice under 25)",'Input Data'!$BG$7,'Input Data'!$BG$8))),0)*VLOOKUP($G34,'Input Data'!$BI$3:$BL$10,4,FALSE))))</f>
        <v>0</v>
      </c>
      <c r="AQ34" s="56">
        <f>IF($G34="",0,IF(NOT(OR($G34="A - All employees not in groups B, C, J, H, M or Z",$G34="B - Married women and widows entitled to reduced NI",$G34="C - Over the State Pension age",$G34="H - Apprentice under 25",$G34="J – Deferment",$G34="M - Under 21",$G34="Z - Deferment (Under 21)",$G34="Please Enter The NI Cont. in ££££")),$G34,SUM(MAX(MIN(AI34-'Input Data'!$BG$3,'Input Data'!$BG$5-'Input Data'!$BG$3),0)*VLOOKUP($G34,'Input Data'!$BI$3:$BL$10,2,FALSE),MAX(MIN(AI34-'Input Data'!$BG$5,IF(OR($G34="M (under 21)",$G34="Z (under 21 - deferment)"),'Input Data'!$BG$6,IF($G34="H (Apprentice under 25)",'Input Data'!$BG$7,'Input Data'!$BG$8))-'Input Data'!$BG$5),0)*VLOOKUP($G34,'Input Data'!$BI$3:$BL$10,3,FALSE),MAX((AI34-IF(OR($G34="M (under 21)",$G34="Z (under 21 - deferment)"),'Input Data'!$BG$6,IF($G34="H (Apprentice under 25)",'Input Data'!$BG$7,'Input Data'!$BG$8))),0)*VLOOKUP($G34,'Input Data'!$BI$3:$BL$10,4,FALSE))))</f>
        <v>0</v>
      </c>
      <c r="AR34" s="56">
        <f>IF($G34="",0,IF(NOT(OR($G34="A - All employees not in groups B, C, J, H, M or Z",$G34="B - Married women and widows entitled to reduced NI",$G34="C - Over the State Pension age",$G34="H - Apprentice under 25",$G34="J – Deferment",$G34="M - Under 21",$G34="Z - Deferment (Under 21)",$G34="Please Enter The NI Cont. in ££££")),$G34,SUM(MAX(MIN(AJ34-'Input Data'!$BG$3,'Input Data'!$BG$5-'Input Data'!$BG$3),0)*VLOOKUP($G34,'Input Data'!$BI$3:$BL$10,2,FALSE),MAX(MIN(AJ34-'Input Data'!$BG$5,IF(OR($G34="M (under 21)",$G34="Z (under 21 - deferment)"),'Input Data'!$BG$6,IF($G34="H (Apprentice under 25)",'Input Data'!$BG$7,'Input Data'!$BG$8))-'Input Data'!$BG$5),0)*VLOOKUP($G34,'Input Data'!$BI$3:$BL$10,3,FALSE),MAX((AJ34-IF(OR($G34="M (under 21)",$G34="Z (under 21 - deferment)"),'Input Data'!$BG$6,IF($G34="H (Apprentice under 25)",'Input Data'!$BG$7,'Input Data'!$BG$8))),0)*VLOOKUP($G34,'Input Data'!$BI$3:$BL$10,4,FALSE))))</f>
        <v>0</v>
      </c>
      <c r="AS34" s="56">
        <f>AC34*$F34</f>
        <v>0</v>
      </c>
      <c r="AT34" s="56">
        <f>AD34*$F34</f>
        <v>0</v>
      </c>
      <c r="AU34" s="56">
        <f>AE34*$F34</f>
        <v>0</v>
      </c>
      <c r="AV34" s="56">
        <f>AF34*$F34</f>
        <v>0</v>
      </c>
      <c r="AW34" s="56">
        <f>AG34*$F34</f>
        <v>0</v>
      </c>
      <c r="AX34" s="56">
        <f>AH34*$F34</f>
        <v>0</v>
      </c>
      <c r="AY34" s="56">
        <f>AI34*$F34</f>
        <v>0</v>
      </c>
      <c r="AZ34" s="56">
        <f>AJ34*$F34</f>
        <v>0</v>
      </c>
    </row>
    <row r="35" spans="2:52" ht="25.5">
      <c r="B35" s="60"/>
      <c r="C35" s="57" t="s">
        <v>68</v>
      </c>
      <c r="D35" s="58"/>
      <c r="E35" s="58"/>
      <c r="F35" s="535"/>
      <c r="G35" s="693" t="s">
        <v>1149</v>
      </c>
      <c r="H35" s="65"/>
      <c r="I35" s="65"/>
      <c r="J35" s="65"/>
      <c r="K35" s="65"/>
      <c r="L35" s="65"/>
      <c r="M35" s="65"/>
      <c r="N35" s="65"/>
      <c r="O35" s="65"/>
      <c r="P35" s="29"/>
      <c r="Q35" s="597"/>
      <c r="R35" s="61"/>
      <c r="T35" s="43">
        <f>SUM(AC35,AK35,AS35)</f>
        <v>0</v>
      </c>
      <c r="U35" s="43">
        <f>SUM(AD35,AL35,AT35)</f>
        <v>0</v>
      </c>
      <c r="V35" s="43">
        <f>SUM(AE35,AM35,AU35)</f>
        <v>0</v>
      </c>
      <c r="W35" s="43">
        <f>SUM(AF35,AN35,AV35)</f>
        <v>0</v>
      </c>
      <c r="X35" s="43">
        <f>SUM(AG35,AO35,AW35)</f>
        <v>0</v>
      </c>
      <c r="Y35" s="43">
        <f>SUM(AH35,AP35,AX35)</f>
        <v>0</v>
      </c>
      <c r="Z35" s="43">
        <f>SUM(AI35,AQ35,AY35)</f>
        <v>0</v>
      </c>
      <c r="AA35" s="43">
        <f>SUM(AJ35,AR35,AZ35)</f>
        <v>0</v>
      </c>
      <c r="AC35" s="631">
        <f>SUM($D35:$E35)*H35</f>
        <v>0</v>
      </c>
      <c r="AD35" s="631">
        <f>SUM($D35:$E35)*I35</f>
        <v>0</v>
      </c>
      <c r="AE35" s="631">
        <f>SUM($D35:$E35)*J35</f>
        <v>0</v>
      </c>
      <c r="AF35" s="631">
        <f>SUM($D35:$E35)*K35</f>
        <v>0</v>
      </c>
      <c r="AG35" s="631">
        <f>SUM($D35:$E35)*L35</f>
        <v>0</v>
      </c>
      <c r="AH35" s="631">
        <f>SUM($D35:$E35)*M35</f>
        <v>0</v>
      </c>
      <c r="AI35" s="631">
        <f>SUM($D35:$E35)*N35</f>
        <v>0</v>
      </c>
      <c r="AJ35" s="631">
        <f>SUM($D35:$E35)*O35</f>
        <v>0</v>
      </c>
      <c r="AK35" s="56">
        <f>IF($G35="",0,IF(NOT(OR($G35="A - All employees not in groups B, C, J, H, M or Z",$G35="B - Married women and widows entitled to reduced NI",$G35="C - Over the State Pension age",$G35="H - Apprentice under 25",$G35="J – Deferment",$G35="M - Under 21",$G35="Z - Deferment (Under 21)",$G35="Please Enter The NI Cont. in ££££")),$G35,SUM(MAX(MIN(AC35-'Input Data'!$BG$3,'Input Data'!$BG$5-'Input Data'!$BG$3),0)*VLOOKUP($G35,'Input Data'!$BI$3:$BL$10,2,FALSE),MAX(MIN(AC35-'Input Data'!$BG$5,IF(OR($G35="M (under 21)",$G35="Z (under 21 - deferment)"),'Input Data'!$BG$6,IF($G35="H (Apprentice under 25)",'Input Data'!$BG$7,'Input Data'!$BG$8))-'Input Data'!$BG$5),0)*VLOOKUP($G35,'Input Data'!$BI$3:$BL$10,3,FALSE),MAX((AC35-IF(OR($G35="M (under 21)",$G35="Z (under 21 - deferment)"),'Input Data'!$BG$6,IF($G35="H (Apprentice under 25)",'Input Data'!$BG$7,'Input Data'!$BG$8))),0)*VLOOKUP($G35,'Input Data'!$BI$3:$BL$10,4,FALSE))))</f>
        <v>0</v>
      </c>
      <c r="AL35" s="56">
        <f>IF($G35="",0,IF(NOT(OR($G35="A - All employees not in groups B, C, J, H, M or Z",$G35="B - Married women and widows entitled to reduced NI",$G35="C - Over the State Pension age",$G35="H - Apprentice under 25",$G35="J – Deferment",$G35="M - Under 21",$G35="Z - Deferment (Under 21)",$G35="Please Enter The NI Cont. in ££££")),$G35,SUM(MAX(MIN(AD35-'Input Data'!$BG$3,'Input Data'!$BG$5-'Input Data'!$BG$3),0)*VLOOKUP($G35,'Input Data'!$BI$3:$BL$10,2,FALSE),MAX(MIN(AD35-'Input Data'!$BG$5,IF(OR($G35="M (under 21)",$G35="Z (under 21 - deferment)"),'Input Data'!$BG$6,IF($G35="H (Apprentice under 25)",'Input Data'!$BG$7,'Input Data'!$BG$8))-'Input Data'!$BG$5),0)*VLOOKUP($G35,'Input Data'!$BI$3:$BL$10,3,FALSE),MAX((AD35-IF(OR($G35="M (under 21)",$G35="Z (under 21 - deferment)"),'Input Data'!$BG$6,IF($G35="H (Apprentice under 25)",'Input Data'!$BG$7,'Input Data'!$BG$8))),0)*VLOOKUP($G35,'Input Data'!$BI$3:$BL$10,4,FALSE))))</f>
        <v>0</v>
      </c>
      <c r="AM35" s="56">
        <f>IF($G35="",0,IF(NOT(OR($G35="A - All employees not in groups B, C, J, H, M or Z",$G35="B - Married women and widows entitled to reduced NI",$G35="C - Over the State Pension age",$G35="H - Apprentice under 25",$G35="J – Deferment",$G35="M - Under 21",$G35="Z - Deferment (Under 21)",$G35="Please Enter The NI Cont. in ££££")),$G35,SUM(MAX(MIN(AE35-'Input Data'!$BG$3,'Input Data'!$BG$5-'Input Data'!$BG$3),0)*VLOOKUP($G35,'Input Data'!$BI$3:$BL$10,2,FALSE),MAX(MIN(AE35-'Input Data'!$BG$5,IF(OR($G35="M (under 21)",$G35="Z (under 21 - deferment)"),'Input Data'!$BG$6,IF($G35="H (Apprentice under 25)",'Input Data'!$BG$7,'Input Data'!$BG$8))-'Input Data'!$BG$5),0)*VLOOKUP($G35,'Input Data'!$BI$3:$BL$10,3,FALSE),MAX((AE35-IF(OR($G35="M (under 21)",$G35="Z (under 21 - deferment)"),'Input Data'!$BG$6,IF($G35="H (Apprentice under 25)",'Input Data'!$BG$7,'Input Data'!$BG$8))),0)*VLOOKUP($G35,'Input Data'!$BI$3:$BL$10,4,FALSE))))</f>
        <v>0</v>
      </c>
      <c r="AN35" s="56">
        <f>IF($G35="",0,IF(NOT(OR($G35="A - All employees not in groups B, C, J, H, M or Z",$G35="B - Married women and widows entitled to reduced NI",$G35="C - Over the State Pension age",$G35="H - Apprentice under 25",$G35="J – Deferment",$G35="M - Under 21",$G35="Z - Deferment (Under 21)",$G35="Please Enter The NI Cont. in ££££")),$G35,SUM(MAX(MIN(AF35-'Input Data'!$BG$3,'Input Data'!$BG$5-'Input Data'!$BG$3),0)*VLOOKUP($G35,'Input Data'!$BI$3:$BL$10,2,FALSE),MAX(MIN(AF35-'Input Data'!$BG$5,IF(OR($G35="M (under 21)",$G35="Z (under 21 - deferment)"),'Input Data'!$BG$6,IF($G35="H (Apprentice under 25)",'Input Data'!$BG$7,'Input Data'!$BG$8))-'Input Data'!$BG$5),0)*VLOOKUP($G35,'Input Data'!$BI$3:$BL$10,3,FALSE),MAX((AF35-IF(OR($G35="M (under 21)",$G35="Z (under 21 - deferment)"),'Input Data'!$BG$6,IF($G35="H (Apprentice under 25)",'Input Data'!$BG$7,'Input Data'!$BG$8))),0)*VLOOKUP($G35,'Input Data'!$BI$3:$BL$10,4,FALSE))))</f>
        <v>0</v>
      </c>
      <c r="AO35" s="56">
        <f>IF($G35="",0,IF(NOT(OR($G35="A - All employees not in groups B, C, J, H, M or Z",$G35="B - Married women and widows entitled to reduced NI",$G35="C - Over the State Pension age",$G35="H - Apprentice under 25",$G35="J – Deferment",$G35="M - Under 21",$G35="Z - Deferment (Under 21)",$G35="Please Enter The NI Cont. in ££££")),$G35,SUM(MAX(MIN(AG35-'Input Data'!$BG$3,'Input Data'!$BG$5-'Input Data'!$BG$3),0)*VLOOKUP($G35,'Input Data'!$BI$3:$BL$10,2,FALSE),MAX(MIN(AG35-'Input Data'!$BG$5,IF(OR($G35="M (under 21)",$G35="Z (under 21 - deferment)"),'Input Data'!$BG$6,IF($G35="H (Apprentice under 25)",'Input Data'!$BG$7,'Input Data'!$BG$8))-'Input Data'!$BG$5),0)*VLOOKUP($G35,'Input Data'!$BI$3:$BL$10,3,FALSE),MAX((AG35-IF(OR($G35="M (under 21)",$G35="Z (under 21 - deferment)"),'Input Data'!$BG$6,IF($G35="H (Apprentice under 25)",'Input Data'!$BG$7,'Input Data'!$BG$8))),0)*VLOOKUP($G35,'Input Data'!$BI$3:$BL$10,4,FALSE))))</f>
        <v>0</v>
      </c>
      <c r="AP35" s="56">
        <f>IF($G35="",0,IF(NOT(OR($G35="A - All employees not in groups B, C, J, H, M or Z",$G35="B - Married women and widows entitled to reduced NI",$G35="C - Over the State Pension age",$G35="H - Apprentice under 25",$G35="J – Deferment",$G35="M - Under 21",$G35="Z - Deferment (Under 21)",$G35="Please Enter The NI Cont. in ££££")),$G35,SUM(MAX(MIN(AH35-'Input Data'!$BG$3,'Input Data'!$BG$5-'Input Data'!$BG$3),0)*VLOOKUP($G35,'Input Data'!$BI$3:$BL$10,2,FALSE),MAX(MIN(AH35-'Input Data'!$BG$5,IF(OR($G35="M (under 21)",$G35="Z (under 21 - deferment)"),'Input Data'!$BG$6,IF($G35="H (Apprentice under 25)",'Input Data'!$BG$7,'Input Data'!$BG$8))-'Input Data'!$BG$5),0)*VLOOKUP($G35,'Input Data'!$BI$3:$BL$10,3,FALSE),MAX((AH35-IF(OR($G35="M (under 21)",$G35="Z (under 21 - deferment)"),'Input Data'!$BG$6,IF($G35="H (Apprentice under 25)",'Input Data'!$BG$7,'Input Data'!$BG$8))),0)*VLOOKUP($G35,'Input Data'!$BI$3:$BL$10,4,FALSE))))</f>
        <v>0</v>
      </c>
      <c r="AQ35" s="56">
        <f>IF($G35="",0,IF(NOT(OR($G35="A - All employees not in groups B, C, J, H, M or Z",$G35="B - Married women and widows entitled to reduced NI",$G35="C - Over the State Pension age",$G35="H - Apprentice under 25",$G35="J – Deferment",$G35="M - Under 21",$G35="Z - Deferment (Under 21)",$G35="Please Enter The NI Cont. in ££££")),$G35,SUM(MAX(MIN(AI35-'Input Data'!$BG$3,'Input Data'!$BG$5-'Input Data'!$BG$3),0)*VLOOKUP($G35,'Input Data'!$BI$3:$BL$10,2,FALSE),MAX(MIN(AI35-'Input Data'!$BG$5,IF(OR($G35="M (under 21)",$G35="Z (under 21 - deferment)"),'Input Data'!$BG$6,IF($G35="H (Apprentice under 25)",'Input Data'!$BG$7,'Input Data'!$BG$8))-'Input Data'!$BG$5),0)*VLOOKUP($G35,'Input Data'!$BI$3:$BL$10,3,FALSE),MAX((AI35-IF(OR($G35="M (under 21)",$G35="Z (under 21 - deferment)"),'Input Data'!$BG$6,IF($G35="H (Apprentice under 25)",'Input Data'!$BG$7,'Input Data'!$BG$8))),0)*VLOOKUP($G35,'Input Data'!$BI$3:$BL$10,4,FALSE))))</f>
        <v>0</v>
      </c>
      <c r="AR35" s="56">
        <f>IF($G35="",0,IF(NOT(OR($G35="A - All employees not in groups B, C, J, H, M or Z",$G35="B - Married women and widows entitled to reduced NI",$G35="C - Over the State Pension age",$G35="H - Apprentice under 25",$G35="J – Deferment",$G35="M - Under 21",$G35="Z - Deferment (Under 21)",$G35="Please Enter The NI Cont. in ££££")),$G35,SUM(MAX(MIN(AJ35-'Input Data'!$BG$3,'Input Data'!$BG$5-'Input Data'!$BG$3),0)*VLOOKUP($G35,'Input Data'!$BI$3:$BL$10,2,FALSE),MAX(MIN(AJ35-'Input Data'!$BG$5,IF(OR($G35="M (under 21)",$G35="Z (under 21 - deferment)"),'Input Data'!$BG$6,IF($G35="H (Apprentice under 25)",'Input Data'!$BG$7,'Input Data'!$BG$8))-'Input Data'!$BG$5),0)*VLOOKUP($G35,'Input Data'!$BI$3:$BL$10,3,FALSE),MAX((AJ35-IF(OR($G35="M (under 21)",$G35="Z (under 21 - deferment)"),'Input Data'!$BG$6,IF($G35="H (Apprentice under 25)",'Input Data'!$BG$7,'Input Data'!$BG$8))),0)*VLOOKUP($G35,'Input Data'!$BI$3:$BL$10,4,FALSE))))</f>
        <v>0</v>
      </c>
      <c r="AS35" s="56">
        <f>AC35*$F35</f>
        <v>0</v>
      </c>
      <c r="AT35" s="56">
        <f>AD35*$F35</f>
        <v>0</v>
      </c>
      <c r="AU35" s="56">
        <f>AE35*$F35</f>
        <v>0</v>
      </c>
      <c r="AV35" s="56">
        <f>AF35*$F35</f>
        <v>0</v>
      </c>
      <c r="AW35" s="56">
        <f>AG35*$F35</f>
        <v>0</v>
      </c>
      <c r="AX35" s="56">
        <f>AH35*$F35</f>
        <v>0</v>
      </c>
      <c r="AY35" s="56">
        <f>AI35*$F35</f>
        <v>0</v>
      </c>
      <c r="AZ35" s="56">
        <f>AJ35*$F35</f>
        <v>0</v>
      </c>
    </row>
    <row r="36" spans="2:52" ht="25.5">
      <c r="B36" s="60"/>
      <c r="C36" s="57" t="s">
        <v>69</v>
      </c>
      <c r="D36" s="58"/>
      <c r="E36" s="58"/>
      <c r="F36" s="535"/>
      <c r="G36" s="693" t="s">
        <v>1149</v>
      </c>
      <c r="H36" s="65"/>
      <c r="I36" s="65"/>
      <c r="J36" s="65"/>
      <c r="K36" s="65"/>
      <c r="L36" s="65"/>
      <c r="M36" s="65"/>
      <c r="N36" s="65"/>
      <c r="O36" s="65"/>
      <c r="P36" s="29"/>
      <c r="Q36" s="597"/>
      <c r="R36" s="61"/>
      <c r="T36" s="43">
        <f>SUM(AC36,AK36,AS36)</f>
        <v>0</v>
      </c>
      <c r="U36" s="43">
        <f>SUM(AD36,AL36,AT36)</f>
        <v>0</v>
      </c>
      <c r="V36" s="43">
        <f>SUM(AE36,AM36,AU36)</f>
        <v>0</v>
      </c>
      <c r="W36" s="43">
        <f>SUM(AF36,AN36,AV36)</f>
        <v>0</v>
      </c>
      <c r="X36" s="43">
        <f>SUM(AG36,AO36,AW36)</f>
        <v>0</v>
      </c>
      <c r="Y36" s="43">
        <f>SUM(AH36,AP36,AX36)</f>
        <v>0</v>
      </c>
      <c r="Z36" s="43">
        <f>SUM(AI36,AQ36,AY36)</f>
        <v>0</v>
      </c>
      <c r="AA36" s="43">
        <f>SUM(AJ36,AR36,AZ36)</f>
        <v>0</v>
      </c>
      <c r="AC36" s="631">
        <f>SUM($D36:$E36)*H36</f>
        <v>0</v>
      </c>
      <c r="AD36" s="631">
        <f>SUM($D36:$E36)*I36</f>
        <v>0</v>
      </c>
      <c r="AE36" s="631">
        <f>SUM($D36:$E36)*J36</f>
        <v>0</v>
      </c>
      <c r="AF36" s="631">
        <f>SUM($D36:$E36)*K36</f>
        <v>0</v>
      </c>
      <c r="AG36" s="631">
        <f>SUM($D36:$E36)*L36</f>
        <v>0</v>
      </c>
      <c r="AH36" s="631">
        <f>SUM($D36:$E36)*M36</f>
        <v>0</v>
      </c>
      <c r="AI36" s="631">
        <f>SUM($D36:$E36)*N36</f>
        <v>0</v>
      </c>
      <c r="AJ36" s="631">
        <f>SUM($D36:$E36)*O36</f>
        <v>0</v>
      </c>
      <c r="AK36" s="56">
        <f>IF($G36="",0,IF(NOT(OR($G36="A - All employees not in groups B, C, J, H, M or Z",$G36="B - Married women and widows entitled to reduced NI",$G36="C - Over the State Pension age",$G36="H - Apprentice under 25",$G36="J – Deferment",$G36="M - Under 21",$G36="Z - Deferment (Under 21)",$G36="Please Enter The NI Cont. in ££££")),$G36,SUM(MAX(MIN(AC36-'Input Data'!$BG$3,'Input Data'!$BG$5-'Input Data'!$BG$3),0)*VLOOKUP($G36,'Input Data'!$BI$3:$BL$10,2,FALSE),MAX(MIN(AC36-'Input Data'!$BG$5,IF(OR($G36="M (under 21)",$G36="Z (under 21 - deferment)"),'Input Data'!$BG$6,IF($G36="H (Apprentice under 25)",'Input Data'!$BG$7,'Input Data'!$BG$8))-'Input Data'!$BG$5),0)*VLOOKUP($G36,'Input Data'!$BI$3:$BL$10,3,FALSE),MAX((AC36-IF(OR($G36="M (under 21)",$G36="Z (under 21 - deferment)"),'Input Data'!$BG$6,IF($G36="H (Apprentice under 25)",'Input Data'!$BG$7,'Input Data'!$BG$8))),0)*VLOOKUP($G36,'Input Data'!$BI$3:$BL$10,4,FALSE))))</f>
        <v>0</v>
      </c>
      <c r="AL36" s="56">
        <f>IF($G36="",0,IF(NOT(OR($G36="A - All employees not in groups B, C, J, H, M or Z",$G36="B - Married women and widows entitled to reduced NI",$G36="C - Over the State Pension age",$G36="H - Apprentice under 25",$G36="J – Deferment",$G36="M - Under 21",$G36="Z - Deferment (Under 21)",$G36="Please Enter The NI Cont. in ££££")),$G36,SUM(MAX(MIN(AD36-'Input Data'!$BG$3,'Input Data'!$BG$5-'Input Data'!$BG$3),0)*VLOOKUP($G36,'Input Data'!$BI$3:$BL$10,2,FALSE),MAX(MIN(AD36-'Input Data'!$BG$5,IF(OR($G36="M (under 21)",$G36="Z (under 21 - deferment)"),'Input Data'!$BG$6,IF($G36="H (Apprentice under 25)",'Input Data'!$BG$7,'Input Data'!$BG$8))-'Input Data'!$BG$5),0)*VLOOKUP($G36,'Input Data'!$BI$3:$BL$10,3,FALSE),MAX((AD36-IF(OR($G36="M (under 21)",$G36="Z (under 21 - deferment)"),'Input Data'!$BG$6,IF($G36="H (Apprentice under 25)",'Input Data'!$BG$7,'Input Data'!$BG$8))),0)*VLOOKUP($G36,'Input Data'!$BI$3:$BL$10,4,FALSE))))</f>
        <v>0</v>
      </c>
      <c r="AM36" s="56">
        <f>IF($G36="",0,IF(NOT(OR($G36="A - All employees not in groups B, C, J, H, M or Z",$G36="B - Married women and widows entitled to reduced NI",$G36="C - Over the State Pension age",$G36="H - Apprentice under 25",$G36="J – Deferment",$G36="M - Under 21",$G36="Z - Deferment (Under 21)",$G36="Please Enter The NI Cont. in ££££")),$G36,SUM(MAX(MIN(AE36-'Input Data'!$BG$3,'Input Data'!$BG$5-'Input Data'!$BG$3),0)*VLOOKUP($G36,'Input Data'!$BI$3:$BL$10,2,FALSE),MAX(MIN(AE36-'Input Data'!$BG$5,IF(OR($G36="M (under 21)",$G36="Z (under 21 - deferment)"),'Input Data'!$BG$6,IF($G36="H (Apprentice under 25)",'Input Data'!$BG$7,'Input Data'!$BG$8))-'Input Data'!$BG$5),0)*VLOOKUP($G36,'Input Data'!$BI$3:$BL$10,3,FALSE),MAX((AE36-IF(OR($G36="M (under 21)",$G36="Z (under 21 - deferment)"),'Input Data'!$BG$6,IF($G36="H (Apprentice under 25)",'Input Data'!$BG$7,'Input Data'!$BG$8))),0)*VLOOKUP($G36,'Input Data'!$BI$3:$BL$10,4,FALSE))))</f>
        <v>0</v>
      </c>
      <c r="AN36" s="56">
        <f>IF($G36="",0,IF(NOT(OR($G36="A - All employees not in groups B, C, J, H, M or Z",$G36="B - Married women and widows entitled to reduced NI",$G36="C - Over the State Pension age",$G36="H - Apprentice under 25",$G36="J – Deferment",$G36="M - Under 21",$G36="Z - Deferment (Under 21)",$G36="Please Enter The NI Cont. in ££££")),$G36,SUM(MAX(MIN(AF36-'Input Data'!$BG$3,'Input Data'!$BG$5-'Input Data'!$BG$3),0)*VLOOKUP($G36,'Input Data'!$BI$3:$BL$10,2,FALSE),MAX(MIN(AF36-'Input Data'!$BG$5,IF(OR($G36="M (under 21)",$G36="Z (under 21 - deferment)"),'Input Data'!$BG$6,IF($G36="H (Apprentice under 25)",'Input Data'!$BG$7,'Input Data'!$BG$8))-'Input Data'!$BG$5),0)*VLOOKUP($G36,'Input Data'!$BI$3:$BL$10,3,FALSE),MAX((AF36-IF(OR($G36="M (under 21)",$G36="Z (under 21 - deferment)"),'Input Data'!$BG$6,IF($G36="H (Apprentice under 25)",'Input Data'!$BG$7,'Input Data'!$BG$8))),0)*VLOOKUP($G36,'Input Data'!$BI$3:$BL$10,4,FALSE))))</f>
        <v>0</v>
      </c>
      <c r="AO36" s="56">
        <f>IF($G36="",0,IF(NOT(OR($G36="A - All employees not in groups B, C, J, H, M or Z",$G36="B - Married women and widows entitled to reduced NI",$G36="C - Over the State Pension age",$G36="H - Apprentice under 25",$G36="J – Deferment",$G36="M - Under 21",$G36="Z - Deferment (Under 21)",$G36="Please Enter The NI Cont. in ££££")),$G36,SUM(MAX(MIN(AG36-'Input Data'!$BG$3,'Input Data'!$BG$5-'Input Data'!$BG$3),0)*VLOOKUP($G36,'Input Data'!$BI$3:$BL$10,2,FALSE),MAX(MIN(AG36-'Input Data'!$BG$5,IF(OR($G36="M (under 21)",$G36="Z (under 21 - deferment)"),'Input Data'!$BG$6,IF($G36="H (Apprentice under 25)",'Input Data'!$BG$7,'Input Data'!$BG$8))-'Input Data'!$BG$5),0)*VLOOKUP($G36,'Input Data'!$BI$3:$BL$10,3,FALSE),MAX((AG36-IF(OR($G36="M (under 21)",$G36="Z (under 21 - deferment)"),'Input Data'!$BG$6,IF($G36="H (Apprentice under 25)",'Input Data'!$BG$7,'Input Data'!$BG$8))),0)*VLOOKUP($G36,'Input Data'!$BI$3:$BL$10,4,FALSE))))</f>
        <v>0</v>
      </c>
      <c r="AP36" s="56">
        <f>IF($G36="",0,IF(NOT(OR($G36="A - All employees not in groups B, C, J, H, M or Z",$G36="B - Married women and widows entitled to reduced NI",$G36="C - Over the State Pension age",$G36="H - Apprentice under 25",$G36="J – Deferment",$G36="M - Under 21",$G36="Z - Deferment (Under 21)",$G36="Please Enter The NI Cont. in ££££")),$G36,SUM(MAX(MIN(AH36-'Input Data'!$BG$3,'Input Data'!$BG$5-'Input Data'!$BG$3),0)*VLOOKUP($G36,'Input Data'!$BI$3:$BL$10,2,FALSE),MAX(MIN(AH36-'Input Data'!$BG$5,IF(OR($G36="M (under 21)",$G36="Z (under 21 - deferment)"),'Input Data'!$BG$6,IF($G36="H (Apprentice under 25)",'Input Data'!$BG$7,'Input Data'!$BG$8))-'Input Data'!$BG$5),0)*VLOOKUP($G36,'Input Data'!$BI$3:$BL$10,3,FALSE),MAX((AH36-IF(OR($G36="M (under 21)",$G36="Z (under 21 - deferment)"),'Input Data'!$BG$6,IF($G36="H (Apprentice under 25)",'Input Data'!$BG$7,'Input Data'!$BG$8))),0)*VLOOKUP($G36,'Input Data'!$BI$3:$BL$10,4,FALSE))))</f>
        <v>0</v>
      </c>
      <c r="AQ36" s="56">
        <f>IF($G36="",0,IF(NOT(OR($G36="A - All employees not in groups B, C, J, H, M or Z",$G36="B - Married women and widows entitled to reduced NI",$G36="C - Over the State Pension age",$G36="H - Apprentice under 25",$G36="J – Deferment",$G36="M - Under 21",$G36="Z - Deferment (Under 21)",$G36="Please Enter The NI Cont. in ££££")),$G36,SUM(MAX(MIN(AI36-'Input Data'!$BG$3,'Input Data'!$BG$5-'Input Data'!$BG$3),0)*VLOOKUP($G36,'Input Data'!$BI$3:$BL$10,2,FALSE),MAX(MIN(AI36-'Input Data'!$BG$5,IF(OR($G36="M (under 21)",$G36="Z (under 21 - deferment)"),'Input Data'!$BG$6,IF($G36="H (Apprentice under 25)",'Input Data'!$BG$7,'Input Data'!$BG$8))-'Input Data'!$BG$5),0)*VLOOKUP($G36,'Input Data'!$BI$3:$BL$10,3,FALSE),MAX((AI36-IF(OR($G36="M (under 21)",$G36="Z (under 21 - deferment)"),'Input Data'!$BG$6,IF($G36="H (Apprentice under 25)",'Input Data'!$BG$7,'Input Data'!$BG$8))),0)*VLOOKUP($G36,'Input Data'!$BI$3:$BL$10,4,FALSE))))</f>
        <v>0</v>
      </c>
      <c r="AR36" s="56">
        <f>IF($G36="",0,IF(NOT(OR($G36="A - All employees not in groups B, C, J, H, M or Z",$G36="B - Married women and widows entitled to reduced NI",$G36="C - Over the State Pension age",$G36="H - Apprentice under 25",$G36="J – Deferment",$G36="M - Under 21",$G36="Z - Deferment (Under 21)",$G36="Please Enter The NI Cont. in ££££")),$G36,SUM(MAX(MIN(AJ36-'Input Data'!$BG$3,'Input Data'!$BG$5-'Input Data'!$BG$3),0)*VLOOKUP($G36,'Input Data'!$BI$3:$BL$10,2,FALSE),MAX(MIN(AJ36-'Input Data'!$BG$5,IF(OR($G36="M (under 21)",$G36="Z (under 21 - deferment)"),'Input Data'!$BG$6,IF($G36="H (Apprentice under 25)",'Input Data'!$BG$7,'Input Data'!$BG$8))-'Input Data'!$BG$5),0)*VLOOKUP($G36,'Input Data'!$BI$3:$BL$10,3,FALSE),MAX((AJ36-IF(OR($G36="M (under 21)",$G36="Z (under 21 - deferment)"),'Input Data'!$BG$6,IF($G36="H (Apprentice under 25)",'Input Data'!$BG$7,'Input Data'!$BG$8))),0)*VLOOKUP($G36,'Input Data'!$BI$3:$BL$10,4,FALSE))))</f>
        <v>0</v>
      </c>
      <c r="AS36" s="56">
        <f>AC36*$F36</f>
        <v>0</v>
      </c>
      <c r="AT36" s="56">
        <f>AD36*$F36</f>
        <v>0</v>
      </c>
      <c r="AU36" s="56">
        <f>AE36*$F36</f>
        <v>0</v>
      </c>
      <c r="AV36" s="56">
        <f>AF36*$F36</f>
        <v>0</v>
      </c>
      <c r="AW36" s="56">
        <f>AG36*$F36</f>
        <v>0</v>
      </c>
      <c r="AX36" s="56">
        <f>AH36*$F36</f>
        <v>0</v>
      </c>
      <c r="AY36" s="56">
        <f>AI36*$F36</f>
        <v>0</v>
      </c>
      <c r="AZ36" s="56">
        <f>AJ36*$F36</f>
        <v>0</v>
      </c>
    </row>
    <row r="37" spans="2:52" ht="25.5">
      <c r="B37" s="60"/>
      <c r="C37" s="57" t="s">
        <v>70</v>
      </c>
      <c r="D37" s="58"/>
      <c r="E37" s="58"/>
      <c r="F37" s="535"/>
      <c r="G37" s="693" t="s">
        <v>1149</v>
      </c>
      <c r="H37" s="65"/>
      <c r="I37" s="65"/>
      <c r="J37" s="65"/>
      <c r="K37" s="65"/>
      <c r="L37" s="65"/>
      <c r="M37" s="65"/>
      <c r="N37" s="65"/>
      <c r="O37" s="65"/>
      <c r="P37" s="29"/>
      <c r="Q37" s="597"/>
      <c r="R37" s="61"/>
      <c r="T37" s="43">
        <f>SUM(AC37,AK37,AS37)</f>
        <v>0</v>
      </c>
      <c r="U37" s="43">
        <f>SUM(AD37,AL37,AT37)</f>
        <v>0</v>
      </c>
      <c r="V37" s="43">
        <f>SUM(AE37,AM37,AU37)</f>
        <v>0</v>
      </c>
      <c r="W37" s="43">
        <f>SUM(AF37,AN37,AV37)</f>
        <v>0</v>
      </c>
      <c r="X37" s="43">
        <f>SUM(AG37,AO37,AW37)</f>
        <v>0</v>
      </c>
      <c r="Y37" s="43">
        <f>SUM(AH37,AP37,AX37)</f>
        <v>0</v>
      </c>
      <c r="Z37" s="43">
        <f>SUM(AI37,AQ37,AY37)</f>
        <v>0</v>
      </c>
      <c r="AA37" s="43">
        <f>SUM(AJ37,AR37,AZ37)</f>
        <v>0</v>
      </c>
      <c r="AC37" s="631">
        <f>SUM($D37:$E37)*H37</f>
        <v>0</v>
      </c>
      <c r="AD37" s="631">
        <f>SUM($D37:$E37)*I37</f>
        <v>0</v>
      </c>
      <c r="AE37" s="631">
        <f>SUM($D37:$E37)*J37</f>
        <v>0</v>
      </c>
      <c r="AF37" s="631">
        <f>SUM($D37:$E37)*K37</f>
        <v>0</v>
      </c>
      <c r="AG37" s="631">
        <f>SUM($D37:$E37)*L37</f>
        <v>0</v>
      </c>
      <c r="AH37" s="631">
        <f>SUM($D37:$E37)*M37</f>
        <v>0</v>
      </c>
      <c r="AI37" s="631">
        <f>SUM($D37:$E37)*N37</f>
        <v>0</v>
      </c>
      <c r="AJ37" s="631">
        <f>SUM($D37:$E37)*O37</f>
        <v>0</v>
      </c>
      <c r="AK37" s="56">
        <f>IF($G37="",0,IF(NOT(OR($G37="A - All employees not in groups B, C, J, H, M or Z",$G37="B - Married women and widows entitled to reduced NI",$G37="C - Over the State Pension age",$G37="H - Apprentice under 25",$G37="J – Deferment",$G37="M - Under 21",$G37="Z - Deferment (Under 21)",$G37="Please Enter The NI Cont. in ££££")),$G37,SUM(MAX(MIN(AC37-'Input Data'!$BG$3,'Input Data'!$BG$5-'Input Data'!$BG$3),0)*VLOOKUP($G37,'Input Data'!$BI$3:$BL$10,2,FALSE),MAX(MIN(AC37-'Input Data'!$BG$5,IF(OR($G37="M (under 21)",$G37="Z (under 21 - deferment)"),'Input Data'!$BG$6,IF($G37="H (Apprentice under 25)",'Input Data'!$BG$7,'Input Data'!$BG$8))-'Input Data'!$BG$5),0)*VLOOKUP($G37,'Input Data'!$BI$3:$BL$10,3,FALSE),MAX((AC37-IF(OR($G37="M (under 21)",$G37="Z (under 21 - deferment)"),'Input Data'!$BG$6,IF($G37="H (Apprentice under 25)",'Input Data'!$BG$7,'Input Data'!$BG$8))),0)*VLOOKUP($G37,'Input Data'!$BI$3:$BL$10,4,FALSE))))</f>
        <v>0</v>
      </c>
      <c r="AL37" s="56">
        <f>IF($G37="",0,IF(NOT(OR($G37="A - All employees not in groups B, C, J, H, M or Z",$G37="B - Married women and widows entitled to reduced NI",$G37="C - Over the State Pension age",$G37="H - Apprentice under 25",$G37="J – Deferment",$G37="M - Under 21",$G37="Z - Deferment (Under 21)",$G37="Please Enter The NI Cont. in ££££")),$G37,SUM(MAX(MIN(AD37-'Input Data'!$BG$3,'Input Data'!$BG$5-'Input Data'!$BG$3),0)*VLOOKUP($G37,'Input Data'!$BI$3:$BL$10,2,FALSE),MAX(MIN(AD37-'Input Data'!$BG$5,IF(OR($G37="M (under 21)",$G37="Z (under 21 - deferment)"),'Input Data'!$BG$6,IF($G37="H (Apprentice under 25)",'Input Data'!$BG$7,'Input Data'!$BG$8))-'Input Data'!$BG$5),0)*VLOOKUP($G37,'Input Data'!$BI$3:$BL$10,3,FALSE),MAX((AD37-IF(OR($G37="M (under 21)",$G37="Z (under 21 - deferment)"),'Input Data'!$BG$6,IF($G37="H (Apprentice under 25)",'Input Data'!$BG$7,'Input Data'!$BG$8))),0)*VLOOKUP($G37,'Input Data'!$BI$3:$BL$10,4,FALSE))))</f>
        <v>0</v>
      </c>
      <c r="AM37" s="56">
        <f>IF($G37="",0,IF(NOT(OR($G37="A - All employees not in groups B, C, J, H, M or Z",$G37="B - Married women and widows entitled to reduced NI",$G37="C - Over the State Pension age",$G37="H - Apprentice under 25",$G37="J – Deferment",$G37="M - Under 21",$G37="Z - Deferment (Under 21)",$G37="Please Enter The NI Cont. in ££££")),$G37,SUM(MAX(MIN(AE37-'Input Data'!$BG$3,'Input Data'!$BG$5-'Input Data'!$BG$3),0)*VLOOKUP($G37,'Input Data'!$BI$3:$BL$10,2,FALSE),MAX(MIN(AE37-'Input Data'!$BG$5,IF(OR($G37="M (under 21)",$G37="Z (under 21 - deferment)"),'Input Data'!$BG$6,IF($G37="H (Apprentice under 25)",'Input Data'!$BG$7,'Input Data'!$BG$8))-'Input Data'!$BG$5),0)*VLOOKUP($G37,'Input Data'!$BI$3:$BL$10,3,FALSE),MAX((AE37-IF(OR($G37="M (under 21)",$G37="Z (under 21 - deferment)"),'Input Data'!$BG$6,IF($G37="H (Apprentice under 25)",'Input Data'!$BG$7,'Input Data'!$BG$8))),0)*VLOOKUP($G37,'Input Data'!$BI$3:$BL$10,4,FALSE))))</f>
        <v>0</v>
      </c>
      <c r="AN37" s="56">
        <f>IF($G37="",0,IF(NOT(OR($G37="A - All employees not in groups B, C, J, H, M or Z",$G37="B - Married women and widows entitled to reduced NI",$G37="C - Over the State Pension age",$G37="H - Apprentice under 25",$G37="J – Deferment",$G37="M - Under 21",$G37="Z - Deferment (Under 21)",$G37="Please Enter The NI Cont. in ££££")),$G37,SUM(MAX(MIN(AF37-'Input Data'!$BG$3,'Input Data'!$BG$5-'Input Data'!$BG$3),0)*VLOOKUP($G37,'Input Data'!$BI$3:$BL$10,2,FALSE),MAX(MIN(AF37-'Input Data'!$BG$5,IF(OR($G37="M (under 21)",$G37="Z (under 21 - deferment)"),'Input Data'!$BG$6,IF($G37="H (Apprentice under 25)",'Input Data'!$BG$7,'Input Data'!$BG$8))-'Input Data'!$BG$5),0)*VLOOKUP($G37,'Input Data'!$BI$3:$BL$10,3,FALSE),MAX((AF37-IF(OR($G37="M (under 21)",$G37="Z (under 21 - deferment)"),'Input Data'!$BG$6,IF($G37="H (Apprentice under 25)",'Input Data'!$BG$7,'Input Data'!$BG$8))),0)*VLOOKUP($G37,'Input Data'!$BI$3:$BL$10,4,FALSE))))</f>
        <v>0</v>
      </c>
      <c r="AO37" s="56">
        <f>IF($G37="",0,IF(NOT(OR($G37="A - All employees not in groups B, C, J, H, M or Z",$G37="B - Married women and widows entitled to reduced NI",$G37="C - Over the State Pension age",$G37="H - Apprentice under 25",$G37="J – Deferment",$G37="M - Under 21",$G37="Z - Deferment (Under 21)",$G37="Please Enter The NI Cont. in ££££")),$G37,SUM(MAX(MIN(AG37-'Input Data'!$BG$3,'Input Data'!$BG$5-'Input Data'!$BG$3),0)*VLOOKUP($G37,'Input Data'!$BI$3:$BL$10,2,FALSE),MAX(MIN(AG37-'Input Data'!$BG$5,IF(OR($G37="M (under 21)",$G37="Z (under 21 - deferment)"),'Input Data'!$BG$6,IF($G37="H (Apprentice under 25)",'Input Data'!$BG$7,'Input Data'!$BG$8))-'Input Data'!$BG$5),0)*VLOOKUP($G37,'Input Data'!$BI$3:$BL$10,3,FALSE),MAX((AG37-IF(OR($G37="M (under 21)",$G37="Z (under 21 - deferment)"),'Input Data'!$BG$6,IF($G37="H (Apprentice under 25)",'Input Data'!$BG$7,'Input Data'!$BG$8))),0)*VLOOKUP($G37,'Input Data'!$BI$3:$BL$10,4,FALSE))))</f>
        <v>0</v>
      </c>
      <c r="AP37" s="56">
        <f>IF($G37="",0,IF(NOT(OR($G37="A - All employees not in groups B, C, J, H, M or Z",$G37="B - Married women and widows entitled to reduced NI",$G37="C - Over the State Pension age",$G37="H - Apprentice under 25",$G37="J – Deferment",$G37="M - Under 21",$G37="Z - Deferment (Under 21)",$G37="Please Enter The NI Cont. in ££££")),$G37,SUM(MAX(MIN(AH37-'Input Data'!$BG$3,'Input Data'!$BG$5-'Input Data'!$BG$3),0)*VLOOKUP($G37,'Input Data'!$BI$3:$BL$10,2,FALSE),MAX(MIN(AH37-'Input Data'!$BG$5,IF(OR($G37="M (under 21)",$G37="Z (under 21 - deferment)"),'Input Data'!$BG$6,IF($G37="H (Apprentice under 25)",'Input Data'!$BG$7,'Input Data'!$BG$8))-'Input Data'!$BG$5),0)*VLOOKUP($G37,'Input Data'!$BI$3:$BL$10,3,FALSE),MAX((AH37-IF(OR($G37="M (under 21)",$G37="Z (under 21 - deferment)"),'Input Data'!$BG$6,IF($G37="H (Apprentice under 25)",'Input Data'!$BG$7,'Input Data'!$BG$8))),0)*VLOOKUP($G37,'Input Data'!$BI$3:$BL$10,4,FALSE))))</f>
        <v>0</v>
      </c>
      <c r="AQ37" s="56">
        <f>IF($G37="",0,IF(NOT(OR($G37="A - All employees not in groups B, C, J, H, M or Z",$G37="B - Married women and widows entitled to reduced NI",$G37="C - Over the State Pension age",$G37="H - Apprentice under 25",$G37="J – Deferment",$G37="M - Under 21",$G37="Z - Deferment (Under 21)",$G37="Please Enter The NI Cont. in ££££")),$G37,SUM(MAX(MIN(AI37-'Input Data'!$BG$3,'Input Data'!$BG$5-'Input Data'!$BG$3),0)*VLOOKUP($G37,'Input Data'!$BI$3:$BL$10,2,FALSE),MAX(MIN(AI37-'Input Data'!$BG$5,IF(OR($G37="M (under 21)",$G37="Z (under 21 - deferment)"),'Input Data'!$BG$6,IF($G37="H (Apprentice under 25)",'Input Data'!$BG$7,'Input Data'!$BG$8))-'Input Data'!$BG$5),0)*VLOOKUP($G37,'Input Data'!$BI$3:$BL$10,3,FALSE),MAX((AI37-IF(OR($G37="M (under 21)",$G37="Z (under 21 - deferment)"),'Input Data'!$BG$6,IF($G37="H (Apprentice under 25)",'Input Data'!$BG$7,'Input Data'!$BG$8))),0)*VLOOKUP($G37,'Input Data'!$BI$3:$BL$10,4,FALSE))))</f>
        <v>0</v>
      </c>
      <c r="AR37" s="56">
        <f>IF($G37="",0,IF(NOT(OR($G37="A - All employees not in groups B, C, J, H, M or Z",$G37="B - Married women and widows entitled to reduced NI",$G37="C - Over the State Pension age",$G37="H - Apprentice under 25",$G37="J – Deferment",$G37="M - Under 21",$G37="Z - Deferment (Under 21)",$G37="Please Enter The NI Cont. in ££££")),$G37,SUM(MAX(MIN(AJ37-'Input Data'!$BG$3,'Input Data'!$BG$5-'Input Data'!$BG$3),0)*VLOOKUP($G37,'Input Data'!$BI$3:$BL$10,2,FALSE),MAX(MIN(AJ37-'Input Data'!$BG$5,IF(OR($G37="M (under 21)",$G37="Z (under 21 - deferment)"),'Input Data'!$BG$6,IF($G37="H (Apprentice under 25)",'Input Data'!$BG$7,'Input Data'!$BG$8))-'Input Data'!$BG$5),0)*VLOOKUP($G37,'Input Data'!$BI$3:$BL$10,3,FALSE),MAX((AJ37-IF(OR($G37="M (under 21)",$G37="Z (under 21 - deferment)"),'Input Data'!$BG$6,IF($G37="H (Apprentice under 25)",'Input Data'!$BG$7,'Input Data'!$BG$8))),0)*VLOOKUP($G37,'Input Data'!$BI$3:$BL$10,4,FALSE))))</f>
        <v>0</v>
      </c>
      <c r="AS37" s="56">
        <f>AC37*$F37</f>
        <v>0</v>
      </c>
      <c r="AT37" s="56">
        <f>AD37*$F37</f>
        <v>0</v>
      </c>
      <c r="AU37" s="56">
        <f>AE37*$F37</f>
        <v>0</v>
      </c>
      <c r="AV37" s="56">
        <f>AF37*$F37</f>
        <v>0</v>
      </c>
      <c r="AW37" s="56">
        <f>AG37*$F37</f>
        <v>0</v>
      </c>
      <c r="AX37" s="56">
        <f>AH37*$F37</f>
        <v>0</v>
      </c>
      <c r="AY37" s="56">
        <f>AI37*$F37</f>
        <v>0</v>
      </c>
      <c r="AZ37" s="56">
        <f>AJ37*$F37</f>
        <v>0</v>
      </c>
    </row>
    <row r="38" spans="2:52" ht="25.5">
      <c r="B38" s="60"/>
      <c r="C38" s="57" t="s">
        <v>71</v>
      </c>
      <c r="D38" s="58"/>
      <c r="E38" s="58"/>
      <c r="F38" s="535"/>
      <c r="G38" s="693" t="s">
        <v>1149</v>
      </c>
      <c r="H38" s="65"/>
      <c r="I38" s="65"/>
      <c r="J38" s="65"/>
      <c r="K38" s="65"/>
      <c r="L38" s="65"/>
      <c r="M38" s="65"/>
      <c r="N38" s="65"/>
      <c r="O38" s="65"/>
      <c r="P38" s="29"/>
      <c r="Q38" s="597"/>
      <c r="R38" s="61"/>
      <c r="T38" s="43">
        <f>SUM(AC38,AK38,AS38)</f>
        <v>0</v>
      </c>
      <c r="U38" s="43">
        <f>SUM(AD38,AL38,AT38)</f>
        <v>0</v>
      </c>
      <c r="V38" s="43">
        <f>SUM(AE38,AM38,AU38)</f>
        <v>0</v>
      </c>
      <c r="W38" s="43">
        <f>SUM(AF38,AN38,AV38)</f>
        <v>0</v>
      </c>
      <c r="X38" s="43">
        <f>SUM(AG38,AO38,AW38)</f>
        <v>0</v>
      </c>
      <c r="Y38" s="43">
        <f>SUM(AH38,AP38,AX38)</f>
        <v>0</v>
      </c>
      <c r="Z38" s="43">
        <f>SUM(AI38,AQ38,AY38)</f>
        <v>0</v>
      </c>
      <c r="AA38" s="43">
        <f>SUM(AJ38,AR38,AZ38)</f>
        <v>0</v>
      </c>
      <c r="AC38" s="631">
        <f>SUM($D38:$E38)*H38</f>
        <v>0</v>
      </c>
      <c r="AD38" s="631">
        <f>SUM($D38:$E38)*I38</f>
        <v>0</v>
      </c>
      <c r="AE38" s="631">
        <f>SUM($D38:$E38)*J38</f>
        <v>0</v>
      </c>
      <c r="AF38" s="631">
        <f>SUM($D38:$E38)*K38</f>
        <v>0</v>
      </c>
      <c r="AG38" s="631">
        <f>SUM($D38:$E38)*L38</f>
        <v>0</v>
      </c>
      <c r="AH38" s="631">
        <f>SUM($D38:$E38)*M38</f>
        <v>0</v>
      </c>
      <c r="AI38" s="631">
        <f>SUM($D38:$E38)*N38</f>
        <v>0</v>
      </c>
      <c r="AJ38" s="631">
        <f>SUM($D38:$E38)*O38</f>
        <v>0</v>
      </c>
      <c r="AK38" s="56">
        <f>IF($G38="",0,IF(NOT(OR($G38="A - All employees not in groups B, C, J, H, M or Z",$G38="B - Married women and widows entitled to reduced NI",$G38="C - Over the State Pension age",$G38="H - Apprentice under 25",$G38="J – Deferment",$G38="M - Under 21",$G38="Z - Deferment (Under 21)",$G38="Please Enter The NI Cont. in ££££")),$G38,SUM(MAX(MIN(AC38-'Input Data'!$BG$3,'Input Data'!$BG$5-'Input Data'!$BG$3),0)*VLOOKUP($G38,'Input Data'!$BI$3:$BL$10,2,FALSE),MAX(MIN(AC38-'Input Data'!$BG$5,IF(OR($G38="M (under 21)",$G38="Z (under 21 - deferment)"),'Input Data'!$BG$6,IF($G38="H (Apprentice under 25)",'Input Data'!$BG$7,'Input Data'!$BG$8))-'Input Data'!$BG$5),0)*VLOOKUP($G38,'Input Data'!$BI$3:$BL$10,3,FALSE),MAX((AC38-IF(OR($G38="M (under 21)",$G38="Z (under 21 - deferment)"),'Input Data'!$BG$6,IF($G38="H (Apprentice under 25)",'Input Data'!$BG$7,'Input Data'!$BG$8))),0)*VLOOKUP($G38,'Input Data'!$BI$3:$BL$10,4,FALSE))))</f>
        <v>0</v>
      </c>
      <c r="AL38" s="56">
        <f>IF($G38="",0,IF(NOT(OR($G38="A - All employees not in groups B, C, J, H, M or Z",$G38="B - Married women and widows entitled to reduced NI",$G38="C - Over the State Pension age",$G38="H - Apprentice under 25",$G38="J – Deferment",$G38="M - Under 21",$G38="Z - Deferment (Under 21)",$G38="Please Enter The NI Cont. in ££££")),$G38,SUM(MAX(MIN(AD38-'Input Data'!$BG$3,'Input Data'!$BG$5-'Input Data'!$BG$3),0)*VLOOKUP($G38,'Input Data'!$BI$3:$BL$10,2,FALSE),MAX(MIN(AD38-'Input Data'!$BG$5,IF(OR($G38="M (under 21)",$G38="Z (under 21 - deferment)"),'Input Data'!$BG$6,IF($G38="H (Apprentice under 25)",'Input Data'!$BG$7,'Input Data'!$BG$8))-'Input Data'!$BG$5),0)*VLOOKUP($G38,'Input Data'!$BI$3:$BL$10,3,FALSE),MAX((AD38-IF(OR($G38="M (under 21)",$G38="Z (under 21 - deferment)"),'Input Data'!$BG$6,IF($G38="H (Apprentice under 25)",'Input Data'!$BG$7,'Input Data'!$BG$8))),0)*VLOOKUP($G38,'Input Data'!$BI$3:$BL$10,4,FALSE))))</f>
        <v>0</v>
      </c>
      <c r="AM38" s="56">
        <f>IF($G38="",0,IF(NOT(OR($G38="A - All employees not in groups B, C, J, H, M or Z",$G38="B - Married women and widows entitled to reduced NI",$G38="C - Over the State Pension age",$G38="H - Apprentice under 25",$G38="J – Deferment",$G38="M - Under 21",$G38="Z - Deferment (Under 21)",$G38="Please Enter The NI Cont. in ££££")),$G38,SUM(MAX(MIN(AE38-'Input Data'!$BG$3,'Input Data'!$BG$5-'Input Data'!$BG$3),0)*VLOOKUP($G38,'Input Data'!$BI$3:$BL$10,2,FALSE),MAX(MIN(AE38-'Input Data'!$BG$5,IF(OR($G38="M (under 21)",$G38="Z (under 21 - deferment)"),'Input Data'!$BG$6,IF($G38="H (Apprentice under 25)",'Input Data'!$BG$7,'Input Data'!$BG$8))-'Input Data'!$BG$5),0)*VLOOKUP($G38,'Input Data'!$BI$3:$BL$10,3,FALSE),MAX((AE38-IF(OR($G38="M (under 21)",$G38="Z (under 21 - deferment)"),'Input Data'!$BG$6,IF($G38="H (Apprentice under 25)",'Input Data'!$BG$7,'Input Data'!$BG$8))),0)*VLOOKUP($G38,'Input Data'!$BI$3:$BL$10,4,FALSE))))</f>
        <v>0</v>
      </c>
      <c r="AN38" s="56">
        <f>IF($G38="",0,IF(NOT(OR($G38="A - All employees not in groups B, C, J, H, M or Z",$G38="B - Married women and widows entitled to reduced NI",$G38="C - Over the State Pension age",$G38="H - Apprentice under 25",$G38="J – Deferment",$G38="M - Under 21",$G38="Z - Deferment (Under 21)",$G38="Please Enter The NI Cont. in ££££")),$G38,SUM(MAX(MIN(AF38-'Input Data'!$BG$3,'Input Data'!$BG$5-'Input Data'!$BG$3),0)*VLOOKUP($G38,'Input Data'!$BI$3:$BL$10,2,FALSE),MAX(MIN(AF38-'Input Data'!$BG$5,IF(OR($G38="M (under 21)",$G38="Z (under 21 - deferment)"),'Input Data'!$BG$6,IF($G38="H (Apprentice under 25)",'Input Data'!$BG$7,'Input Data'!$BG$8))-'Input Data'!$BG$5),0)*VLOOKUP($G38,'Input Data'!$BI$3:$BL$10,3,FALSE),MAX((AF38-IF(OR($G38="M (under 21)",$G38="Z (under 21 - deferment)"),'Input Data'!$BG$6,IF($G38="H (Apprentice under 25)",'Input Data'!$BG$7,'Input Data'!$BG$8))),0)*VLOOKUP($G38,'Input Data'!$BI$3:$BL$10,4,FALSE))))</f>
        <v>0</v>
      </c>
      <c r="AO38" s="56">
        <f>IF($G38="",0,IF(NOT(OR($G38="A - All employees not in groups B, C, J, H, M or Z",$G38="B - Married women and widows entitled to reduced NI",$G38="C - Over the State Pension age",$G38="H - Apprentice under 25",$G38="J – Deferment",$G38="M - Under 21",$G38="Z - Deferment (Under 21)",$G38="Please Enter The NI Cont. in ££££")),$G38,SUM(MAX(MIN(AG38-'Input Data'!$BG$3,'Input Data'!$BG$5-'Input Data'!$BG$3),0)*VLOOKUP($G38,'Input Data'!$BI$3:$BL$10,2,FALSE),MAX(MIN(AG38-'Input Data'!$BG$5,IF(OR($G38="M (under 21)",$G38="Z (under 21 - deferment)"),'Input Data'!$BG$6,IF($G38="H (Apprentice under 25)",'Input Data'!$BG$7,'Input Data'!$BG$8))-'Input Data'!$BG$5),0)*VLOOKUP($G38,'Input Data'!$BI$3:$BL$10,3,FALSE),MAX((AG38-IF(OR($G38="M (under 21)",$G38="Z (under 21 - deferment)"),'Input Data'!$BG$6,IF($G38="H (Apprentice under 25)",'Input Data'!$BG$7,'Input Data'!$BG$8))),0)*VLOOKUP($G38,'Input Data'!$BI$3:$BL$10,4,FALSE))))</f>
        <v>0</v>
      </c>
      <c r="AP38" s="56">
        <f>IF($G38="",0,IF(NOT(OR($G38="A - All employees not in groups B, C, J, H, M or Z",$G38="B - Married women and widows entitled to reduced NI",$G38="C - Over the State Pension age",$G38="H - Apprentice under 25",$G38="J – Deferment",$G38="M - Under 21",$G38="Z - Deferment (Under 21)",$G38="Please Enter The NI Cont. in ££££")),$G38,SUM(MAX(MIN(AH38-'Input Data'!$BG$3,'Input Data'!$BG$5-'Input Data'!$BG$3),0)*VLOOKUP($G38,'Input Data'!$BI$3:$BL$10,2,FALSE),MAX(MIN(AH38-'Input Data'!$BG$5,IF(OR($G38="M (under 21)",$G38="Z (under 21 - deferment)"),'Input Data'!$BG$6,IF($G38="H (Apprentice under 25)",'Input Data'!$BG$7,'Input Data'!$BG$8))-'Input Data'!$BG$5),0)*VLOOKUP($G38,'Input Data'!$BI$3:$BL$10,3,FALSE),MAX((AH38-IF(OR($G38="M (under 21)",$G38="Z (under 21 - deferment)"),'Input Data'!$BG$6,IF($G38="H (Apprentice under 25)",'Input Data'!$BG$7,'Input Data'!$BG$8))),0)*VLOOKUP($G38,'Input Data'!$BI$3:$BL$10,4,FALSE))))</f>
        <v>0</v>
      </c>
      <c r="AQ38" s="56">
        <f>IF($G38="",0,IF(NOT(OR($G38="A - All employees not in groups B, C, J, H, M or Z",$G38="B - Married women and widows entitled to reduced NI",$G38="C - Over the State Pension age",$G38="H - Apprentice under 25",$G38="J – Deferment",$G38="M - Under 21",$G38="Z - Deferment (Under 21)",$G38="Please Enter The NI Cont. in ££££")),$G38,SUM(MAX(MIN(AI38-'Input Data'!$BG$3,'Input Data'!$BG$5-'Input Data'!$BG$3),0)*VLOOKUP($G38,'Input Data'!$BI$3:$BL$10,2,FALSE),MAX(MIN(AI38-'Input Data'!$BG$5,IF(OR($G38="M (under 21)",$G38="Z (under 21 - deferment)"),'Input Data'!$BG$6,IF($G38="H (Apprentice under 25)",'Input Data'!$BG$7,'Input Data'!$BG$8))-'Input Data'!$BG$5),0)*VLOOKUP($G38,'Input Data'!$BI$3:$BL$10,3,FALSE),MAX((AI38-IF(OR($G38="M (under 21)",$G38="Z (under 21 - deferment)"),'Input Data'!$BG$6,IF($G38="H (Apprentice under 25)",'Input Data'!$BG$7,'Input Data'!$BG$8))),0)*VLOOKUP($G38,'Input Data'!$BI$3:$BL$10,4,FALSE))))</f>
        <v>0</v>
      </c>
      <c r="AR38" s="56">
        <f>IF($G38="",0,IF(NOT(OR($G38="A - All employees not in groups B, C, J, H, M or Z",$G38="B - Married women and widows entitled to reduced NI",$G38="C - Over the State Pension age",$G38="H - Apprentice under 25",$G38="J – Deferment",$G38="M - Under 21",$G38="Z - Deferment (Under 21)",$G38="Please Enter The NI Cont. in ££££")),$G38,SUM(MAX(MIN(AJ38-'Input Data'!$BG$3,'Input Data'!$BG$5-'Input Data'!$BG$3),0)*VLOOKUP($G38,'Input Data'!$BI$3:$BL$10,2,FALSE),MAX(MIN(AJ38-'Input Data'!$BG$5,IF(OR($G38="M (under 21)",$G38="Z (under 21 - deferment)"),'Input Data'!$BG$6,IF($G38="H (Apprentice under 25)",'Input Data'!$BG$7,'Input Data'!$BG$8))-'Input Data'!$BG$5),0)*VLOOKUP($G38,'Input Data'!$BI$3:$BL$10,3,FALSE),MAX((AJ38-IF(OR($G38="M (under 21)",$G38="Z (under 21 - deferment)"),'Input Data'!$BG$6,IF($G38="H (Apprentice under 25)",'Input Data'!$BG$7,'Input Data'!$BG$8))),0)*VLOOKUP($G38,'Input Data'!$BI$3:$BL$10,4,FALSE))))</f>
        <v>0</v>
      </c>
      <c r="AS38" s="56">
        <f>AC38*$F38</f>
        <v>0</v>
      </c>
      <c r="AT38" s="56">
        <f>AD38*$F38</f>
        <v>0</v>
      </c>
      <c r="AU38" s="56">
        <f>AE38*$F38</f>
        <v>0</v>
      </c>
      <c r="AV38" s="56">
        <f>AF38*$F38</f>
        <v>0</v>
      </c>
      <c r="AW38" s="56">
        <f>AG38*$F38</f>
        <v>0</v>
      </c>
      <c r="AX38" s="56">
        <f>AH38*$F38</f>
        <v>0</v>
      </c>
      <c r="AY38" s="56">
        <f>AI38*$F38</f>
        <v>0</v>
      </c>
      <c r="AZ38" s="56">
        <f>AJ38*$F38</f>
        <v>0</v>
      </c>
    </row>
    <row r="39" spans="2:52" ht="25.5">
      <c r="B39" s="60"/>
      <c r="C39" s="57" t="s">
        <v>72</v>
      </c>
      <c r="D39" s="58"/>
      <c r="E39" s="58"/>
      <c r="F39" s="535"/>
      <c r="G39" s="693" t="s">
        <v>1149</v>
      </c>
      <c r="H39" s="65"/>
      <c r="I39" s="65"/>
      <c r="J39" s="65"/>
      <c r="K39" s="65"/>
      <c r="L39" s="65"/>
      <c r="M39" s="65"/>
      <c r="N39" s="65"/>
      <c r="O39" s="65"/>
      <c r="P39" s="29"/>
      <c r="Q39" s="597"/>
      <c r="R39" s="61"/>
      <c r="T39" s="43">
        <f>SUM(AC39,AK39,AS39)</f>
        <v>0</v>
      </c>
      <c r="U39" s="43">
        <f>SUM(AD39,AL39,AT39)</f>
        <v>0</v>
      </c>
      <c r="V39" s="43">
        <f>SUM(AE39,AM39,AU39)</f>
        <v>0</v>
      </c>
      <c r="W39" s="43">
        <f>SUM(AF39,AN39,AV39)</f>
        <v>0</v>
      </c>
      <c r="X39" s="43">
        <f>SUM(AG39,AO39,AW39)</f>
        <v>0</v>
      </c>
      <c r="Y39" s="43">
        <f>SUM(AH39,AP39,AX39)</f>
        <v>0</v>
      </c>
      <c r="Z39" s="43">
        <f>SUM(AI39,AQ39,AY39)</f>
        <v>0</v>
      </c>
      <c r="AA39" s="43">
        <f>SUM(AJ39,AR39,AZ39)</f>
        <v>0</v>
      </c>
      <c r="AC39" s="631">
        <f>SUM($D39:$E39)*H39</f>
        <v>0</v>
      </c>
      <c r="AD39" s="631">
        <f>SUM($D39:$E39)*I39</f>
        <v>0</v>
      </c>
      <c r="AE39" s="631">
        <f>SUM($D39:$E39)*J39</f>
        <v>0</v>
      </c>
      <c r="AF39" s="631">
        <f>SUM($D39:$E39)*K39</f>
        <v>0</v>
      </c>
      <c r="AG39" s="631">
        <f>SUM($D39:$E39)*L39</f>
        <v>0</v>
      </c>
      <c r="AH39" s="631">
        <f>SUM($D39:$E39)*M39</f>
        <v>0</v>
      </c>
      <c r="AI39" s="631">
        <f>SUM($D39:$E39)*N39</f>
        <v>0</v>
      </c>
      <c r="AJ39" s="631">
        <f>SUM($D39:$E39)*O39</f>
        <v>0</v>
      </c>
      <c r="AK39" s="56">
        <f>IF($G39="",0,IF(NOT(OR($G39="A - All employees not in groups B, C, J, H, M or Z",$G39="B - Married women and widows entitled to reduced NI",$G39="C - Over the State Pension age",$G39="H - Apprentice under 25",$G39="J – Deferment",$G39="M - Under 21",$G39="Z - Deferment (Under 21)",$G39="Please Enter The NI Cont. in ££££")),$G39,SUM(MAX(MIN(AC39-'Input Data'!$BG$3,'Input Data'!$BG$5-'Input Data'!$BG$3),0)*VLOOKUP($G39,'Input Data'!$BI$3:$BL$10,2,FALSE),MAX(MIN(AC39-'Input Data'!$BG$5,IF(OR($G39="M (under 21)",$G39="Z (under 21 - deferment)"),'Input Data'!$BG$6,IF($G39="H (Apprentice under 25)",'Input Data'!$BG$7,'Input Data'!$BG$8))-'Input Data'!$BG$5),0)*VLOOKUP($G39,'Input Data'!$BI$3:$BL$10,3,FALSE),MAX((AC39-IF(OR($G39="M (under 21)",$G39="Z (under 21 - deferment)"),'Input Data'!$BG$6,IF($G39="H (Apprentice under 25)",'Input Data'!$BG$7,'Input Data'!$BG$8))),0)*VLOOKUP($G39,'Input Data'!$BI$3:$BL$10,4,FALSE))))</f>
        <v>0</v>
      </c>
      <c r="AL39" s="56">
        <f>IF($G39="",0,IF(NOT(OR($G39="A - All employees not in groups B, C, J, H, M or Z",$G39="B - Married women and widows entitled to reduced NI",$G39="C - Over the State Pension age",$G39="H - Apprentice under 25",$G39="J – Deferment",$G39="M - Under 21",$G39="Z - Deferment (Under 21)",$G39="Please Enter The NI Cont. in ££££")),$G39,SUM(MAX(MIN(AD39-'Input Data'!$BG$3,'Input Data'!$BG$5-'Input Data'!$BG$3),0)*VLOOKUP($G39,'Input Data'!$BI$3:$BL$10,2,FALSE),MAX(MIN(AD39-'Input Data'!$BG$5,IF(OR($G39="M (under 21)",$G39="Z (under 21 - deferment)"),'Input Data'!$BG$6,IF($G39="H (Apprentice under 25)",'Input Data'!$BG$7,'Input Data'!$BG$8))-'Input Data'!$BG$5),0)*VLOOKUP($G39,'Input Data'!$BI$3:$BL$10,3,FALSE),MAX((AD39-IF(OR($G39="M (under 21)",$G39="Z (under 21 - deferment)"),'Input Data'!$BG$6,IF($G39="H (Apprentice under 25)",'Input Data'!$BG$7,'Input Data'!$BG$8))),0)*VLOOKUP($G39,'Input Data'!$BI$3:$BL$10,4,FALSE))))</f>
        <v>0</v>
      </c>
      <c r="AM39" s="56">
        <f>IF($G39="",0,IF(NOT(OR($G39="A - All employees not in groups B, C, J, H, M or Z",$G39="B - Married women and widows entitled to reduced NI",$G39="C - Over the State Pension age",$G39="H - Apprentice under 25",$G39="J – Deferment",$G39="M - Under 21",$G39="Z - Deferment (Under 21)",$G39="Please Enter The NI Cont. in ££££")),$G39,SUM(MAX(MIN(AE39-'Input Data'!$BG$3,'Input Data'!$BG$5-'Input Data'!$BG$3),0)*VLOOKUP($G39,'Input Data'!$BI$3:$BL$10,2,FALSE),MAX(MIN(AE39-'Input Data'!$BG$5,IF(OR($G39="M (under 21)",$G39="Z (under 21 - deferment)"),'Input Data'!$BG$6,IF($G39="H (Apprentice under 25)",'Input Data'!$BG$7,'Input Data'!$BG$8))-'Input Data'!$BG$5),0)*VLOOKUP($G39,'Input Data'!$BI$3:$BL$10,3,FALSE),MAX((AE39-IF(OR($G39="M (under 21)",$G39="Z (under 21 - deferment)"),'Input Data'!$BG$6,IF($G39="H (Apprentice under 25)",'Input Data'!$BG$7,'Input Data'!$BG$8))),0)*VLOOKUP($G39,'Input Data'!$BI$3:$BL$10,4,FALSE))))</f>
        <v>0</v>
      </c>
      <c r="AN39" s="56">
        <f>IF($G39="",0,IF(NOT(OR($G39="A - All employees not in groups B, C, J, H, M or Z",$G39="B - Married women and widows entitled to reduced NI",$G39="C - Over the State Pension age",$G39="H - Apprentice under 25",$G39="J – Deferment",$G39="M - Under 21",$G39="Z - Deferment (Under 21)",$G39="Please Enter The NI Cont. in ££££")),$G39,SUM(MAX(MIN(AF39-'Input Data'!$BG$3,'Input Data'!$BG$5-'Input Data'!$BG$3),0)*VLOOKUP($G39,'Input Data'!$BI$3:$BL$10,2,FALSE),MAX(MIN(AF39-'Input Data'!$BG$5,IF(OR($G39="M (under 21)",$G39="Z (under 21 - deferment)"),'Input Data'!$BG$6,IF($G39="H (Apprentice under 25)",'Input Data'!$BG$7,'Input Data'!$BG$8))-'Input Data'!$BG$5),0)*VLOOKUP($G39,'Input Data'!$BI$3:$BL$10,3,FALSE),MAX((AF39-IF(OR($G39="M (under 21)",$G39="Z (under 21 - deferment)"),'Input Data'!$BG$6,IF($G39="H (Apprentice under 25)",'Input Data'!$BG$7,'Input Data'!$BG$8))),0)*VLOOKUP($G39,'Input Data'!$BI$3:$BL$10,4,FALSE))))</f>
        <v>0</v>
      </c>
      <c r="AO39" s="56">
        <f>IF($G39="",0,IF(NOT(OR($G39="A - All employees not in groups B, C, J, H, M or Z",$G39="B - Married women and widows entitled to reduced NI",$G39="C - Over the State Pension age",$G39="H - Apprentice under 25",$G39="J – Deferment",$G39="M - Under 21",$G39="Z - Deferment (Under 21)",$G39="Please Enter The NI Cont. in ££££")),$G39,SUM(MAX(MIN(AG39-'Input Data'!$BG$3,'Input Data'!$BG$5-'Input Data'!$BG$3),0)*VLOOKUP($G39,'Input Data'!$BI$3:$BL$10,2,FALSE),MAX(MIN(AG39-'Input Data'!$BG$5,IF(OR($G39="M (under 21)",$G39="Z (under 21 - deferment)"),'Input Data'!$BG$6,IF($G39="H (Apprentice under 25)",'Input Data'!$BG$7,'Input Data'!$BG$8))-'Input Data'!$BG$5),0)*VLOOKUP($G39,'Input Data'!$BI$3:$BL$10,3,FALSE),MAX((AG39-IF(OR($G39="M (under 21)",$G39="Z (under 21 - deferment)"),'Input Data'!$BG$6,IF($G39="H (Apprentice under 25)",'Input Data'!$BG$7,'Input Data'!$BG$8))),0)*VLOOKUP($G39,'Input Data'!$BI$3:$BL$10,4,FALSE))))</f>
        <v>0</v>
      </c>
      <c r="AP39" s="56">
        <f>IF($G39="",0,IF(NOT(OR($G39="A - All employees not in groups B, C, J, H, M or Z",$G39="B - Married women and widows entitled to reduced NI",$G39="C - Over the State Pension age",$G39="H - Apprentice under 25",$G39="J – Deferment",$G39="M - Under 21",$G39="Z - Deferment (Under 21)",$G39="Please Enter The NI Cont. in ££££")),$G39,SUM(MAX(MIN(AH39-'Input Data'!$BG$3,'Input Data'!$BG$5-'Input Data'!$BG$3),0)*VLOOKUP($G39,'Input Data'!$BI$3:$BL$10,2,FALSE),MAX(MIN(AH39-'Input Data'!$BG$5,IF(OR($G39="M (under 21)",$G39="Z (under 21 - deferment)"),'Input Data'!$BG$6,IF($G39="H (Apprentice under 25)",'Input Data'!$BG$7,'Input Data'!$BG$8))-'Input Data'!$BG$5),0)*VLOOKUP($G39,'Input Data'!$BI$3:$BL$10,3,FALSE),MAX((AH39-IF(OR($G39="M (under 21)",$G39="Z (under 21 - deferment)"),'Input Data'!$BG$6,IF($G39="H (Apprentice under 25)",'Input Data'!$BG$7,'Input Data'!$BG$8))),0)*VLOOKUP($G39,'Input Data'!$BI$3:$BL$10,4,FALSE))))</f>
        <v>0</v>
      </c>
      <c r="AQ39" s="56">
        <f>IF($G39="",0,IF(NOT(OR($G39="A - All employees not in groups B, C, J, H, M or Z",$G39="B - Married women and widows entitled to reduced NI",$G39="C - Over the State Pension age",$G39="H - Apprentice under 25",$G39="J – Deferment",$G39="M - Under 21",$G39="Z - Deferment (Under 21)",$G39="Please Enter The NI Cont. in ££££")),$G39,SUM(MAX(MIN(AI39-'Input Data'!$BG$3,'Input Data'!$BG$5-'Input Data'!$BG$3),0)*VLOOKUP($G39,'Input Data'!$BI$3:$BL$10,2,FALSE),MAX(MIN(AI39-'Input Data'!$BG$5,IF(OR($G39="M (under 21)",$G39="Z (under 21 - deferment)"),'Input Data'!$BG$6,IF($G39="H (Apprentice under 25)",'Input Data'!$BG$7,'Input Data'!$BG$8))-'Input Data'!$BG$5),0)*VLOOKUP($G39,'Input Data'!$BI$3:$BL$10,3,FALSE),MAX((AI39-IF(OR($G39="M (under 21)",$G39="Z (under 21 - deferment)"),'Input Data'!$BG$6,IF($G39="H (Apprentice under 25)",'Input Data'!$BG$7,'Input Data'!$BG$8))),0)*VLOOKUP($G39,'Input Data'!$BI$3:$BL$10,4,FALSE))))</f>
        <v>0</v>
      </c>
      <c r="AR39" s="56">
        <f>IF($G39="",0,IF(NOT(OR($G39="A - All employees not in groups B, C, J, H, M or Z",$G39="B - Married women and widows entitled to reduced NI",$G39="C - Over the State Pension age",$G39="H - Apprentice under 25",$G39="J – Deferment",$G39="M - Under 21",$G39="Z - Deferment (Under 21)",$G39="Please Enter The NI Cont. in ££££")),$G39,SUM(MAX(MIN(AJ39-'Input Data'!$BG$3,'Input Data'!$BG$5-'Input Data'!$BG$3),0)*VLOOKUP($G39,'Input Data'!$BI$3:$BL$10,2,FALSE),MAX(MIN(AJ39-'Input Data'!$BG$5,IF(OR($G39="M (under 21)",$G39="Z (under 21 - deferment)"),'Input Data'!$BG$6,IF($G39="H (Apprentice under 25)",'Input Data'!$BG$7,'Input Data'!$BG$8))-'Input Data'!$BG$5),0)*VLOOKUP($G39,'Input Data'!$BI$3:$BL$10,3,FALSE),MAX((AJ39-IF(OR($G39="M (under 21)",$G39="Z (under 21 - deferment)"),'Input Data'!$BG$6,IF($G39="H (Apprentice under 25)",'Input Data'!$BG$7,'Input Data'!$BG$8))),0)*VLOOKUP($G39,'Input Data'!$BI$3:$BL$10,4,FALSE))))</f>
        <v>0</v>
      </c>
      <c r="AS39" s="56">
        <f>AC39*$F39</f>
        <v>0</v>
      </c>
      <c r="AT39" s="56">
        <f>AD39*$F39</f>
        <v>0</v>
      </c>
      <c r="AU39" s="56">
        <f>AE39*$F39</f>
        <v>0</v>
      </c>
      <c r="AV39" s="56">
        <f>AF39*$F39</f>
        <v>0</v>
      </c>
      <c r="AW39" s="56">
        <f>AG39*$F39</f>
        <v>0</v>
      </c>
      <c r="AX39" s="56">
        <f>AH39*$F39</f>
        <v>0</v>
      </c>
      <c r="AY39" s="56">
        <f>AI39*$F39</f>
        <v>0</v>
      </c>
      <c r="AZ39" s="56">
        <f>AJ39*$F39</f>
        <v>0</v>
      </c>
    </row>
    <row r="40" spans="2:52" ht="25.5">
      <c r="B40" s="60"/>
      <c r="C40" s="57" t="s">
        <v>73</v>
      </c>
      <c r="D40" s="58"/>
      <c r="E40" s="58"/>
      <c r="F40" s="535"/>
      <c r="G40" s="693" t="s">
        <v>1149</v>
      </c>
      <c r="H40" s="65"/>
      <c r="I40" s="65"/>
      <c r="J40" s="65"/>
      <c r="K40" s="65"/>
      <c r="L40" s="65"/>
      <c r="M40" s="65"/>
      <c r="N40" s="65"/>
      <c r="O40" s="65"/>
      <c r="P40" s="29"/>
      <c r="Q40" s="597"/>
      <c r="R40" s="61"/>
      <c r="T40" s="43">
        <f>SUM(AC40,AK40,AS40)</f>
        <v>0</v>
      </c>
      <c r="U40" s="43">
        <f>SUM(AD40,AL40,AT40)</f>
        <v>0</v>
      </c>
      <c r="V40" s="43">
        <f>SUM(AE40,AM40,AU40)</f>
        <v>0</v>
      </c>
      <c r="W40" s="43">
        <f>SUM(AF40,AN40,AV40)</f>
        <v>0</v>
      </c>
      <c r="X40" s="43">
        <f>SUM(AG40,AO40,AW40)</f>
        <v>0</v>
      </c>
      <c r="Y40" s="43">
        <f>SUM(AH40,AP40,AX40)</f>
        <v>0</v>
      </c>
      <c r="Z40" s="43">
        <f>SUM(AI40,AQ40,AY40)</f>
        <v>0</v>
      </c>
      <c r="AA40" s="43">
        <f>SUM(AJ40,AR40,AZ40)</f>
        <v>0</v>
      </c>
      <c r="AC40" s="631">
        <f>SUM($D40:$E40)*H40</f>
        <v>0</v>
      </c>
      <c r="AD40" s="631">
        <f>SUM($D40:$E40)*I40</f>
        <v>0</v>
      </c>
      <c r="AE40" s="631">
        <f>SUM($D40:$E40)*J40</f>
        <v>0</v>
      </c>
      <c r="AF40" s="631">
        <f>SUM($D40:$E40)*K40</f>
        <v>0</v>
      </c>
      <c r="AG40" s="631">
        <f>SUM($D40:$E40)*L40</f>
        <v>0</v>
      </c>
      <c r="AH40" s="631">
        <f>SUM($D40:$E40)*M40</f>
        <v>0</v>
      </c>
      <c r="AI40" s="631">
        <f>SUM($D40:$E40)*N40</f>
        <v>0</v>
      </c>
      <c r="AJ40" s="631">
        <f>SUM($D40:$E40)*O40</f>
        <v>0</v>
      </c>
      <c r="AK40" s="56">
        <f>IF($G40="",0,IF(NOT(OR($G40="A - All employees not in groups B, C, J, H, M or Z",$G40="B - Married women and widows entitled to reduced NI",$G40="C - Over the State Pension age",$G40="H - Apprentice under 25",$G40="J – Deferment",$G40="M - Under 21",$G40="Z - Deferment (Under 21)",$G40="Please Enter The NI Cont. in ££££")),$G40,SUM(MAX(MIN(AC40-'Input Data'!$BG$3,'Input Data'!$BG$5-'Input Data'!$BG$3),0)*VLOOKUP($G40,'Input Data'!$BI$3:$BL$10,2,FALSE),MAX(MIN(AC40-'Input Data'!$BG$5,IF(OR($G40="M (under 21)",$G40="Z (under 21 - deferment)"),'Input Data'!$BG$6,IF($G40="H (Apprentice under 25)",'Input Data'!$BG$7,'Input Data'!$BG$8))-'Input Data'!$BG$5),0)*VLOOKUP($G40,'Input Data'!$BI$3:$BL$10,3,FALSE),MAX((AC40-IF(OR($G40="M (under 21)",$G40="Z (under 21 - deferment)"),'Input Data'!$BG$6,IF($G40="H (Apprentice under 25)",'Input Data'!$BG$7,'Input Data'!$BG$8))),0)*VLOOKUP($G40,'Input Data'!$BI$3:$BL$10,4,FALSE))))</f>
        <v>0</v>
      </c>
      <c r="AL40" s="56">
        <f>IF($G40="",0,IF(NOT(OR($G40="A - All employees not in groups B, C, J, H, M or Z",$G40="B - Married women and widows entitled to reduced NI",$G40="C - Over the State Pension age",$G40="H - Apprentice under 25",$G40="J – Deferment",$G40="M - Under 21",$G40="Z - Deferment (Under 21)",$G40="Please Enter The NI Cont. in ££££")),$G40,SUM(MAX(MIN(AD40-'Input Data'!$BG$3,'Input Data'!$BG$5-'Input Data'!$BG$3),0)*VLOOKUP($G40,'Input Data'!$BI$3:$BL$10,2,FALSE),MAX(MIN(AD40-'Input Data'!$BG$5,IF(OR($G40="M (under 21)",$G40="Z (under 21 - deferment)"),'Input Data'!$BG$6,IF($G40="H (Apprentice under 25)",'Input Data'!$BG$7,'Input Data'!$BG$8))-'Input Data'!$BG$5),0)*VLOOKUP($G40,'Input Data'!$BI$3:$BL$10,3,FALSE),MAX((AD40-IF(OR($G40="M (under 21)",$G40="Z (under 21 - deferment)"),'Input Data'!$BG$6,IF($G40="H (Apprentice under 25)",'Input Data'!$BG$7,'Input Data'!$BG$8))),0)*VLOOKUP($G40,'Input Data'!$BI$3:$BL$10,4,FALSE))))</f>
        <v>0</v>
      </c>
      <c r="AM40" s="56">
        <f>IF($G40="",0,IF(NOT(OR($G40="A - All employees not in groups B, C, J, H, M or Z",$G40="B - Married women and widows entitled to reduced NI",$G40="C - Over the State Pension age",$G40="H - Apprentice under 25",$G40="J – Deferment",$G40="M - Under 21",$G40="Z - Deferment (Under 21)",$G40="Please Enter The NI Cont. in ££££")),$G40,SUM(MAX(MIN(AE40-'Input Data'!$BG$3,'Input Data'!$BG$5-'Input Data'!$BG$3),0)*VLOOKUP($G40,'Input Data'!$BI$3:$BL$10,2,FALSE),MAX(MIN(AE40-'Input Data'!$BG$5,IF(OR($G40="M (under 21)",$G40="Z (under 21 - deferment)"),'Input Data'!$BG$6,IF($G40="H (Apprentice under 25)",'Input Data'!$BG$7,'Input Data'!$BG$8))-'Input Data'!$BG$5),0)*VLOOKUP($G40,'Input Data'!$BI$3:$BL$10,3,FALSE),MAX((AE40-IF(OR($G40="M (under 21)",$G40="Z (under 21 - deferment)"),'Input Data'!$BG$6,IF($G40="H (Apprentice under 25)",'Input Data'!$BG$7,'Input Data'!$BG$8))),0)*VLOOKUP($G40,'Input Data'!$BI$3:$BL$10,4,FALSE))))</f>
        <v>0</v>
      </c>
      <c r="AN40" s="56">
        <f>IF($G40="",0,IF(NOT(OR($G40="A - All employees not in groups B, C, J, H, M or Z",$G40="B - Married women and widows entitled to reduced NI",$G40="C - Over the State Pension age",$G40="H - Apprentice under 25",$G40="J – Deferment",$G40="M - Under 21",$G40="Z - Deferment (Under 21)",$G40="Please Enter The NI Cont. in ££££")),$G40,SUM(MAX(MIN(AF40-'Input Data'!$BG$3,'Input Data'!$BG$5-'Input Data'!$BG$3),0)*VLOOKUP($G40,'Input Data'!$BI$3:$BL$10,2,FALSE),MAX(MIN(AF40-'Input Data'!$BG$5,IF(OR($G40="M (under 21)",$G40="Z (under 21 - deferment)"),'Input Data'!$BG$6,IF($G40="H (Apprentice under 25)",'Input Data'!$BG$7,'Input Data'!$BG$8))-'Input Data'!$BG$5),0)*VLOOKUP($G40,'Input Data'!$BI$3:$BL$10,3,FALSE),MAX((AF40-IF(OR($G40="M (under 21)",$G40="Z (under 21 - deferment)"),'Input Data'!$BG$6,IF($G40="H (Apprentice under 25)",'Input Data'!$BG$7,'Input Data'!$BG$8))),0)*VLOOKUP($G40,'Input Data'!$BI$3:$BL$10,4,FALSE))))</f>
        <v>0</v>
      </c>
      <c r="AO40" s="56">
        <f>IF($G40="",0,IF(NOT(OR($G40="A - All employees not in groups B, C, J, H, M or Z",$G40="B - Married women and widows entitled to reduced NI",$G40="C - Over the State Pension age",$G40="H - Apprentice under 25",$G40="J – Deferment",$G40="M - Under 21",$G40="Z - Deferment (Under 21)",$G40="Please Enter The NI Cont. in ££££")),$G40,SUM(MAX(MIN(AG40-'Input Data'!$BG$3,'Input Data'!$BG$5-'Input Data'!$BG$3),0)*VLOOKUP($G40,'Input Data'!$BI$3:$BL$10,2,FALSE),MAX(MIN(AG40-'Input Data'!$BG$5,IF(OR($G40="M (under 21)",$G40="Z (under 21 - deferment)"),'Input Data'!$BG$6,IF($G40="H (Apprentice under 25)",'Input Data'!$BG$7,'Input Data'!$BG$8))-'Input Data'!$BG$5),0)*VLOOKUP($G40,'Input Data'!$BI$3:$BL$10,3,FALSE),MAX((AG40-IF(OR($G40="M (under 21)",$G40="Z (under 21 - deferment)"),'Input Data'!$BG$6,IF($G40="H (Apprentice under 25)",'Input Data'!$BG$7,'Input Data'!$BG$8))),0)*VLOOKUP($G40,'Input Data'!$BI$3:$BL$10,4,FALSE))))</f>
        <v>0</v>
      </c>
      <c r="AP40" s="56">
        <f>IF($G40="",0,IF(NOT(OR($G40="A - All employees not in groups B, C, J, H, M or Z",$G40="B - Married women and widows entitled to reduced NI",$G40="C - Over the State Pension age",$G40="H - Apprentice under 25",$G40="J – Deferment",$G40="M - Under 21",$G40="Z - Deferment (Under 21)",$G40="Please Enter The NI Cont. in ££££")),$G40,SUM(MAX(MIN(AH40-'Input Data'!$BG$3,'Input Data'!$BG$5-'Input Data'!$BG$3),0)*VLOOKUP($G40,'Input Data'!$BI$3:$BL$10,2,FALSE),MAX(MIN(AH40-'Input Data'!$BG$5,IF(OR($G40="M (under 21)",$G40="Z (under 21 - deferment)"),'Input Data'!$BG$6,IF($G40="H (Apprentice under 25)",'Input Data'!$BG$7,'Input Data'!$BG$8))-'Input Data'!$BG$5),0)*VLOOKUP($G40,'Input Data'!$BI$3:$BL$10,3,FALSE),MAX((AH40-IF(OR($G40="M (under 21)",$G40="Z (under 21 - deferment)"),'Input Data'!$BG$6,IF($G40="H (Apprentice under 25)",'Input Data'!$BG$7,'Input Data'!$BG$8))),0)*VLOOKUP($G40,'Input Data'!$BI$3:$BL$10,4,FALSE))))</f>
        <v>0</v>
      </c>
      <c r="AQ40" s="56">
        <f>IF($G40="",0,IF(NOT(OR($G40="A - All employees not in groups B, C, J, H, M or Z",$G40="B - Married women and widows entitled to reduced NI",$G40="C - Over the State Pension age",$G40="H - Apprentice under 25",$G40="J – Deferment",$G40="M - Under 21",$G40="Z - Deferment (Under 21)",$G40="Please Enter The NI Cont. in ££££")),$G40,SUM(MAX(MIN(AI40-'Input Data'!$BG$3,'Input Data'!$BG$5-'Input Data'!$BG$3),0)*VLOOKUP($G40,'Input Data'!$BI$3:$BL$10,2,FALSE),MAX(MIN(AI40-'Input Data'!$BG$5,IF(OR($G40="M (under 21)",$G40="Z (under 21 - deferment)"),'Input Data'!$BG$6,IF($G40="H (Apprentice under 25)",'Input Data'!$BG$7,'Input Data'!$BG$8))-'Input Data'!$BG$5),0)*VLOOKUP($G40,'Input Data'!$BI$3:$BL$10,3,FALSE),MAX((AI40-IF(OR($G40="M (under 21)",$G40="Z (under 21 - deferment)"),'Input Data'!$BG$6,IF($G40="H (Apprentice under 25)",'Input Data'!$BG$7,'Input Data'!$BG$8))),0)*VLOOKUP($G40,'Input Data'!$BI$3:$BL$10,4,FALSE))))</f>
        <v>0</v>
      </c>
      <c r="AR40" s="56">
        <f>IF($G40="",0,IF(NOT(OR($G40="A - All employees not in groups B, C, J, H, M or Z",$G40="B - Married women and widows entitled to reduced NI",$G40="C - Over the State Pension age",$G40="H - Apprentice under 25",$G40="J – Deferment",$G40="M - Under 21",$G40="Z - Deferment (Under 21)",$G40="Please Enter The NI Cont. in ££££")),$G40,SUM(MAX(MIN(AJ40-'Input Data'!$BG$3,'Input Data'!$BG$5-'Input Data'!$BG$3),0)*VLOOKUP($G40,'Input Data'!$BI$3:$BL$10,2,FALSE),MAX(MIN(AJ40-'Input Data'!$BG$5,IF(OR($G40="M (under 21)",$G40="Z (under 21 - deferment)"),'Input Data'!$BG$6,IF($G40="H (Apprentice under 25)",'Input Data'!$BG$7,'Input Data'!$BG$8))-'Input Data'!$BG$5),0)*VLOOKUP($G40,'Input Data'!$BI$3:$BL$10,3,FALSE),MAX((AJ40-IF(OR($G40="M (under 21)",$G40="Z (under 21 - deferment)"),'Input Data'!$BG$6,IF($G40="H (Apprentice under 25)",'Input Data'!$BG$7,'Input Data'!$BG$8))),0)*VLOOKUP($G40,'Input Data'!$BI$3:$BL$10,4,FALSE))))</f>
        <v>0</v>
      </c>
      <c r="AS40" s="56">
        <f>AC40*$F40</f>
        <v>0</v>
      </c>
      <c r="AT40" s="56">
        <f>AD40*$F40</f>
        <v>0</v>
      </c>
      <c r="AU40" s="56">
        <f>AE40*$F40</f>
        <v>0</v>
      </c>
      <c r="AV40" s="56">
        <f>AF40*$F40</f>
        <v>0</v>
      </c>
      <c r="AW40" s="56">
        <f>AG40*$F40</f>
        <v>0</v>
      </c>
      <c r="AX40" s="56">
        <f>AH40*$F40</f>
        <v>0</v>
      </c>
      <c r="AY40" s="56">
        <f>AI40*$F40</f>
        <v>0</v>
      </c>
      <c r="AZ40" s="56">
        <f>AJ40*$F40</f>
        <v>0</v>
      </c>
    </row>
    <row r="41" spans="2:52" ht="25.5">
      <c r="B41" s="60"/>
      <c r="C41" s="57" t="s">
        <v>74</v>
      </c>
      <c r="D41" s="58"/>
      <c r="E41" s="58"/>
      <c r="F41" s="535"/>
      <c r="G41" s="693" t="s">
        <v>1149</v>
      </c>
      <c r="H41" s="65"/>
      <c r="I41" s="65"/>
      <c r="J41" s="65"/>
      <c r="K41" s="65"/>
      <c r="L41" s="65"/>
      <c r="M41" s="65"/>
      <c r="N41" s="65"/>
      <c r="O41" s="65"/>
      <c r="P41" s="29"/>
      <c r="Q41" s="597"/>
      <c r="R41" s="61"/>
      <c r="T41" s="43">
        <f>SUM(AC41,AK41,AS41)</f>
        <v>0</v>
      </c>
      <c r="U41" s="43">
        <f>SUM(AD41,AL41,AT41)</f>
        <v>0</v>
      </c>
      <c r="V41" s="43">
        <f>SUM(AE41,AM41,AU41)</f>
        <v>0</v>
      </c>
      <c r="W41" s="43">
        <f>SUM(AF41,AN41,AV41)</f>
        <v>0</v>
      </c>
      <c r="X41" s="43">
        <f>SUM(AG41,AO41,AW41)</f>
        <v>0</v>
      </c>
      <c r="Y41" s="43">
        <f>SUM(AH41,AP41,AX41)</f>
        <v>0</v>
      </c>
      <c r="Z41" s="43">
        <f>SUM(AI41,AQ41,AY41)</f>
        <v>0</v>
      </c>
      <c r="AA41" s="43">
        <f>SUM(AJ41,AR41,AZ41)</f>
        <v>0</v>
      </c>
      <c r="AC41" s="631">
        <f>SUM($D41:$E41)*H41</f>
        <v>0</v>
      </c>
      <c r="AD41" s="631">
        <f>SUM($D41:$E41)*I41</f>
        <v>0</v>
      </c>
      <c r="AE41" s="631">
        <f>SUM($D41:$E41)*J41</f>
        <v>0</v>
      </c>
      <c r="AF41" s="631">
        <f>SUM($D41:$E41)*K41</f>
        <v>0</v>
      </c>
      <c r="AG41" s="631">
        <f>SUM($D41:$E41)*L41</f>
        <v>0</v>
      </c>
      <c r="AH41" s="631">
        <f>SUM($D41:$E41)*M41</f>
        <v>0</v>
      </c>
      <c r="AI41" s="631">
        <f>SUM($D41:$E41)*N41</f>
        <v>0</v>
      </c>
      <c r="AJ41" s="631">
        <f>SUM($D41:$E41)*O41</f>
        <v>0</v>
      </c>
      <c r="AK41" s="56">
        <f>IF($G41="",0,IF(NOT(OR($G41="A - All employees not in groups B, C, J, H, M or Z",$G41="B - Married women and widows entitled to reduced NI",$G41="C - Over the State Pension age",$G41="H - Apprentice under 25",$G41="J – Deferment",$G41="M - Under 21",$G41="Z - Deferment (Under 21)",$G41="Please Enter The NI Cont. in ££££")),$G41,SUM(MAX(MIN(AC41-'Input Data'!$BG$3,'Input Data'!$BG$5-'Input Data'!$BG$3),0)*VLOOKUP($G41,'Input Data'!$BI$3:$BL$10,2,FALSE),MAX(MIN(AC41-'Input Data'!$BG$5,IF(OR($G41="M (under 21)",$G41="Z (under 21 - deferment)"),'Input Data'!$BG$6,IF($G41="H (Apprentice under 25)",'Input Data'!$BG$7,'Input Data'!$BG$8))-'Input Data'!$BG$5),0)*VLOOKUP($G41,'Input Data'!$BI$3:$BL$10,3,FALSE),MAX((AC41-IF(OR($G41="M (under 21)",$G41="Z (under 21 - deferment)"),'Input Data'!$BG$6,IF($G41="H (Apprentice under 25)",'Input Data'!$BG$7,'Input Data'!$BG$8))),0)*VLOOKUP($G41,'Input Data'!$BI$3:$BL$10,4,FALSE))))</f>
        <v>0</v>
      </c>
      <c r="AL41" s="56">
        <f>IF($G41="",0,IF(NOT(OR($G41="A - All employees not in groups B, C, J, H, M or Z",$G41="B - Married women and widows entitled to reduced NI",$G41="C - Over the State Pension age",$G41="H - Apprentice under 25",$G41="J – Deferment",$G41="M - Under 21",$G41="Z - Deferment (Under 21)",$G41="Please Enter The NI Cont. in ££££")),$G41,SUM(MAX(MIN(AD41-'Input Data'!$BG$3,'Input Data'!$BG$5-'Input Data'!$BG$3),0)*VLOOKUP($G41,'Input Data'!$BI$3:$BL$10,2,FALSE),MAX(MIN(AD41-'Input Data'!$BG$5,IF(OR($G41="M (under 21)",$G41="Z (under 21 - deferment)"),'Input Data'!$BG$6,IF($G41="H (Apprentice under 25)",'Input Data'!$BG$7,'Input Data'!$BG$8))-'Input Data'!$BG$5),0)*VLOOKUP($G41,'Input Data'!$BI$3:$BL$10,3,FALSE),MAX((AD41-IF(OR($G41="M (under 21)",$G41="Z (under 21 - deferment)"),'Input Data'!$BG$6,IF($G41="H (Apprentice under 25)",'Input Data'!$BG$7,'Input Data'!$BG$8))),0)*VLOOKUP($G41,'Input Data'!$BI$3:$BL$10,4,FALSE))))</f>
        <v>0</v>
      </c>
      <c r="AM41" s="56">
        <f>IF($G41="",0,IF(NOT(OR($G41="A - All employees not in groups B, C, J, H, M or Z",$G41="B - Married women and widows entitled to reduced NI",$G41="C - Over the State Pension age",$G41="H - Apprentice under 25",$G41="J – Deferment",$G41="M - Under 21",$G41="Z - Deferment (Under 21)",$G41="Please Enter The NI Cont. in ££££")),$G41,SUM(MAX(MIN(AE41-'Input Data'!$BG$3,'Input Data'!$BG$5-'Input Data'!$BG$3),0)*VLOOKUP($G41,'Input Data'!$BI$3:$BL$10,2,FALSE),MAX(MIN(AE41-'Input Data'!$BG$5,IF(OR($G41="M (under 21)",$G41="Z (under 21 - deferment)"),'Input Data'!$BG$6,IF($G41="H (Apprentice under 25)",'Input Data'!$BG$7,'Input Data'!$BG$8))-'Input Data'!$BG$5),0)*VLOOKUP($G41,'Input Data'!$BI$3:$BL$10,3,FALSE),MAX((AE41-IF(OR($G41="M (under 21)",$G41="Z (under 21 - deferment)"),'Input Data'!$BG$6,IF($G41="H (Apprentice under 25)",'Input Data'!$BG$7,'Input Data'!$BG$8))),0)*VLOOKUP($G41,'Input Data'!$BI$3:$BL$10,4,FALSE))))</f>
        <v>0</v>
      </c>
      <c r="AN41" s="56">
        <f>IF($G41="",0,IF(NOT(OR($G41="A - All employees not in groups B, C, J, H, M or Z",$G41="B - Married women and widows entitled to reduced NI",$G41="C - Over the State Pension age",$G41="H - Apprentice under 25",$G41="J – Deferment",$G41="M - Under 21",$G41="Z - Deferment (Under 21)",$G41="Please Enter The NI Cont. in ££££")),$G41,SUM(MAX(MIN(AF41-'Input Data'!$BG$3,'Input Data'!$BG$5-'Input Data'!$BG$3),0)*VLOOKUP($G41,'Input Data'!$BI$3:$BL$10,2,FALSE),MAX(MIN(AF41-'Input Data'!$BG$5,IF(OR($G41="M (under 21)",$G41="Z (under 21 - deferment)"),'Input Data'!$BG$6,IF($G41="H (Apprentice under 25)",'Input Data'!$BG$7,'Input Data'!$BG$8))-'Input Data'!$BG$5),0)*VLOOKUP($G41,'Input Data'!$BI$3:$BL$10,3,FALSE),MAX((AF41-IF(OR($G41="M (under 21)",$G41="Z (under 21 - deferment)"),'Input Data'!$BG$6,IF($G41="H (Apprentice under 25)",'Input Data'!$BG$7,'Input Data'!$BG$8))),0)*VLOOKUP($G41,'Input Data'!$BI$3:$BL$10,4,FALSE))))</f>
        <v>0</v>
      </c>
      <c r="AO41" s="56">
        <f>IF($G41="",0,IF(NOT(OR($G41="A - All employees not in groups B, C, J, H, M or Z",$G41="B - Married women and widows entitled to reduced NI",$G41="C - Over the State Pension age",$G41="H - Apprentice under 25",$G41="J – Deferment",$G41="M - Under 21",$G41="Z - Deferment (Under 21)",$G41="Please Enter The NI Cont. in ££££")),$G41,SUM(MAX(MIN(AG41-'Input Data'!$BG$3,'Input Data'!$BG$5-'Input Data'!$BG$3),0)*VLOOKUP($G41,'Input Data'!$BI$3:$BL$10,2,FALSE),MAX(MIN(AG41-'Input Data'!$BG$5,IF(OR($G41="M (under 21)",$G41="Z (under 21 - deferment)"),'Input Data'!$BG$6,IF($G41="H (Apprentice under 25)",'Input Data'!$BG$7,'Input Data'!$BG$8))-'Input Data'!$BG$5),0)*VLOOKUP($G41,'Input Data'!$BI$3:$BL$10,3,FALSE),MAX((AG41-IF(OR($G41="M (under 21)",$G41="Z (under 21 - deferment)"),'Input Data'!$BG$6,IF($G41="H (Apprentice under 25)",'Input Data'!$BG$7,'Input Data'!$BG$8))),0)*VLOOKUP($G41,'Input Data'!$BI$3:$BL$10,4,FALSE))))</f>
        <v>0</v>
      </c>
      <c r="AP41" s="56">
        <f>IF($G41="",0,IF(NOT(OR($G41="A - All employees not in groups B, C, J, H, M or Z",$G41="B - Married women and widows entitled to reduced NI",$G41="C - Over the State Pension age",$G41="H - Apprentice under 25",$G41="J – Deferment",$G41="M - Under 21",$G41="Z - Deferment (Under 21)",$G41="Please Enter The NI Cont. in ££££")),$G41,SUM(MAX(MIN(AH41-'Input Data'!$BG$3,'Input Data'!$BG$5-'Input Data'!$BG$3),0)*VLOOKUP($G41,'Input Data'!$BI$3:$BL$10,2,FALSE),MAX(MIN(AH41-'Input Data'!$BG$5,IF(OR($G41="M (under 21)",$G41="Z (under 21 - deferment)"),'Input Data'!$BG$6,IF($G41="H (Apprentice under 25)",'Input Data'!$BG$7,'Input Data'!$BG$8))-'Input Data'!$BG$5),0)*VLOOKUP($G41,'Input Data'!$BI$3:$BL$10,3,FALSE),MAX((AH41-IF(OR($G41="M (under 21)",$G41="Z (under 21 - deferment)"),'Input Data'!$BG$6,IF($G41="H (Apprentice under 25)",'Input Data'!$BG$7,'Input Data'!$BG$8))),0)*VLOOKUP($G41,'Input Data'!$BI$3:$BL$10,4,FALSE))))</f>
        <v>0</v>
      </c>
      <c r="AQ41" s="56">
        <f>IF($G41="",0,IF(NOT(OR($G41="A - All employees not in groups B, C, J, H, M or Z",$G41="B - Married women and widows entitled to reduced NI",$G41="C - Over the State Pension age",$G41="H - Apprentice under 25",$G41="J – Deferment",$G41="M - Under 21",$G41="Z - Deferment (Under 21)",$G41="Please Enter The NI Cont. in ££££")),$G41,SUM(MAX(MIN(AI41-'Input Data'!$BG$3,'Input Data'!$BG$5-'Input Data'!$BG$3),0)*VLOOKUP($G41,'Input Data'!$BI$3:$BL$10,2,FALSE),MAX(MIN(AI41-'Input Data'!$BG$5,IF(OR($G41="M (under 21)",$G41="Z (under 21 - deferment)"),'Input Data'!$BG$6,IF($G41="H (Apprentice under 25)",'Input Data'!$BG$7,'Input Data'!$BG$8))-'Input Data'!$BG$5),0)*VLOOKUP($G41,'Input Data'!$BI$3:$BL$10,3,FALSE),MAX((AI41-IF(OR($G41="M (under 21)",$G41="Z (under 21 - deferment)"),'Input Data'!$BG$6,IF($G41="H (Apprentice under 25)",'Input Data'!$BG$7,'Input Data'!$BG$8))),0)*VLOOKUP($G41,'Input Data'!$BI$3:$BL$10,4,FALSE))))</f>
        <v>0</v>
      </c>
      <c r="AR41" s="56">
        <f>IF($G41="",0,IF(NOT(OR($G41="A - All employees not in groups B, C, J, H, M or Z",$G41="B - Married women and widows entitled to reduced NI",$G41="C - Over the State Pension age",$G41="H - Apprentice under 25",$G41="J – Deferment",$G41="M - Under 21",$G41="Z - Deferment (Under 21)",$G41="Please Enter The NI Cont. in ££££")),$G41,SUM(MAX(MIN(AJ41-'Input Data'!$BG$3,'Input Data'!$BG$5-'Input Data'!$BG$3),0)*VLOOKUP($G41,'Input Data'!$BI$3:$BL$10,2,FALSE),MAX(MIN(AJ41-'Input Data'!$BG$5,IF(OR($G41="M (under 21)",$G41="Z (under 21 - deferment)"),'Input Data'!$BG$6,IF($G41="H (Apprentice under 25)",'Input Data'!$BG$7,'Input Data'!$BG$8))-'Input Data'!$BG$5),0)*VLOOKUP($G41,'Input Data'!$BI$3:$BL$10,3,FALSE),MAX((AJ41-IF(OR($G41="M (under 21)",$G41="Z (under 21 - deferment)"),'Input Data'!$BG$6,IF($G41="H (Apprentice under 25)",'Input Data'!$BG$7,'Input Data'!$BG$8))),0)*VLOOKUP($G41,'Input Data'!$BI$3:$BL$10,4,FALSE))))</f>
        <v>0</v>
      </c>
      <c r="AS41" s="56">
        <f>AC41*$F41</f>
        <v>0</v>
      </c>
      <c r="AT41" s="56">
        <f>AD41*$F41</f>
        <v>0</v>
      </c>
      <c r="AU41" s="56">
        <f>AE41*$F41</f>
        <v>0</v>
      </c>
      <c r="AV41" s="56">
        <f>AF41*$F41</f>
        <v>0</v>
      </c>
      <c r="AW41" s="56">
        <f>AG41*$F41</f>
        <v>0</v>
      </c>
      <c r="AX41" s="56">
        <f>AH41*$F41</f>
        <v>0</v>
      </c>
      <c r="AY41" s="56">
        <f>AI41*$F41</f>
        <v>0</v>
      </c>
      <c r="AZ41" s="56">
        <f>AJ41*$F41</f>
        <v>0</v>
      </c>
    </row>
    <row r="42" spans="2:52" ht="25.5">
      <c r="B42" s="60"/>
      <c r="C42" s="57" t="s">
        <v>75</v>
      </c>
      <c r="D42" s="58"/>
      <c r="E42" s="58"/>
      <c r="F42" s="535"/>
      <c r="G42" s="693" t="s">
        <v>1149</v>
      </c>
      <c r="H42" s="65"/>
      <c r="I42" s="65"/>
      <c r="J42" s="65"/>
      <c r="K42" s="65"/>
      <c r="L42" s="65"/>
      <c r="M42" s="65"/>
      <c r="N42" s="65"/>
      <c r="O42" s="65"/>
      <c r="P42" s="29"/>
      <c r="Q42" s="597"/>
      <c r="R42" s="61"/>
      <c r="T42" s="43">
        <f>SUM(AC42,AK42,AS42)</f>
        <v>0</v>
      </c>
      <c r="U42" s="43">
        <f>SUM(AD42,AL42,AT42)</f>
        <v>0</v>
      </c>
      <c r="V42" s="43">
        <f>SUM(AE42,AM42,AU42)</f>
        <v>0</v>
      </c>
      <c r="W42" s="43">
        <f>SUM(AF42,AN42,AV42)</f>
        <v>0</v>
      </c>
      <c r="X42" s="43">
        <f>SUM(AG42,AO42,AW42)</f>
        <v>0</v>
      </c>
      <c r="Y42" s="43">
        <f>SUM(AH42,AP42,AX42)</f>
        <v>0</v>
      </c>
      <c r="Z42" s="43">
        <f>SUM(AI42,AQ42,AY42)</f>
        <v>0</v>
      </c>
      <c r="AA42" s="43">
        <f>SUM(AJ42,AR42,AZ42)</f>
        <v>0</v>
      </c>
      <c r="AC42" s="631">
        <f>SUM($D42:$E42)*H42</f>
        <v>0</v>
      </c>
      <c r="AD42" s="631">
        <f>SUM($D42:$E42)*I42</f>
        <v>0</v>
      </c>
      <c r="AE42" s="631">
        <f>SUM($D42:$E42)*J42</f>
        <v>0</v>
      </c>
      <c r="AF42" s="631">
        <f>SUM($D42:$E42)*K42</f>
        <v>0</v>
      </c>
      <c r="AG42" s="631">
        <f>SUM($D42:$E42)*L42</f>
        <v>0</v>
      </c>
      <c r="AH42" s="631">
        <f>SUM($D42:$E42)*M42</f>
        <v>0</v>
      </c>
      <c r="AI42" s="631">
        <f>SUM($D42:$E42)*N42</f>
        <v>0</v>
      </c>
      <c r="AJ42" s="631">
        <f>SUM($D42:$E42)*O42</f>
        <v>0</v>
      </c>
      <c r="AK42" s="56">
        <f>IF($G42="",0,IF(NOT(OR($G42="A - All employees not in groups B, C, J, H, M or Z",$G42="B - Married women and widows entitled to reduced NI",$G42="C - Over the State Pension age",$G42="H - Apprentice under 25",$G42="J – Deferment",$G42="M - Under 21",$G42="Z - Deferment (Under 21)",$G42="Please Enter The NI Cont. in ££££")),$G42,SUM(MAX(MIN(AC42-'Input Data'!$BG$3,'Input Data'!$BG$5-'Input Data'!$BG$3),0)*VLOOKUP($G42,'Input Data'!$BI$3:$BL$10,2,FALSE),MAX(MIN(AC42-'Input Data'!$BG$5,IF(OR($G42="M (under 21)",$G42="Z (under 21 - deferment)"),'Input Data'!$BG$6,IF($G42="H (Apprentice under 25)",'Input Data'!$BG$7,'Input Data'!$BG$8))-'Input Data'!$BG$5),0)*VLOOKUP($G42,'Input Data'!$BI$3:$BL$10,3,FALSE),MAX((AC42-IF(OR($G42="M (under 21)",$G42="Z (under 21 - deferment)"),'Input Data'!$BG$6,IF($G42="H (Apprentice under 25)",'Input Data'!$BG$7,'Input Data'!$BG$8))),0)*VLOOKUP($G42,'Input Data'!$BI$3:$BL$10,4,FALSE))))</f>
        <v>0</v>
      </c>
      <c r="AL42" s="56">
        <f>IF($G42="",0,IF(NOT(OR($G42="A - All employees not in groups B, C, J, H, M or Z",$G42="B - Married women and widows entitled to reduced NI",$G42="C - Over the State Pension age",$G42="H - Apprentice under 25",$G42="J – Deferment",$G42="M - Under 21",$G42="Z - Deferment (Under 21)",$G42="Please Enter The NI Cont. in ££££")),$G42,SUM(MAX(MIN(AD42-'Input Data'!$BG$3,'Input Data'!$BG$5-'Input Data'!$BG$3),0)*VLOOKUP($G42,'Input Data'!$BI$3:$BL$10,2,FALSE),MAX(MIN(AD42-'Input Data'!$BG$5,IF(OR($G42="M (under 21)",$G42="Z (under 21 - deferment)"),'Input Data'!$BG$6,IF($G42="H (Apprentice under 25)",'Input Data'!$BG$7,'Input Data'!$BG$8))-'Input Data'!$BG$5),0)*VLOOKUP($G42,'Input Data'!$BI$3:$BL$10,3,FALSE),MAX((AD42-IF(OR($G42="M (under 21)",$G42="Z (under 21 - deferment)"),'Input Data'!$BG$6,IF($G42="H (Apprentice under 25)",'Input Data'!$BG$7,'Input Data'!$BG$8))),0)*VLOOKUP($G42,'Input Data'!$BI$3:$BL$10,4,FALSE))))</f>
        <v>0</v>
      </c>
      <c r="AM42" s="56">
        <f>IF($G42="",0,IF(NOT(OR($G42="A - All employees not in groups B, C, J, H, M or Z",$G42="B - Married women and widows entitled to reduced NI",$G42="C - Over the State Pension age",$G42="H - Apprentice under 25",$G42="J – Deferment",$G42="M - Under 21",$G42="Z - Deferment (Under 21)",$G42="Please Enter The NI Cont. in ££££")),$G42,SUM(MAX(MIN(AE42-'Input Data'!$BG$3,'Input Data'!$BG$5-'Input Data'!$BG$3),0)*VLOOKUP($G42,'Input Data'!$BI$3:$BL$10,2,FALSE),MAX(MIN(AE42-'Input Data'!$BG$5,IF(OR($G42="M (under 21)",$G42="Z (under 21 - deferment)"),'Input Data'!$BG$6,IF($G42="H (Apprentice under 25)",'Input Data'!$BG$7,'Input Data'!$BG$8))-'Input Data'!$BG$5),0)*VLOOKUP($G42,'Input Data'!$BI$3:$BL$10,3,FALSE),MAX((AE42-IF(OR($G42="M (under 21)",$G42="Z (under 21 - deferment)"),'Input Data'!$BG$6,IF($G42="H (Apprentice under 25)",'Input Data'!$BG$7,'Input Data'!$BG$8))),0)*VLOOKUP($G42,'Input Data'!$BI$3:$BL$10,4,FALSE))))</f>
        <v>0</v>
      </c>
      <c r="AN42" s="56">
        <f>IF($G42="",0,IF(NOT(OR($G42="A - All employees not in groups B, C, J, H, M or Z",$G42="B - Married women and widows entitled to reduced NI",$G42="C - Over the State Pension age",$G42="H - Apprentice under 25",$G42="J – Deferment",$G42="M - Under 21",$G42="Z - Deferment (Under 21)",$G42="Please Enter The NI Cont. in ££££")),$G42,SUM(MAX(MIN(AF42-'Input Data'!$BG$3,'Input Data'!$BG$5-'Input Data'!$BG$3),0)*VLOOKUP($G42,'Input Data'!$BI$3:$BL$10,2,FALSE),MAX(MIN(AF42-'Input Data'!$BG$5,IF(OR($G42="M (under 21)",$G42="Z (under 21 - deferment)"),'Input Data'!$BG$6,IF($G42="H (Apprentice under 25)",'Input Data'!$BG$7,'Input Data'!$BG$8))-'Input Data'!$BG$5),0)*VLOOKUP($G42,'Input Data'!$BI$3:$BL$10,3,FALSE),MAX((AF42-IF(OR($G42="M (under 21)",$G42="Z (under 21 - deferment)"),'Input Data'!$BG$6,IF($G42="H (Apprentice under 25)",'Input Data'!$BG$7,'Input Data'!$BG$8))),0)*VLOOKUP($G42,'Input Data'!$BI$3:$BL$10,4,FALSE))))</f>
        <v>0</v>
      </c>
      <c r="AO42" s="56">
        <f>IF($G42="",0,IF(NOT(OR($G42="A - All employees not in groups B, C, J, H, M or Z",$G42="B - Married women and widows entitled to reduced NI",$G42="C - Over the State Pension age",$G42="H - Apprentice under 25",$G42="J – Deferment",$G42="M - Under 21",$G42="Z - Deferment (Under 21)",$G42="Please Enter The NI Cont. in ££££")),$G42,SUM(MAX(MIN(AG42-'Input Data'!$BG$3,'Input Data'!$BG$5-'Input Data'!$BG$3),0)*VLOOKUP($G42,'Input Data'!$BI$3:$BL$10,2,FALSE),MAX(MIN(AG42-'Input Data'!$BG$5,IF(OR($G42="M (under 21)",$G42="Z (under 21 - deferment)"),'Input Data'!$BG$6,IF($G42="H (Apprentice under 25)",'Input Data'!$BG$7,'Input Data'!$BG$8))-'Input Data'!$BG$5),0)*VLOOKUP($G42,'Input Data'!$BI$3:$BL$10,3,FALSE),MAX((AG42-IF(OR($G42="M (under 21)",$G42="Z (under 21 - deferment)"),'Input Data'!$BG$6,IF($G42="H (Apprentice under 25)",'Input Data'!$BG$7,'Input Data'!$BG$8))),0)*VLOOKUP($G42,'Input Data'!$BI$3:$BL$10,4,FALSE))))</f>
        <v>0</v>
      </c>
      <c r="AP42" s="56">
        <f>IF($G42="",0,IF(NOT(OR($G42="A - All employees not in groups B, C, J, H, M or Z",$G42="B - Married women and widows entitled to reduced NI",$G42="C - Over the State Pension age",$G42="H - Apprentice under 25",$G42="J – Deferment",$G42="M - Under 21",$G42="Z - Deferment (Under 21)",$G42="Please Enter The NI Cont. in ££££")),$G42,SUM(MAX(MIN(AH42-'Input Data'!$BG$3,'Input Data'!$BG$5-'Input Data'!$BG$3),0)*VLOOKUP($G42,'Input Data'!$BI$3:$BL$10,2,FALSE),MAX(MIN(AH42-'Input Data'!$BG$5,IF(OR($G42="M (under 21)",$G42="Z (under 21 - deferment)"),'Input Data'!$BG$6,IF($G42="H (Apprentice under 25)",'Input Data'!$BG$7,'Input Data'!$BG$8))-'Input Data'!$BG$5),0)*VLOOKUP($G42,'Input Data'!$BI$3:$BL$10,3,FALSE),MAX((AH42-IF(OR($G42="M (under 21)",$G42="Z (under 21 - deferment)"),'Input Data'!$BG$6,IF($G42="H (Apprentice under 25)",'Input Data'!$BG$7,'Input Data'!$BG$8))),0)*VLOOKUP($G42,'Input Data'!$BI$3:$BL$10,4,FALSE))))</f>
        <v>0</v>
      </c>
      <c r="AQ42" s="56">
        <f>IF($G42="",0,IF(NOT(OR($G42="A - All employees not in groups B, C, J, H, M or Z",$G42="B - Married women and widows entitled to reduced NI",$G42="C - Over the State Pension age",$G42="H - Apprentice under 25",$G42="J – Deferment",$G42="M - Under 21",$G42="Z - Deferment (Under 21)",$G42="Please Enter The NI Cont. in ££££")),$G42,SUM(MAX(MIN(AI42-'Input Data'!$BG$3,'Input Data'!$BG$5-'Input Data'!$BG$3),0)*VLOOKUP($G42,'Input Data'!$BI$3:$BL$10,2,FALSE),MAX(MIN(AI42-'Input Data'!$BG$5,IF(OR($G42="M (under 21)",$G42="Z (under 21 - deferment)"),'Input Data'!$BG$6,IF($G42="H (Apprentice under 25)",'Input Data'!$BG$7,'Input Data'!$BG$8))-'Input Data'!$BG$5),0)*VLOOKUP($G42,'Input Data'!$BI$3:$BL$10,3,FALSE),MAX((AI42-IF(OR($G42="M (under 21)",$G42="Z (under 21 - deferment)"),'Input Data'!$BG$6,IF($G42="H (Apprentice under 25)",'Input Data'!$BG$7,'Input Data'!$BG$8))),0)*VLOOKUP($G42,'Input Data'!$BI$3:$BL$10,4,FALSE))))</f>
        <v>0</v>
      </c>
      <c r="AR42" s="56">
        <f>IF($G42="",0,IF(NOT(OR($G42="A - All employees not in groups B, C, J, H, M or Z",$G42="B - Married women and widows entitled to reduced NI",$G42="C - Over the State Pension age",$G42="H - Apprentice under 25",$G42="J – Deferment",$G42="M - Under 21",$G42="Z - Deferment (Under 21)",$G42="Please Enter The NI Cont. in ££££")),$G42,SUM(MAX(MIN(AJ42-'Input Data'!$BG$3,'Input Data'!$BG$5-'Input Data'!$BG$3),0)*VLOOKUP($G42,'Input Data'!$BI$3:$BL$10,2,FALSE),MAX(MIN(AJ42-'Input Data'!$BG$5,IF(OR($G42="M (under 21)",$G42="Z (under 21 - deferment)"),'Input Data'!$BG$6,IF($G42="H (Apprentice under 25)",'Input Data'!$BG$7,'Input Data'!$BG$8))-'Input Data'!$BG$5),0)*VLOOKUP($G42,'Input Data'!$BI$3:$BL$10,3,FALSE),MAX((AJ42-IF(OR($G42="M (under 21)",$G42="Z (under 21 - deferment)"),'Input Data'!$BG$6,IF($G42="H (Apprentice under 25)",'Input Data'!$BG$7,'Input Data'!$BG$8))),0)*VLOOKUP($G42,'Input Data'!$BI$3:$BL$10,4,FALSE))))</f>
        <v>0</v>
      </c>
      <c r="AS42" s="56">
        <f>AC42*$F42</f>
        <v>0</v>
      </c>
      <c r="AT42" s="56">
        <f>AD42*$F42</f>
        <v>0</v>
      </c>
      <c r="AU42" s="56">
        <f>AE42*$F42</f>
        <v>0</v>
      </c>
      <c r="AV42" s="56">
        <f>AF42*$F42</f>
        <v>0</v>
      </c>
      <c r="AW42" s="56">
        <f>AG42*$F42</f>
        <v>0</v>
      </c>
      <c r="AX42" s="56">
        <f>AH42*$F42</f>
        <v>0</v>
      </c>
      <c r="AY42" s="56">
        <f>AI42*$F42</f>
        <v>0</v>
      </c>
      <c r="AZ42" s="56">
        <f>AJ42*$F42</f>
        <v>0</v>
      </c>
    </row>
    <row r="43" spans="2:52" ht="25.5">
      <c r="B43" s="60"/>
      <c r="C43" s="57" t="s">
        <v>76</v>
      </c>
      <c r="D43" s="58"/>
      <c r="E43" s="58"/>
      <c r="F43" s="535"/>
      <c r="G43" s="693" t="s">
        <v>1149</v>
      </c>
      <c r="H43" s="65"/>
      <c r="I43" s="65"/>
      <c r="J43" s="65"/>
      <c r="K43" s="65"/>
      <c r="L43" s="65"/>
      <c r="M43" s="65"/>
      <c r="N43" s="65"/>
      <c r="O43" s="65"/>
      <c r="P43" s="29"/>
      <c r="Q43" s="597"/>
      <c r="R43" s="61"/>
      <c r="T43" s="43">
        <f>SUM(AC43,AK43,AS43)</f>
        <v>0</v>
      </c>
      <c r="U43" s="43">
        <f>SUM(AD43,AL43,AT43)</f>
        <v>0</v>
      </c>
      <c r="V43" s="43">
        <f>SUM(AE43,AM43,AU43)</f>
        <v>0</v>
      </c>
      <c r="W43" s="43">
        <f>SUM(AF43,AN43,AV43)</f>
        <v>0</v>
      </c>
      <c r="X43" s="43">
        <f>SUM(AG43,AO43,AW43)</f>
        <v>0</v>
      </c>
      <c r="Y43" s="43">
        <f>SUM(AH43,AP43,AX43)</f>
        <v>0</v>
      </c>
      <c r="Z43" s="43">
        <f>SUM(AI43,AQ43,AY43)</f>
        <v>0</v>
      </c>
      <c r="AA43" s="43">
        <f>SUM(AJ43,AR43,AZ43)</f>
        <v>0</v>
      </c>
      <c r="AC43" s="631">
        <f>SUM($D43:$E43)*H43</f>
        <v>0</v>
      </c>
      <c r="AD43" s="631">
        <f>SUM($D43:$E43)*I43</f>
        <v>0</v>
      </c>
      <c r="AE43" s="631">
        <f>SUM($D43:$E43)*J43</f>
        <v>0</v>
      </c>
      <c r="AF43" s="631">
        <f>SUM($D43:$E43)*K43</f>
        <v>0</v>
      </c>
      <c r="AG43" s="631">
        <f>SUM($D43:$E43)*L43</f>
        <v>0</v>
      </c>
      <c r="AH43" s="631">
        <f>SUM($D43:$E43)*M43</f>
        <v>0</v>
      </c>
      <c r="AI43" s="631">
        <f>SUM($D43:$E43)*N43</f>
        <v>0</v>
      </c>
      <c r="AJ43" s="631">
        <f>SUM($D43:$E43)*O43</f>
        <v>0</v>
      </c>
      <c r="AK43" s="56">
        <f>IF($G43="",0,IF(NOT(OR($G43="A - All employees not in groups B, C, J, H, M or Z",$G43="B - Married women and widows entitled to reduced NI",$G43="C - Over the State Pension age",$G43="H - Apprentice under 25",$G43="J – Deferment",$G43="M - Under 21",$G43="Z - Deferment (Under 21)",$G43="Please Enter The NI Cont. in ££££")),$G43,SUM(MAX(MIN(AC43-'Input Data'!$BG$3,'Input Data'!$BG$5-'Input Data'!$BG$3),0)*VLOOKUP($G43,'Input Data'!$BI$3:$BL$10,2,FALSE),MAX(MIN(AC43-'Input Data'!$BG$5,IF(OR($G43="M (under 21)",$G43="Z (under 21 - deferment)"),'Input Data'!$BG$6,IF($G43="H (Apprentice under 25)",'Input Data'!$BG$7,'Input Data'!$BG$8))-'Input Data'!$BG$5),0)*VLOOKUP($G43,'Input Data'!$BI$3:$BL$10,3,FALSE),MAX((AC43-IF(OR($G43="M (under 21)",$G43="Z (under 21 - deferment)"),'Input Data'!$BG$6,IF($G43="H (Apprentice under 25)",'Input Data'!$BG$7,'Input Data'!$BG$8))),0)*VLOOKUP($G43,'Input Data'!$BI$3:$BL$10,4,FALSE))))</f>
        <v>0</v>
      </c>
      <c r="AL43" s="56">
        <f>IF($G43="",0,IF(NOT(OR($G43="A - All employees not in groups B, C, J, H, M or Z",$G43="B - Married women and widows entitled to reduced NI",$G43="C - Over the State Pension age",$G43="H - Apprentice under 25",$G43="J – Deferment",$G43="M - Under 21",$G43="Z - Deferment (Under 21)",$G43="Please Enter The NI Cont. in ££££")),$G43,SUM(MAX(MIN(AD43-'Input Data'!$BG$3,'Input Data'!$BG$5-'Input Data'!$BG$3),0)*VLOOKUP($G43,'Input Data'!$BI$3:$BL$10,2,FALSE),MAX(MIN(AD43-'Input Data'!$BG$5,IF(OR($G43="M (under 21)",$G43="Z (under 21 - deferment)"),'Input Data'!$BG$6,IF($G43="H (Apprentice under 25)",'Input Data'!$BG$7,'Input Data'!$BG$8))-'Input Data'!$BG$5),0)*VLOOKUP($G43,'Input Data'!$BI$3:$BL$10,3,FALSE),MAX((AD43-IF(OR($G43="M (under 21)",$G43="Z (under 21 - deferment)"),'Input Data'!$BG$6,IF($G43="H (Apprentice under 25)",'Input Data'!$BG$7,'Input Data'!$BG$8))),0)*VLOOKUP($G43,'Input Data'!$BI$3:$BL$10,4,FALSE))))</f>
        <v>0</v>
      </c>
      <c r="AM43" s="56">
        <f>IF($G43="",0,IF(NOT(OR($G43="A - All employees not in groups B, C, J, H, M or Z",$G43="B - Married women and widows entitled to reduced NI",$G43="C - Over the State Pension age",$G43="H - Apprentice under 25",$G43="J – Deferment",$G43="M - Under 21",$G43="Z - Deferment (Under 21)",$G43="Please Enter The NI Cont. in ££££")),$G43,SUM(MAX(MIN(AE43-'Input Data'!$BG$3,'Input Data'!$BG$5-'Input Data'!$BG$3),0)*VLOOKUP($G43,'Input Data'!$BI$3:$BL$10,2,FALSE),MAX(MIN(AE43-'Input Data'!$BG$5,IF(OR($G43="M (under 21)",$G43="Z (under 21 - deferment)"),'Input Data'!$BG$6,IF($G43="H (Apprentice under 25)",'Input Data'!$BG$7,'Input Data'!$BG$8))-'Input Data'!$BG$5),0)*VLOOKUP($G43,'Input Data'!$BI$3:$BL$10,3,FALSE),MAX((AE43-IF(OR($G43="M (under 21)",$G43="Z (under 21 - deferment)"),'Input Data'!$BG$6,IF($G43="H (Apprentice under 25)",'Input Data'!$BG$7,'Input Data'!$BG$8))),0)*VLOOKUP($G43,'Input Data'!$BI$3:$BL$10,4,FALSE))))</f>
        <v>0</v>
      </c>
      <c r="AN43" s="56">
        <f>IF($G43="",0,IF(NOT(OR($G43="A - All employees not in groups B, C, J, H, M or Z",$G43="B - Married women and widows entitled to reduced NI",$G43="C - Over the State Pension age",$G43="H - Apprentice under 25",$G43="J – Deferment",$G43="M - Under 21",$G43="Z - Deferment (Under 21)",$G43="Please Enter The NI Cont. in ££££")),$G43,SUM(MAX(MIN(AF43-'Input Data'!$BG$3,'Input Data'!$BG$5-'Input Data'!$BG$3),0)*VLOOKUP($G43,'Input Data'!$BI$3:$BL$10,2,FALSE),MAX(MIN(AF43-'Input Data'!$BG$5,IF(OR($G43="M (under 21)",$G43="Z (under 21 - deferment)"),'Input Data'!$BG$6,IF($G43="H (Apprentice under 25)",'Input Data'!$BG$7,'Input Data'!$BG$8))-'Input Data'!$BG$5),0)*VLOOKUP($G43,'Input Data'!$BI$3:$BL$10,3,FALSE),MAX((AF43-IF(OR($G43="M (under 21)",$G43="Z (under 21 - deferment)"),'Input Data'!$BG$6,IF($G43="H (Apprentice under 25)",'Input Data'!$BG$7,'Input Data'!$BG$8))),0)*VLOOKUP($G43,'Input Data'!$BI$3:$BL$10,4,FALSE))))</f>
        <v>0</v>
      </c>
      <c r="AO43" s="56">
        <f>IF($G43="",0,IF(NOT(OR($G43="A - All employees not in groups B, C, J, H, M or Z",$G43="B - Married women and widows entitled to reduced NI",$G43="C - Over the State Pension age",$G43="H - Apprentice under 25",$G43="J – Deferment",$G43="M - Under 21",$G43="Z - Deferment (Under 21)",$G43="Please Enter The NI Cont. in ££££")),$G43,SUM(MAX(MIN(AG43-'Input Data'!$BG$3,'Input Data'!$BG$5-'Input Data'!$BG$3),0)*VLOOKUP($G43,'Input Data'!$BI$3:$BL$10,2,FALSE),MAX(MIN(AG43-'Input Data'!$BG$5,IF(OR($G43="M (under 21)",$G43="Z (under 21 - deferment)"),'Input Data'!$BG$6,IF($G43="H (Apprentice under 25)",'Input Data'!$BG$7,'Input Data'!$BG$8))-'Input Data'!$BG$5),0)*VLOOKUP($G43,'Input Data'!$BI$3:$BL$10,3,FALSE),MAX((AG43-IF(OR($G43="M (under 21)",$G43="Z (under 21 - deferment)"),'Input Data'!$BG$6,IF($G43="H (Apprentice under 25)",'Input Data'!$BG$7,'Input Data'!$BG$8))),0)*VLOOKUP($G43,'Input Data'!$BI$3:$BL$10,4,FALSE))))</f>
        <v>0</v>
      </c>
      <c r="AP43" s="56">
        <f>IF($G43="",0,IF(NOT(OR($G43="A - All employees not in groups B, C, J, H, M or Z",$G43="B - Married women and widows entitled to reduced NI",$G43="C - Over the State Pension age",$G43="H - Apprentice under 25",$G43="J – Deferment",$G43="M - Under 21",$G43="Z - Deferment (Under 21)",$G43="Please Enter The NI Cont. in ££££")),$G43,SUM(MAX(MIN(AH43-'Input Data'!$BG$3,'Input Data'!$BG$5-'Input Data'!$BG$3),0)*VLOOKUP($G43,'Input Data'!$BI$3:$BL$10,2,FALSE),MAX(MIN(AH43-'Input Data'!$BG$5,IF(OR($G43="M (under 21)",$G43="Z (under 21 - deferment)"),'Input Data'!$BG$6,IF($G43="H (Apprentice under 25)",'Input Data'!$BG$7,'Input Data'!$BG$8))-'Input Data'!$BG$5),0)*VLOOKUP($G43,'Input Data'!$BI$3:$BL$10,3,FALSE),MAX((AH43-IF(OR($G43="M (under 21)",$G43="Z (under 21 - deferment)"),'Input Data'!$BG$6,IF($G43="H (Apprentice under 25)",'Input Data'!$BG$7,'Input Data'!$BG$8))),0)*VLOOKUP($G43,'Input Data'!$BI$3:$BL$10,4,FALSE))))</f>
        <v>0</v>
      </c>
      <c r="AQ43" s="56">
        <f>IF($G43="",0,IF(NOT(OR($G43="A - All employees not in groups B, C, J, H, M or Z",$G43="B - Married women and widows entitled to reduced NI",$G43="C - Over the State Pension age",$G43="H - Apprentice under 25",$G43="J – Deferment",$G43="M - Under 21",$G43="Z - Deferment (Under 21)",$G43="Please Enter The NI Cont. in ££££")),$G43,SUM(MAX(MIN(AI43-'Input Data'!$BG$3,'Input Data'!$BG$5-'Input Data'!$BG$3),0)*VLOOKUP($G43,'Input Data'!$BI$3:$BL$10,2,FALSE),MAX(MIN(AI43-'Input Data'!$BG$5,IF(OR($G43="M (under 21)",$G43="Z (under 21 - deferment)"),'Input Data'!$BG$6,IF($G43="H (Apprentice under 25)",'Input Data'!$BG$7,'Input Data'!$BG$8))-'Input Data'!$BG$5),0)*VLOOKUP($G43,'Input Data'!$BI$3:$BL$10,3,FALSE),MAX((AI43-IF(OR($G43="M (under 21)",$G43="Z (under 21 - deferment)"),'Input Data'!$BG$6,IF($G43="H (Apprentice under 25)",'Input Data'!$BG$7,'Input Data'!$BG$8))),0)*VLOOKUP($G43,'Input Data'!$BI$3:$BL$10,4,FALSE))))</f>
        <v>0</v>
      </c>
      <c r="AR43" s="56">
        <f>IF($G43="",0,IF(NOT(OR($G43="A - All employees not in groups B, C, J, H, M or Z",$G43="B - Married women and widows entitled to reduced NI",$G43="C - Over the State Pension age",$G43="H - Apprentice under 25",$G43="J – Deferment",$G43="M - Under 21",$G43="Z - Deferment (Under 21)",$G43="Please Enter The NI Cont. in ££££")),$G43,SUM(MAX(MIN(AJ43-'Input Data'!$BG$3,'Input Data'!$BG$5-'Input Data'!$BG$3),0)*VLOOKUP($G43,'Input Data'!$BI$3:$BL$10,2,FALSE),MAX(MIN(AJ43-'Input Data'!$BG$5,IF(OR($G43="M (under 21)",$G43="Z (under 21 - deferment)"),'Input Data'!$BG$6,IF($G43="H (Apprentice under 25)",'Input Data'!$BG$7,'Input Data'!$BG$8))-'Input Data'!$BG$5),0)*VLOOKUP($G43,'Input Data'!$BI$3:$BL$10,3,FALSE),MAX((AJ43-IF(OR($G43="M (under 21)",$G43="Z (under 21 - deferment)"),'Input Data'!$BG$6,IF($G43="H (Apprentice under 25)",'Input Data'!$BG$7,'Input Data'!$BG$8))),0)*VLOOKUP($G43,'Input Data'!$BI$3:$BL$10,4,FALSE))))</f>
        <v>0</v>
      </c>
      <c r="AS43" s="56">
        <f>AC43*$F43</f>
        <v>0</v>
      </c>
      <c r="AT43" s="56">
        <f>AD43*$F43</f>
        <v>0</v>
      </c>
      <c r="AU43" s="56">
        <f>AE43*$F43</f>
        <v>0</v>
      </c>
      <c r="AV43" s="56">
        <f>AF43*$F43</f>
        <v>0</v>
      </c>
      <c r="AW43" s="56">
        <f>AG43*$F43</f>
        <v>0</v>
      </c>
      <c r="AX43" s="56">
        <f>AH43*$F43</f>
        <v>0</v>
      </c>
      <c r="AY43" s="56">
        <f>AI43*$F43</f>
        <v>0</v>
      </c>
      <c r="AZ43" s="56">
        <f>AJ43*$F43</f>
        <v>0</v>
      </c>
    </row>
    <row r="44" spans="2:52" ht="25.5">
      <c r="B44" s="60"/>
      <c r="C44" s="57" t="s">
        <v>77</v>
      </c>
      <c r="D44" s="58"/>
      <c r="E44" s="58"/>
      <c r="F44" s="535"/>
      <c r="G44" s="693" t="s">
        <v>1149</v>
      </c>
      <c r="H44" s="65"/>
      <c r="I44" s="65"/>
      <c r="J44" s="65"/>
      <c r="K44" s="65"/>
      <c r="L44" s="65"/>
      <c r="M44" s="65"/>
      <c r="N44" s="65"/>
      <c r="O44" s="65"/>
      <c r="P44" s="29"/>
      <c r="Q44" s="597"/>
      <c r="R44" s="61"/>
      <c r="T44" s="43">
        <f>SUM(AC44,AK44,AS44)</f>
        <v>0</v>
      </c>
      <c r="U44" s="43">
        <f>SUM(AD44,AL44,AT44)</f>
        <v>0</v>
      </c>
      <c r="V44" s="43">
        <f>SUM(AE44,AM44,AU44)</f>
        <v>0</v>
      </c>
      <c r="W44" s="43">
        <f>SUM(AF44,AN44,AV44)</f>
        <v>0</v>
      </c>
      <c r="X44" s="43">
        <f>SUM(AG44,AO44,AW44)</f>
        <v>0</v>
      </c>
      <c r="Y44" s="43">
        <f>SUM(AH44,AP44,AX44)</f>
        <v>0</v>
      </c>
      <c r="Z44" s="43">
        <f>SUM(AI44,AQ44,AY44)</f>
        <v>0</v>
      </c>
      <c r="AA44" s="43">
        <f>SUM(AJ44,AR44,AZ44)</f>
        <v>0</v>
      </c>
      <c r="AC44" s="631">
        <f>SUM($D44:$E44)*H44</f>
        <v>0</v>
      </c>
      <c r="AD44" s="631">
        <f>SUM($D44:$E44)*I44</f>
        <v>0</v>
      </c>
      <c r="AE44" s="631">
        <f>SUM($D44:$E44)*J44</f>
        <v>0</v>
      </c>
      <c r="AF44" s="631">
        <f>SUM($D44:$E44)*K44</f>
        <v>0</v>
      </c>
      <c r="AG44" s="631">
        <f>SUM($D44:$E44)*L44</f>
        <v>0</v>
      </c>
      <c r="AH44" s="631">
        <f>SUM($D44:$E44)*M44</f>
        <v>0</v>
      </c>
      <c r="AI44" s="631">
        <f>SUM($D44:$E44)*N44</f>
        <v>0</v>
      </c>
      <c r="AJ44" s="631">
        <f>SUM($D44:$E44)*O44</f>
        <v>0</v>
      </c>
      <c r="AK44" s="56">
        <f>IF($G44="",0,IF(NOT(OR($G44="A - All employees not in groups B, C, J, H, M or Z",$G44="B - Married women and widows entitled to reduced NI",$G44="C - Over the State Pension age",$G44="H - Apprentice under 25",$G44="J – Deferment",$G44="M - Under 21",$G44="Z - Deferment (Under 21)",$G44="Please Enter The NI Cont. in ££££")),$G44,SUM(MAX(MIN(AC44-'Input Data'!$BG$3,'Input Data'!$BG$5-'Input Data'!$BG$3),0)*VLOOKUP($G44,'Input Data'!$BI$3:$BL$10,2,FALSE),MAX(MIN(AC44-'Input Data'!$BG$5,IF(OR($G44="M (under 21)",$G44="Z (under 21 - deferment)"),'Input Data'!$BG$6,IF($G44="H (Apprentice under 25)",'Input Data'!$BG$7,'Input Data'!$BG$8))-'Input Data'!$BG$5),0)*VLOOKUP($G44,'Input Data'!$BI$3:$BL$10,3,FALSE),MAX((AC44-IF(OR($G44="M (under 21)",$G44="Z (under 21 - deferment)"),'Input Data'!$BG$6,IF($G44="H (Apprentice under 25)",'Input Data'!$BG$7,'Input Data'!$BG$8))),0)*VLOOKUP($G44,'Input Data'!$BI$3:$BL$10,4,FALSE))))</f>
        <v>0</v>
      </c>
      <c r="AL44" s="56">
        <f>IF($G44="",0,IF(NOT(OR($G44="A - All employees not in groups B, C, J, H, M or Z",$G44="B - Married women and widows entitled to reduced NI",$G44="C - Over the State Pension age",$G44="H - Apprentice under 25",$G44="J – Deferment",$G44="M - Under 21",$G44="Z - Deferment (Under 21)",$G44="Please Enter The NI Cont. in ££££")),$G44,SUM(MAX(MIN(AD44-'Input Data'!$BG$3,'Input Data'!$BG$5-'Input Data'!$BG$3),0)*VLOOKUP($G44,'Input Data'!$BI$3:$BL$10,2,FALSE),MAX(MIN(AD44-'Input Data'!$BG$5,IF(OR($G44="M (under 21)",$G44="Z (under 21 - deferment)"),'Input Data'!$BG$6,IF($G44="H (Apprentice under 25)",'Input Data'!$BG$7,'Input Data'!$BG$8))-'Input Data'!$BG$5),0)*VLOOKUP($G44,'Input Data'!$BI$3:$BL$10,3,FALSE),MAX((AD44-IF(OR($G44="M (under 21)",$G44="Z (under 21 - deferment)"),'Input Data'!$BG$6,IF($G44="H (Apprentice under 25)",'Input Data'!$BG$7,'Input Data'!$BG$8))),0)*VLOOKUP($G44,'Input Data'!$BI$3:$BL$10,4,FALSE))))</f>
        <v>0</v>
      </c>
      <c r="AM44" s="56">
        <f>IF($G44="",0,IF(NOT(OR($G44="A - All employees not in groups B, C, J, H, M or Z",$G44="B - Married women and widows entitled to reduced NI",$G44="C - Over the State Pension age",$G44="H - Apprentice under 25",$G44="J – Deferment",$G44="M - Under 21",$G44="Z - Deferment (Under 21)",$G44="Please Enter The NI Cont. in ££££")),$G44,SUM(MAX(MIN(AE44-'Input Data'!$BG$3,'Input Data'!$BG$5-'Input Data'!$BG$3),0)*VLOOKUP($G44,'Input Data'!$BI$3:$BL$10,2,FALSE),MAX(MIN(AE44-'Input Data'!$BG$5,IF(OR($G44="M (under 21)",$G44="Z (under 21 - deferment)"),'Input Data'!$BG$6,IF($G44="H (Apprentice under 25)",'Input Data'!$BG$7,'Input Data'!$BG$8))-'Input Data'!$BG$5),0)*VLOOKUP($G44,'Input Data'!$BI$3:$BL$10,3,FALSE),MAX((AE44-IF(OR($G44="M (under 21)",$G44="Z (under 21 - deferment)"),'Input Data'!$BG$6,IF($G44="H (Apprentice under 25)",'Input Data'!$BG$7,'Input Data'!$BG$8))),0)*VLOOKUP($G44,'Input Data'!$BI$3:$BL$10,4,FALSE))))</f>
        <v>0</v>
      </c>
      <c r="AN44" s="56">
        <f>IF($G44="",0,IF(NOT(OR($G44="A - All employees not in groups B, C, J, H, M or Z",$G44="B - Married women and widows entitled to reduced NI",$G44="C - Over the State Pension age",$G44="H - Apprentice under 25",$G44="J – Deferment",$G44="M - Under 21",$G44="Z - Deferment (Under 21)",$G44="Please Enter The NI Cont. in ££££")),$G44,SUM(MAX(MIN(AF44-'Input Data'!$BG$3,'Input Data'!$BG$5-'Input Data'!$BG$3),0)*VLOOKUP($G44,'Input Data'!$BI$3:$BL$10,2,FALSE),MAX(MIN(AF44-'Input Data'!$BG$5,IF(OR($G44="M (under 21)",$G44="Z (under 21 - deferment)"),'Input Data'!$BG$6,IF($G44="H (Apprentice under 25)",'Input Data'!$BG$7,'Input Data'!$BG$8))-'Input Data'!$BG$5),0)*VLOOKUP($G44,'Input Data'!$BI$3:$BL$10,3,FALSE),MAX((AF44-IF(OR($G44="M (under 21)",$G44="Z (under 21 - deferment)"),'Input Data'!$BG$6,IF($G44="H (Apprentice under 25)",'Input Data'!$BG$7,'Input Data'!$BG$8))),0)*VLOOKUP($G44,'Input Data'!$BI$3:$BL$10,4,FALSE))))</f>
        <v>0</v>
      </c>
      <c r="AO44" s="56">
        <f>IF($G44="",0,IF(NOT(OR($G44="A - All employees not in groups B, C, J, H, M or Z",$G44="B - Married women and widows entitled to reduced NI",$G44="C - Over the State Pension age",$G44="H - Apprentice under 25",$G44="J – Deferment",$G44="M - Under 21",$G44="Z - Deferment (Under 21)",$G44="Please Enter The NI Cont. in ££££")),$G44,SUM(MAX(MIN(AG44-'Input Data'!$BG$3,'Input Data'!$BG$5-'Input Data'!$BG$3),0)*VLOOKUP($G44,'Input Data'!$BI$3:$BL$10,2,FALSE),MAX(MIN(AG44-'Input Data'!$BG$5,IF(OR($G44="M (under 21)",$G44="Z (under 21 - deferment)"),'Input Data'!$BG$6,IF($G44="H (Apprentice under 25)",'Input Data'!$BG$7,'Input Data'!$BG$8))-'Input Data'!$BG$5),0)*VLOOKUP($G44,'Input Data'!$BI$3:$BL$10,3,FALSE),MAX((AG44-IF(OR($G44="M (under 21)",$G44="Z (under 21 - deferment)"),'Input Data'!$BG$6,IF($G44="H (Apprentice under 25)",'Input Data'!$BG$7,'Input Data'!$BG$8))),0)*VLOOKUP($G44,'Input Data'!$BI$3:$BL$10,4,FALSE))))</f>
        <v>0</v>
      </c>
      <c r="AP44" s="56">
        <f>IF($G44="",0,IF(NOT(OR($G44="A - All employees not in groups B, C, J, H, M or Z",$G44="B - Married women and widows entitled to reduced NI",$G44="C - Over the State Pension age",$G44="H - Apprentice under 25",$G44="J – Deferment",$G44="M - Under 21",$G44="Z - Deferment (Under 21)",$G44="Please Enter The NI Cont. in ££££")),$G44,SUM(MAX(MIN(AH44-'Input Data'!$BG$3,'Input Data'!$BG$5-'Input Data'!$BG$3),0)*VLOOKUP($G44,'Input Data'!$BI$3:$BL$10,2,FALSE),MAX(MIN(AH44-'Input Data'!$BG$5,IF(OR($G44="M (under 21)",$G44="Z (under 21 - deferment)"),'Input Data'!$BG$6,IF($G44="H (Apprentice under 25)",'Input Data'!$BG$7,'Input Data'!$BG$8))-'Input Data'!$BG$5),0)*VLOOKUP($G44,'Input Data'!$BI$3:$BL$10,3,FALSE),MAX((AH44-IF(OR($G44="M (under 21)",$G44="Z (under 21 - deferment)"),'Input Data'!$BG$6,IF($G44="H (Apprentice under 25)",'Input Data'!$BG$7,'Input Data'!$BG$8))),0)*VLOOKUP($G44,'Input Data'!$BI$3:$BL$10,4,FALSE))))</f>
        <v>0</v>
      </c>
      <c r="AQ44" s="56">
        <f>IF($G44="",0,IF(NOT(OR($G44="A - All employees not in groups B, C, J, H, M or Z",$G44="B - Married women and widows entitled to reduced NI",$G44="C - Over the State Pension age",$G44="H - Apprentice under 25",$G44="J – Deferment",$G44="M - Under 21",$G44="Z - Deferment (Under 21)",$G44="Please Enter The NI Cont. in ££££")),$G44,SUM(MAX(MIN(AI44-'Input Data'!$BG$3,'Input Data'!$BG$5-'Input Data'!$BG$3),0)*VLOOKUP($G44,'Input Data'!$BI$3:$BL$10,2,FALSE),MAX(MIN(AI44-'Input Data'!$BG$5,IF(OR($G44="M (under 21)",$G44="Z (under 21 - deferment)"),'Input Data'!$BG$6,IF($G44="H (Apprentice under 25)",'Input Data'!$BG$7,'Input Data'!$BG$8))-'Input Data'!$BG$5),0)*VLOOKUP($G44,'Input Data'!$BI$3:$BL$10,3,FALSE),MAX((AI44-IF(OR($G44="M (under 21)",$G44="Z (under 21 - deferment)"),'Input Data'!$BG$6,IF($G44="H (Apprentice under 25)",'Input Data'!$BG$7,'Input Data'!$BG$8))),0)*VLOOKUP($G44,'Input Data'!$BI$3:$BL$10,4,FALSE))))</f>
        <v>0</v>
      </c>
      <c r="AR44" s="56">
        <f>IF($G44="",0,IF(NOT(OR($G44="A - All employees not in groups B, C, J, H, M or Z",$G44="B - Married women and widows entitled to reduced NI",$G44="C - Over the State Pension age",$G44="H - Apprentice under 25",$G44="J – Deferment",$G44="M - Under 21",$G44="Z - Deferment (Under 21)",$G44="Please Enter The NI Cont. in ££££")),$G44,SUM(MAX(MIN(AJ44-'Input Data'!$BG$3,'Input Data'!$BG$5-'Input Data'!$BG$3),0)*VLOOKUP($G44,'Input Data'!$BI$3:$BL$10,2,FALSE),MAX(MIN(AJ44-'Input Data'!$BG$5,IF(OR($G44="M (under 21)",$G44="Z (under 21 - deferment)"),'Input Data'!$BG$6,IF($G44="H (Apprentice under 25)",'Input Data'!$BG$7,'Input Data'!$BG$8))-'Input Data'!$BG$5),0)*VLOOKUP($G44,'Input Data'!$BI$3:$BL$10,3,FALSE),MAX((AJ44-IF(OR($G44="M (under 21)",$G44="Z (under 21 - deferment)"),'Input Data'!$BG$6,IF($G44="H (Apprentice under 25)",'Input Data'!$BG$7,'Input Data'!$BG$8))),0)*VLOOKUP($G44,'Input Data'!$BI$3:$BL$10,4,FALSE))))</f>
        <v>0</v>
      </c>
      <c r="AS44" s="56">
        <f>AC44*$F44</f>
        <v>0</v>
      </c>
      <c r="AT44" s="56">
        <f>AD44*$F44</f>
        <v>0</v>
      </c>
      <c r="AU44" s="56">
        <f>AE44*$F44</f>
        <v>0</v>
      </c>
      <c r="AV44" s="56">
        <f>AF44*$F44</f>
        <v>0</v>
      </c>
      <c r="AW44" s="56">
        <f>AG44*$F44</f>
        <v>0</v>
      </c>
      <c r="AX44" s="56">
        <f>AH44*$F44</f>
        <v>0</v>
      </c>
      <c r="AY44" s="56">
        <f>AI44*$F44</f>
        <v>0</v>
      </c>
      <c r="AZ44" s="56">
        <f>AJ44*$F44</f>
        <v>0</v>
      </c>
    </row>
    <row r="45" spans="2:52" ht="25.5">
      <c r="B45" s="60"/>
      <c r="C45" s="57" t="s">
        <v>78</v>
      </c>
      <c r="D45" s="58"/>
      <c r="E45" s="58"/>
      <c r="F45" s="535"/>
      <c r="G45" s="693" t="s">
        <v>1149</v>
      </c>
      <c r="H45" s="65"/>
      <c r="I45" s="65"/>
      <c r="J45" s="65"/>
      <c r="K45" s="65"/>
      <c r="L45" s="65"/>
      <c r="M45" s="65"/>
      <c r="N45" s="65"/>
      <c r="O45" s="65"/>
      <c r="P45" s="29"/>
      <c r="Q45" s="597"/>
      <c r="R45" s="61"/>
      <c r="T45" s="43">
        <f>SUM(AC45,AK45,AS45)</f>
        <v>0</v>
      </c>
      <c r="U45" s="43">
        <f>SUM(AD45,AL45,AT45)</f>
        <v>0</v>
      </c>
      <c r="V45" s="43">
        <f>SUM(AE45,AM45,AU45)</f>
        <v>0</v>
      </c>
      <c r="W45" s="43">
        <f>SUM(AF45,AN45,AV45)</f>
        <v>0</v>
      </c>
      <c r="X45" s="43">
        <f>SUM(AG45,AO45,AW45)</f>
        <v>0</v>
      </c>
      <c r="Y45" s="43">
        <f>SUM(AH45,AP45,AX45)</f>
        <v>0</v>
      </c>
      <c r="Z45" s="43">
        <f>SUM(AI45,AQ45,AY45)</f>
        <v>0</v>
      </c>
      <c r="AA45" s="43">
        <f>SUM(AJ45,AR45,AZ45)</f>
        <v>0</v>
      </c>
      <c r="AC45" s="631">
        <f>SUM($D45:$E45)*H45</f>
        <v>0</v>
      </c>
      <c r="AD45" s="631">
        <f>SUM($D45:$E45)*I45</f>
        <v>0</v>
      </c>
      <c r="AE45" s="631">
        <f>SUM($D45:$E45)*J45</f>
        <v>0</v>
      </c>
      <c r="AF45" s="631">
        <f>SUM($D45:$E45)*K45</f>
        <v>0</v>
      </c>
      <c r="AG45" s="631">
        <f>SUM($D45:$E45)*L45</f>
        <v>0</v>
      </c>
      <c r="AH45" s="631">
        <f>SUM($D45:$E45)*M45</f>
        <v>0</v>
      </c>
      <c r="AI45" s="631">
        <f>SUM($D45:$E45)*N45</f>
        <v>0</v>
      </c>
      <c r="AJ45" s="631">
        <f>SUM($D45:$E45)*O45</f>
        <v>0</v>
      </c>
      <c r="AK45" s="56">
        <f>IF($G45="",0,IF(NOT(OR($G45="A - All employees not in groups B, C, J, H, M or Z",$G45="B - Married women and widows entitled to reduced NI",$G45="C - Over the State Pension age",$G45="H - Apprentice under 25",$G45="J – Deferment",$G45="M - Under 21",$G45="Z - Deferment (Under 21)",$G45="Please Enter The NI Cont. in ££££")),$G45,SUM(MAX(MIN(AC45-'Input Data'!$BG$3,'Input Data'!$BG$5-'Input Data'!$BG$3),0)*VLOOKUP($G45,'Input Data'!$BI$3:$BL$10,2,FALSE),MAX(MIN(AC45-'Input Data'!$BG$5,IF(OR($G45="M (under 21)",$G45="Z (under 21 - deferment)"),'Input Data'!$BG$6,IF($G45="H (Apprentice under 25)",'Input Data'!$BG$7,'Input Data'!$BG$8))-'Input Data'!$BG$5),0)*VLOOKUP($G45,'Input Data'!$BI$3:$BL$10,3,FALSE),MAX((AC45-IF(OR($G45="M (under 21)",$G45="Z (under 21 - deferment)"),'Input Data'!$BG$6,IF($G45="H (Apprentice under 25)",'Input Data'!$BG$7,'Input Data'!$BG$8))),0)*VLOOKUP($G45,'Input Data'!$BI$3:$BL$10,4,FALSE))))</f>
        <v>0</v>
      </c>
      <c r="AL45" s="56">
        <f>IF($G45="",0,IF(NOT(OR($G45="A - All employees not in groups B, C, J, H, M or Z",$G45="B - Married women and widows entitled to reduced NI",$G45="C - Over the State Pension age",$G45="H - Apprentice under 25",$G45="J – Deferment",$G45="M - Under 21",$G45="Z - Deferment (Under 21)",$G45="Please Enter The NI Cont. in ££££")),$G45,SUM(MAX(MIN(AD45-'Input Data'!$BG$3,'Input Data'!$BG$5-'Input Data'!$BG$3),0)*VLOOKUP($G45,'Input Data'!$BI$3:$BL$10,2,FALSE),MAX(MIN(AD45-'Input Data'!$BG$5,IF(OR($G45="M (under 21)",$G45="Z (under 21 - deferment)"),'Input Data'!$BG$6,IF($G45="H (Apprentice under 25)",'Input Data'!$BG$7,'Input Data'!$BG$8))-'Input Data'!$BG$5),0)*VLOOKUP($G45,'Input Data'!$BI$3:$BL$10,3,FALSE),MAX((AD45-IF(OR($G45="M (under 21)",$G45="Z (under 21 - deferment)"),'Input Data'!$BG$6,IF($G45="H (Apprentice under 25)",'Input Data'!$BG$7,'Input Data'!$BG$8))),0)*VLOOKUP($G45,'Input Data'!$BI$3:$BL$10,4,FALSE))))</f>
        <v>0</v>
      </c>
      <c r="AM45" s="56">
        <f>IF($G45="",0,IF(NOT(OR($G45="A - All employees not in groups B, C, J, H, M or Z",$G45="B - Married women and widows entitled to reduced NI",$G45="C - Over the State Pension age",$G45="H - Apprentice under 25",$G45="J – Deferment",$G45="M - Under 21",$G45="Z - Deferment (Under 21)",$G45="Please Enter The NI Cont. in ££££")),$G45,SUM(MAX(MIN(AE45-'Input Data'!$BG$3,'Input Data'!$BG$5-'Input Data'!$BG$3),0)*VLOOKUP($G45,'Input Data'!$BI$3:$BL$10,2,FALSE),MAX(MIN(AE45-'Input Data'!$BG$5,IF(OR($G45="M (under 21)",$G45="Z (under 21 - deferment)"),'Input Data'!$BG$6,IF($G45="H (Apprentice under 25)",'Input Data'!$BG$7,'Input Data'!$BG$8))-'Input Data'!$BG$5),0)*VLOOKUP($G45,'Input Data'!$BI$3:$BL$10,3,FALSE),MAX((AE45-IF(OR($G45="M (under 21)",$G45="Z (under 21 - deferment)"),'Input Data'!$BG$6,IF($G45="H (Apprentice under 25)",'Input Data'!$BG$7,'Input Data'!$BG$8))),0)*VLOOKUP($G45,'Input Data'!$BI$3:$BL$10,4,FALSE))))</f>
        <v>0</v>
      </c>
      <c r="AN45" s="56">
        <f>IF($G45="",0,IF(NOT(OR($G45="A - All employees not in groups B, C, J, H, M or Z",$G45="B - Married women and widows entitled to reduced NI",$G45="C - Over the State Pension age",$G45="H - Apprentice under 25",$G45="J – Deferment",$G45="M - Under 21",$G45="Z - Deferment (Under 21)",$G45="Please Enter The NI Cont. in ££££")),$G45,SUM(MAX(MIN(AF45-'Input Data'!$BG$3,'Input Data'!$BG$5-'Input Data'!$BG$3),0)*VLOOKUP($G45,'Input Data'!$BI$3:$BL$10,2,FALSE),MAX(MIN(AF45-'Input Data'!$BG$5,IF(OR($G45="M (under 21)",$G45="Z (under 21 - deferment)"),'Input Data'!$BG$6,IF($G45="H (Apprentice under 25)",'Input Data'!$BG$7,'Input Data'!$BG$8))-'Input Data'!$BG$5),0)*VLOOKUP($G45,'Input Data'!$BI$3:$BL$10,3,FALSE),MAX((AF45-IF(OR($G45="M (under 21)",$G45="Z (under 21 - deferment)"),'Input Data'!$BG$6,IF($G45="H (Apprentice under 25)",'Input Data'!$BG$7,'Input Data'!$BG$8))),0)*VLOOKUP($G45,'Input Data'!$BI$3:$BL$10,4,FALSE))))</f>
        <v>0</v>
      </c>
      <c r="AO45" s="56">
        <f>IF($G45="",0,IF(NOT(OR($G45="A - All employees not in groups B, C, J, H, M or Z",$G45="B - Married women and widows entitled to reduced NI",$G45="C - Over the State Pension age",$G45="H - Apprentice under 25",$G45="J – Deferment",$G45="M - Under 21",$G45="Z - Deferment (Under 21)",$G45="Please Enter The NI Cont. in ££££")),$G45,SUM(MAX(MIN(AG45-'Input Data'!$BG$3,'Input Data'!$BG$5-'Input Data'!$BG$3),0)*VLOOKUP($G45,'Input Data'!$BI$3:$BL$10,2,FALSE),MAX(MIN(AG45-'Input Data'!$BG$5,IF(OR($G45="M (under 21)",$G45="Z (under 21 - deferment)"),'Input Data'!$BG$6,IF($G45="H (Apprentice under 25)",'Input Data'!$BG$7,'Input Data'!$BG$8))-'Input Data'!$BG$5),0)*VLOOKUP($G45,'Input Data'!$BI$3:$BL$10,3,FALSE),MAX((AG45-IF(OR($G45="M (under 21)",$G45="Z (under 21 - deferment)"),'Input Data'!$BG$6,IF($G45="H (Apprentice under 25)",'Input Data'!$BG$7,'Input Data'!$BG$8))),0)*VLOOKUP($G45,'Input Data'!$BI$3:$BL$10,4,FALSE))))</f>
        <v>0</v>
      </c>
      <c r="AP45" s="56">
        <f>IF($G45="",0,IF(NOT(OR($G45="A - All employees not in groups B, C, J, H, M or Z",$G45="B - Married women and widows entitled to reduced NI",$G45="C - Over the State Pension age",$G45="H - Apprentice under 25",$G45="J – Deferment",$G45="M - Under 21",$G45="Z - Deferment (Under 21)",$G45="Please Enter The NI Cont. in ££££")),$G45,SUM(MAX(MIN(AH45-'Input Data'!$BG$3,'Input Data'!$BG$5-'Input Data'!$BG$3),0)*VLOOKUP($G45,'Input Data'!$BI$3:$BL$10,2,FALSE),MAX(MIN(AH45-'Input Data'!$BG$5,IF(OR($G45="M (under 21)",$G45="Z (under 21 - deferment)"),'Input Data'!$BG$6,IF($G45="H (Apprentice under 25)",'Input Data'!$BG$7,'Input Data'!$BG$8))-'Input Data'!$BG$5),0)*VLOOKUP($G45,'Input Data'!$BI$3:$BL$10,3,FALSE),MAX((AH45-IF(OR($G45="M (under 21)",$G45="Z (under 21 - deferment)"),'Input Data'!$BG$6,IF($G45="H (Apprentice under 25)",'Input Data'!$BG$7,'Input Data'!$BG$8))),0)*VLOOKUP($G45,'Input Data'!$BI$3:$BL$10,4,FALSE))))</f>
        <v>0</v>
      </c>
      <c r="AQ45" s="56">
        <f>IF($G45="",0,IF(NOT(OR($G45="A - All employees not in groups B, C, J, H, M or Z",$G45="B - Married women and widows entitled to reduced NI",$G45="C - Over the State Pension age",$G45="H - Apprentice under 25",$G45="J – Deferment",$G45="M - Under 21",$G45="Z - Deferment (Under 21)",$G45="Please Enter The NI Cont. in ££££")),$G45,SUM(MAX(MIN(AI45-'Input Data'!$BG$3,'Input Data'!$BG$5-'Input Data'!$BG$3),0)*VLOOKUP($G45,'Input Data'!$BI$3:$BL$10,2,FALSE),MAX(MIN(AI45-'Input Data'!$BG$5,IF(OR($G45="M (under 21)",$G45="Z (under 21 - deferment)"),'Input Data'!$BG$6,IF($G45="H (Apprentice under 25)",'Input Data'!$BG$7,'Input Data'!$BG$8))-'Input Data'!$BG$5),0)*VLOOKUP($G45,'Input Data'!$BI$3:$BL$10,3,FALSE),MAX((AI45-IF(OR($G45="M (under 21)",$G45="Z (under 21 - deferment)"),'Input Data'!$BG$6,IF($G45="H (Apprentice under 25)",'Input Data'!$BG$7,'Input Data'!$BG$8))),0)*VLOOKUP($G45,'Input Data'!$BI$3:$BL$10,4,FALSE))))</f>
        <v>0</v>
      </c>
      <c r="AR45" s="56">
        <f>IF($G45="",0,IF(NOT(OR($G45="A - All employees not in groups B, C, J, H, M or Z",$G45="B - Married women and widows entitled to reduced NI",$G45="C - Over the State Pension age",$G45="H - Apprentice under 25",$G45="J – Deferment",$G45="M - Under 21",$G45="Z - Deferment (Under 21)",$G45="Please Enter The NI Cont. in ££££")),$G45,SUM(MAX(MIN(AJ45-'Input Data'!$BG$3,'Input Data'!$BG$5-'Input Data'!$BG$3),0)*VLOOKUP($G45,'Input Data'!$BI$3:$BL$10,2,FALSE),MAX(MIN(AJ45-'Input Data'!$BG$5,IF(OR($G45="M (under 21)",$G45="Z (under 21 - deferment)"),'Input Data'!$BG$6,IF($G45="H (Apprentice under 25)",'Input Data'!$BG$7,'Input Data'!$BG$8))-'Input Data'!$BG$5),0)*VLOOKUP($G45,'Input Data'!$BI$3:$BL$10,3,FALSE),MAX((AJ45-IF(OR($G45="M (under 21)",$G45="Z (under 21 - deferment)"),'Input Data'!$BG$6,IF($G45="H (Apprentice under 25)",'Input Data'!$BG$7,'Input Data'!$BG$8))),0)*VLOOKUP($G45,'Input Data'!$BI$3:$BL$10,4,FALSE))))</f>
        <v>0</v>
      </c>
      <c r="AS45" s="56">
        <f>AC45*$F45</f>
        <v>0</v>
      </c>
      <c r="AT45" s="56">
        <f>AD45*$F45</f>
        <v>0</v>
      </c>
      <c r="AU45" s="56">
        <f>AE45*$F45</f>
        <v>0</v>
      </c>
      <c r="AV45" s="56">
        <f>AF45*$F45</f>
        <v>0</v>
      </c>
      <c r="AW45" s="56">
        <f>AG45*$F45</f>
        <v>0</v>
      </c>
      <c r="AX45" s="56">
        <f>AH45*$F45</f>
        <v>0</v>
      </c>
      <c r="AY45" s="56">
        <f>AI45*$F45</f>
        <v>0</v>
      </c>
      <c r="AZ45" s="56">
        <f>AJ45*$F45</f>
        <v>0</v>
      </c>
    </row>
    <row r="46" spans="2:52" ht="25.5">
      <c r="B46" s="60"/>
      <c r="C46" s="57" t="s">
        <v>79</v>
      </c>
      <c r="D46" s="58"/>
      <c r="E46" s="58"/>
      <c r="F46" s="535"/>
      <c r="G46" s="693" t="s">
        <v>1149</v>
      </c>
      <c r="H46" s="65"/>
      <c r="I46" s="65"/>
      <c r="J46" s="65"/>
      <c r="K46" s="65"/>
      <c r="L46" s="65"/>
      <c r="M46" s="65"/>
      <c r="N46" s="65"/>
      <c r="O46" s="65"/>
      <c r="P46" s="29"/>
      <c r="Q46" s="597"/>
      <c r="R46" s="61"/>
      <c r="T46" s="43">
        <f>SUM(AC46,AK46,AS46)</f>
        <v>0</v>
      </c>
      <c r="U46" s="43">
        <f>SUM(AD46,AL46,AT46)</f>
        <v>0</v>
      </c>
      <c r="V46" s="43">
        <f>SUM(AE46,AM46,AU46)</f>
        <v>0</v>
      </c>
      <c r="W46" s="43">
        <f>SUM(AF46,AN46,AV46)</f>
        <v>0</v>
      </c>
      <c r="X46" s="43">
        <f>SUM(AG46,AO46,AW46)</f>
        <v>0</v>
      </c>
      <c r="Y46" s="43">
        <f>SUM(AH46,AP46,AX46)</f>
        <v>0</v>
      </c>
      <c r="Z46" s="43">
        <f>SUM(AI46,AQ46,AY46)</f>
        <v>0</v>
      </c>
      <c r="AA46" s="43">
        <f>SUM(AJ46,AR46,AZ46)</f>
        <v>0</v>
      </c>
      <c r="AC46" s="631">
        <f>SUM($D46:$E46)*H46</f>
        <v>0</v>
      </c>
      <c r="AD46" s="631">
        <f>SUM($D46:$E46)*I46</f>
        <v>0</v>
      </c>
      <c r="AE46" s="631">
        <f>SUM($D46:$E46)*J46</f>
        <v>0</v>
      </c>
      <c r="AF46" s="631">
        <f>SUM($D46:$E46)*K46</f>
        <v>0</v>
      </c>
      <c r="AG46" s="631">
        <f>SUM($D46:$E46)*L46</f>
        <v>0</v>
      </c>
      <c r="AH46" s="631">
        <f>SUM($D46:$E46)*M46</f>
        <v>0</v>
      </c>
      <c r="AI46" s="631">
        <f>SUM($D46:$E46)*N46</f>
        <v>0</v>
      </c>
      <c r="AJ46" s="631">
        <f>SUM($D46:$E46)*O46</f>
        <v>0</v>
      </c>
      <c r="AK46" s="56">
        <f>IF($G46="",0,IF(NOT(OR($G46="A - All employees not in groups B, C, J, H, M or Z",$G46="B - Married women and widows entitled to reduced NI",$G46="C - Over the State Pension age",$G46="H - Apprentice under 25",$G46="J – Deferment",$G46="M - Under 21",$G46="Z - Deferment (Under 21)",$G46="Please Enter The NI Cont. in ££££")),$G46,SUM(MAX(MIN(AC46-'Input Data'!$BG$3,'Input Data'!$BG$5-'Input Data'!$BG$3),0)*VLOOKUP($G46,'Input Data'!$BI$3:$BL$10,2,FALSE),MAX(MIN(AC46-'Input Data'!$BG$5,IF(OR($G46="M (under 21)",$G46="Z (under 21 - deferment)"),'Input Data'!$BG$6,IF($G46="H (Apprentice under 25)",'Input Data'!$BG$7,'Input Data'!$BG$8))-'Input Data'!$BG$5),0)*VLOOKUP($G46,'Input Data'!$BI$3:$BL$10,3,FALSE),MAX((AC46-IF(OR($G46="M (under 21)",$G46="Z (under 21 - deferment)"),'Input Data'!$BG$6,IF($G46="H (Apprentice under 25)",'Input Data'!$BG$7,'Input Data'!$BG$8))),0)*VLOOKUP($G46,'Input Data'!$BI$3:$BL$10,4,FALSE))))</f>
        <v>0</v>
      </c>
      <c r="AL46" s="56">
        <f>IF($G46="",0,IF(NOT(OR($G46="A - All employees not in groups B, C, J, H, M or Z",$G46="B - Married women and widows entitled to reduced NI",$G46="C - Over the State Pension age",$G46="H - Apprentice under 25",$G46="J – Deferment",$G46="M - Under 21",$G46="Z - Deferment (Under 21)",$G46="Please Enter The NI Cont. in ££££")),$G46,SUM(MAX(MIN(AD46-'Input Data'!$BG$3,'Input Data'!$BG$5-'Input Data'!$BG$3),0)*VLOOKUP($G46,'Input Data'!$BI$3:$BL$10,2,FALSE),MAX(MIN(AD46-'Input Data'!$BG$5,IF(OR($G46="M (under 21)",$G46="Z (under 21 - deferment)"),'Input Data'!$BG$6,IF($G46="H (Apprentice under 25)",'Input Data'!$BG$7,'Input Data'!$BG$8))-'Input Data'!$BG$5),0)*VLOOKUP($G46,'Input Data'!$BI$3:$BL$10,3,FALSE),MAX((AD46-IF(OR($G46="M (under 21)",$G46="Z (under 21 - deferment)"),'Input Data'!$BG$6,IF($G46="H (Apprentice under 25)",'Input Data'!$BG$7,'Input Data'!$BG$8))),0)*VLOOKUP($G46,'Input Data'!$BI$3:$BL$10,4,FALSE))))</f>
        <v>0</v>
      </c>
      <c r="AM46" s="56">
        <f>IF($G46="",0,IF(NOT(OR($G46="A - All employees not in groups B, C, J, H, M or Z",$G46="B - Married women and widows entitled to reduced NI",$G46="C - Over the State Pension age",$G46="H - Apprentice under 25",$G46="J – Deferment",$G46="M - Under 21",$G46="Z - Deferment (Under 21)",$G46="Please Enter The NI Cont. in ££££")),$G46,SUM(MAX(MIN(AE46-'Input Data'!$BG$3,'Input Data'!$BG$5-'Input Data'!$BG$3),0)*VLOOKUP($G46,'Input Data'!$BI$3:$BL$10,2,FALSE),MAX(MIN(AE46-'Input Data'!$BG$5,IF(OR($G46="M (under 21)",$G46="Z (under 21 - deferment)"),'Input Data'!$BG$6,IF($G46="H (Apprentice under 25)",'Input Data'!$BG$7,'Input Data'!$BG$8))-'Input Data'!$BG$5),0)*VLOOKUP($G46,'Input Data'!$BI$3:$BL$10,3,FALSE),MAX((AE46-IF(OR($G46="M (under 21)",$G46="Z (under 21 - deferment)"),'Input Data'!$BG$6,IF($G46="H (Apprentice under 25)",'Input Data'!$BG$7,'Input Data'!$BG$8))),0)*VLOOKUP($G46,'Input Data'!$BI$3:$BL$10,4,FALSE))))</f>
        <v>0</v>
      </c>
      <c r="AN46" s="56">
        <f>IF($G46="",0,IF(NOT(OR($G46="A - All employees not in groups B, C, J, H, M or Z",$G46="B - Married women and widows entitled to reduced NI",$G46="C - Over the State Pension age",$G46="H - Apprentice under 25",$G46="J – Deferment",$G46="M - Under 21",$G46="Z - Deferment (Under 21)",$G46="Please Enter The NI Cont. in ££££")),$G46,SUM(MAX(MIN(AF46-'Input Data'!$BG$3,'Input Data'!$BG$5-'Input Data'!$BG$3),0)*VLOOKUP($G46,'Input Data'!$BI$3:$BL$10,2,FALSE),MAX(MIN(AF46-'Input Data'!$BG$5,IF(OR($G46="M (under 21)",$G46="Z (under 21 - deferment)"),'Input Data'!$BG$6,IF($G46="H (Apprentice under 25)",'Input Data'!$BG$7,'Input Data'!$BG$8))-'Input Data'!$BG$5),0)*VLOOKUP($G46,'Input Data'!$BI$3:$BL$10,3,FALSE),MAX((AF46-IF(OR($G46="M (under 21)",$G46="Z (under 21 - deferment)"),'Input Data'!$BG$6,IF($G46="H (Apprentice under 25)",'Input Data'!$BG$7,'Input Data'!$BG$8))),0)*VLOOKUP($G46,'Input Data'!$BI$3:$BL$10,4,FALSE))))</f>
        <v>0</v>
      </c>
      <c r="AO46" s="56">
        <f>IF($G46="",0,IF(NOT(OR($G46="A - All employees not in groups B, C, J, H, M or Z",$G46="B - Married women and widows entitled to reduced NI",$G46="C - Over the State Pension age",$G46="H - Apprentice under 25",$G46="J – Deferment",$G46="M - Under 21",$G46="Z - Deferment (Under 21)",$G46="Please Enter The NI Cont. in ££££")),$G46,SUM(MAX(MIN(AG46-'Input Data'!$BG$3,'Input Data'!$BG$5-'Input Data'!$BG$3),0)*VLOOKUP($G46,'Input Data'!$BI$3:$BL$10,2,FALSE),MAX(MIN(AG46-'Input Data'!$BG$5,IF(OR($G46="M (under 21)",$G46="Z (under 21 - deferment)"),'Input Data'!$BG$6,IF($G46="H (Apprentice under 25)",'Input Data'!$BG$7,'Input Data'!$BG$8))-'Input Data'!$BG$5),0)*VLOOKUP($G46,'Input Data'!$BI$3:$BL$10,3,FALSE),MAX((AG46-IF(OR($G46="M (under 21)",$G46="Z (under 21 - deferment)"),'Input Data'!$BG$6,IF($G46="H (Apprentice under 25)",'Input Data'!$BG$7,'Input Data'!$BG$8))),0)*VLOOKUP($G46,'Input Data'!$BI$3:$BL$10,4,FALSE))))</f>
        <v>0</v>
      </c>
      <c r="AP46" s="56">
        <f>IF($G46="",0,IF(NOT(OR($G46="A - All employees not in groups B, C, J, H, M or Z",$G46="B - Married women and widows entitled to reduced NI",$G46="C - Over the State Pension age",$G46="H - Apprentice under 25",$G46="J – Deferment",$G46="M - Under 21",$G46="Z - Deferment (Under 21)",$G46="Please Enter The NI Cont. in ££££")),$G46,SUM(MAX(MIN(AH46-'Input Data'!$BG$3,'Input Data'!$BG$5-'Input Data'!$BG$3),0)*VLOOKUP($G46,'Input Data'!$BI$3:$BL$10,2,FALSE),MAX(MIN(AH46-'Input Data'!$BG$5,IF(OR($G46="M (under 21)",$G46="Z (under 21 - deferment)"),'Input Data'!$BG$6,IF($G46="H (Apprentice under 25)",'Input Data'!$BG$7,'Input Data'!$BG$8))-'Input Data'!$BG$5),0)*VLOOKUP($G46,'Input Data'!$BI$3:$BL$10,3,FALSE),MAX((AH46-IF(OR($G46="M (under 21)",$G46="Z (under 21 - deferment)"),'Input Data'!$BG$6,IF($G46="H (Apprentice under 25)",'Input Data'!$BG$7,'Input Data'!$BG$8))),0)*VLOOKUP($G46,'Input Data'!$BI$3:$BL$10,4,FALSE))))</f>
        <v>0</v>
      </c>
      <c r="AQ46" s="56">
        <f>IF($G46="",0,IF(NOT(OR($G46="A - All employees not in groups B, C, J, H, M or Z",$G46="B - Married women and widows entitled to reduced NI",$G46="C - Over the State Pension age",$G46="H - Apprentice under 25",$G46="J – Deferment",$G46="M - Under 21",$G46="Z - Deferment (Under 21)",$G46="Please Enter The NI Cont. in ££££")),$G46,SUM(MAX(MIN(AI46-'Input Data'!$BG$3,'Input Data'!$BG$5-'Input Data'!$BG$3),0)*VLOOKUP($G46,'Input Data'!$BI$3:$BL$10,2,FALSE),MAX(MIN(AI46-'Input Data'!$BG$5,IF(OR($G46="M (under 21)",$G46="Z (under 21 - deferment)"),'Input Data'!$BG$6,IF($G46="H (Apprentice under 25)",'Input Data'!$BG$7,'Input Data'!$BG$8))-'Input Data'!$BG$5),0)*VLOOKUP($G46,'Input Data'!$BI$3:$BL$10,3,FALSE),MAX((AI46-IF(OR($G46="M (under 21)",$G46="Z (under 21 - deferment)"),'Input Data'!$BG$6,IF($G46="H (Apprentice under 25)",'Input Data'!$BG$7,'Input Data'!$BG$8))),0)*VLOOKUP($G46,'Input Data'!$BI$3:$BL$10,4,FALSE))))</f>
        <v>0</v>
      </c>
      <c r="AR46" s="56">
        <f>IF($G46="",0,IF(NOT(OR($G46="A - All employees not in groups B, C, J, H, M or Z",$G46="B - Married women and widows entitled to reduced NI",$G46="C - Over the State Pension age",$G46="H - Apprentice under 25",$G46="J – Deferment",$G46="M - Under 21",$G46="Z - Deferment (Under 21)",$G46="Please Enter The NI Cont. in ££££")),$G46,SUM(MAX(MIN(AJ46-'Input Data'!$BG$3,'Input Data'!$BG$5-'Input Data'!$BG$3),0)*VLOOKUP($G46,'Input Data'!$BI$3:$BL$10,2,FALSE),MAX(MIN(AJ46-'Input Data'!$BG$5,IF(OR($G46="M (under 21)",$G46="Z (under 21 - deferment)"),'Input Data'!$BG$6,IF($G46="H (Apprentice under 25)",'Input Data'!$BG$7,'Input Data'!$BG$8))-'Input Data'!$BG$5),0)*VLOOKUP($G46,'Input Data'!$BI$3:$BL$10,3,FALSE),MAX((AJ46-IF(OR($G46="M (under 21)",$G46="Z (under 21 - deferment)"),'Input Data'!$BG$6,IF($G46="H (Apprentice under 25)",'Input Data'!$BG$7,'Input Data'!$BG$8))),0)*VLOOKUP($G46,'Input Data'!$BI$3:$BL$10,4,FALSE))))</f>
        <v>0</v>
      </c>
      <c r="AS46" s="56">
        <f>AC46*$F46</f>
        <v>0</v>
      </c>
      <c r="AT46" s="56">
        <f>AD46*$F46</f>
        <v>0</v>
      </c>
      <c r="AU46" s="56">
        <f>AE46*$F46</f>
        <v>0</v>
      </c>
      <c r="AV46" s="56">
        <f>AF46*$F46</f>
        <v>0</v>
      </c>
      <c r="AW46" s="56">
        <f>AG46*$F46</f>
        <v>0</v>
      </c>
      <c r="AX46" s="56">
        <f>AH46*$F46</f>
        <v>0</v>
      </c>
      <c r="AY46" s="56">
        <f>AI46*$F46</f>
        <v>0</v>
      </c>
      <c r="AZ46" s="56">
        <f>AJ46*$F46</f>
        <v>0</v>
      </c>
    </row>
    <row r="47" spans="2:52" ht="25.5">
      <c r="B47" s="60"/>
      <c r="C47" s="57" t="s">
        <v>80</v>
      </c>
      <c r="D47" s="58"/>
      <c r="E47" s="58"/>
      <c r="F47" s="535"/>
      <c r="G47" s="693" t="s">
        <v>1149</v>
      </c>
      <c r="H47" s="65"/>
      <c r="I47" s="65"/>
      <c r="J47" s="65"/>
      <c r="K47" s="65"/>
      <c r="L47" s="65"/>
      <c r="M47" s="65"/>
      <c r="N47" s="65"/>
      <c r="O47" s="65"/>
      <c r="P47" s="29"/>
      <c r="Q47" s="597"/>
      <c r="R47" s="61"/>
      <c r="T47" s="43">
        <f>SUM(AC47,AK47,AS47)</f>
        <v>0</v>
      </c>
      <c r="U47" s="43">
        <f>SUM(AD47,AL47,AT47)</f>
        <v>0</v>
      </c>
      <c r="V47" s="43">
        <f>SUM(AE47,AM47,AU47)</f>
        <v>0</v>
      </c>
      <c r="W47" s="43">
        <f>SUM(AF47,AN47,AV47)</f>
        <v>0</v>
      </c>
      <c r="X47" s="43">
        <f>SUM(AG47,AO47,AW47)</f>
        <v>0</v>
      </c>
      <c r="Y47" s="43">
        <f>SUM(AH47,AP47,AX47)</f>
        <v>0</v>
      </c>
      <c r="Z47" s="43">
        <f>SUM(AI47,AQ47,AY47)</f>
        <v>0</v>
      </c>
      <c r="AA47" s="43">
        <f>SUM(AJ47,AR47,AZ47)</f>
        <v>0</v>
      </c>
      <c r="AC47" s="631">
        <f>SUM($D47:$E47)*H47</f>
        <v>0</v>
      </c>
      <c r="AD47" s="631">
        <f>SUM($D47:$E47)*I47</f>
        <v>0</v>
      </c>
      <c r="AE47" s="631">
        <f>SUM($D47:$E47)*J47</f>
        <v>0</v>
      </c>
      <c r="AF47" s="631">
        <f>SUM($D47:$E47)*K47</f>
        <v>0</v>
      </c>
      <c r="AG47" s="631">
        <f>SUM($D47:$E47)*L47</f>
        <v>0</v>
      </c>
      <c r="AH47" s="631">
        <f>SUM($D47:$E47)*M47</f>
        <v>0</v>
      </c>
      <c r="AI47" s="631">
        <f>SUM($D47:$E47)*N47</f>
        <v>0</v>
      </c>
      <c r="AJ47" s="631">
        <f>SUM($D47:$E47)*O47</f>
        <v>0</v>
      </c>
      <c r="AK47" s="56">
        <f>IF($G47="",0,IF(NOT(OR($G47="A - All employees not in groups B, C, J, H, M or Z",$G47="B - Married women and widows entitled to reduced NI",$G47="C - Over the State Pension age",$G47="H - Apprentice under 25",$G47="J – Deferment",$G47="M - Under 21",$G47="Z - Deferment (Under 21)",$G47="Please Enter The NI Cont. in ££££")),$G47,SUM(MAX(MIN(AC47-'Input Data'!$BG$3,'Input Data'!$BG$5-'Input Data'!$BG$3),0)*VLOOKUP($G47,'Input Data'!$BI$3:$BL$10,2,FALSE),MAX(MIN(AC47-'Input Data'!$BG$5,IF(OR($G47="M (under 21)",$G47="Z (under 21 - deferment)"),'Input Data'!$BG$6,IF($G47="H (Apprentice under 25)",'Input Data'!$BG$7,'Input Data'!$BG$8))-'Input Data'!$BG$5),0)*VLOOKUP($G47,'Input Data'!$BI$3:$BL$10,3,FALSE),MAX((AC47-IF(OR($G47="M (under 21)",$G47="Z (under 21 - deferment)"),'Input Data'!$BG$6,IF($G47="H (Apprentice under 25)",'Input Data'!$BG$7,'Input Data'!$BG$8))),0)*VLOOKUP($G47,'Input Data'!$BI$3:$BL$10,4,FALSE))))</f>
        <v>0</v>
      </c>
      <c r="AL47" s="56">
        <f>IF($G47="",0,IF(NOT(OR($G47="A - All employees not in groups B, C, J, H, M or Z",$G47="B - Married women and widows entitled to reduced NI",$G47="C - Over the State Pension age",$G47="H - Apprentice under 25",$G47="J – Deferment",$G47="M - Under 21",$G47="Z - Deferment (Under 21)",$G47="Please Enter The NI Cont. in ££££")),$G47,SUM(MAX(MIN(AD47-'Input Data'!$BG$3,'Input Data'!$BG$5-'Input Data'!$BG$3),0)*VLOOKUP($G47,'Input Data'!$BI$3:$BL$10,2,FALSE),MAX(MIN(AD47-'Input Data'!$BG$5,IF(OR($G47="M (under 21)",$G47="Z (under 21 - deferment)"),'Input Data'!$BG$6,IF($G47="H (Apprentice under 25)",'Input Data'!$BG$7,'Input Data'!$BG$8))-'Input Data'!$BG$5),0)*VLOOKUP($G47,'Input Data'!$BI$3:$BL$10,3,FALSE),MAX((AD47-IF(OR($G47="M (under 21)",$G47="Z (under 21 - deferment)"),'Input Data'!$BG$6,IF($G47="H (Apprentice under 25)",'Input Data'!$BG$7,'Input Data'!$BG$8))),0)*VLOOKUP($G47,'Input Data'!$BI$3:$BL$10,4,FALSE))))</f>
        <v>0</v>
      </c>
      <c r="AM47" s="56">
        <f>IF($G47="",0,IF(NOT(OR($G47="A - All employees not in groups B, C, J, H, M or Z",$G47="B - Married women and widows entitled to reduced NI",$G47="C - Over the State Pension age",$G47="H - Apprentice under 25",$G47="J – Deferment",$G47="M - Under 21",$G47="Z - Deferment (Under 21)",$G47="Please Enter The NI Cont. in ££££")),$G47,SUM(MAX(MIN(AE47-'Input Data'!$BG$3,'Input Data'!$BG$5-'Input Data'!$BG$3),0)*VLOOKUP($G47,'Input Data'!$BI$3:$BL$10,2,FALSE),MAX(MIN(AE47-'Input Data'!$BG$5,IF(OR($G47="M (under 21)",$G47="Z (under 21 - deferment)"),'Input Data'!$BG$6,IF($G47="H (Apprentice under 25)",'Input Data'!$BG$7,'Input Data'!$BG$8))-'Input Data'!$BG$5),0)*VLOOKUP($G47,'Input Data'!$BI$3:$BL$10,3,FALSE),MAX((AE47-IF(OR($G47="M (under 21)",$G47="Z (under 21 - deferment)"),'Input Data'!$BG$6,IF($G47="H (Apprentice under 25)",'Input Data'!$BG$7,'Input Data'!$BG$8))),0)*VLOOKUP($G47,'Input Data'!$BI$3:$BL$10,4,FALSE))))</f>
        <v>0</v>
      </c>
      <c r="AN47" s="56">
        <f>IF($G47="",0,IF(NOT(OR($G47="A - All employees not in groups B, C, J, H, M or Z",$G47="B - Married women and widows entitled to reduced NI",$G47="C - Over the State Pension age",$G47="H - Apprentice under 25",$G47="J – Deferment",$G47="M - Under 21",$G47="Z - Deferment (Under 21)",$G47="Please Enter The NI Cont. in ££££")),$G47,SUM(MAX(MIN(AF47-'Input Data'!$BG$3,'Input Data'!$BG$5-'Input Data'!$BG$3),0)*VLOOKUP($G47,'Input Data'!$BI$3:$BL$10,2,FALSE),MAX(MIN(AF47-'Input Data'!$BG$5,IF(OR($G47="M (under 21)",$G47="Z (under 21 - deferment)"),'Input Data'!$BG$6,IF($G47="H (Apprentice under 25)",'Input Data'!$BG$7,'Input Data'!$BG$8))-'Input Data'!$BG$5),0)*VLOOKUP($G47,'Input Data'!$BI$3:$BL$10,3,FALSE),MAX((AF47-IF(OR($G47="M (under 21)",$G47="Z (under 21 - deferment)"),'Input Data'!$BG$6,IF($G47="H (Apprentice under 25)",'Input Data'!$BG$7,'Input Data'!$BG$8))),0)*VLOOKUP($G47,'Input Data'!$BI$3:$BL$10,4,FALSE))))</f>
        <v>0</v>
      </c>
      <c r="AO47" s="56">
        <f>IF($G47="",0,IF(NOT(OR($G47="A - All employees not in groups B, C, J, H, M or Z",$G47="B - Married women and widows entitled to reduced NI",$G47="C - Over the State Pension age",$G47="H - Apprentice under 25",$G47="J – Deferment",$G47="M - Under 21",$G47="Z - Deferment (Under 21)",$G47="Please Enter The NI Cont. in ££££")),$G47,SUM(MAX(MIN(AG47-'Input Data'!$BG$3,'Input Data'!$BG$5-'Input Data'!$BG$3),0)*VLOOKUP($G47,'Input Data'!$BI$3:$BL$10,2,FALSE),MAX(MIN(AG47-'Input Data'!$BG$5,IF(OR($G47="M (under 21)",$G47="Z (under 21 - deferment)"),'Input Data'!$BG$6,IF($G47="H (Apprentice under 25)",'Input Data'!$BG$7,'Input Data'!$BG$8))-'Input Data'!$BG$5),0)*VLOOKUP($G47,'Input Data'!$BI$3:$BL$10,3,FALSE),MAX((AG47-IF(OR($G47="M (under 21)",$G47="Z (under 21 - deferment)"),'Input Data'!$BG$6,IF($G47="H (Apprentice under 25)",'Input Data'!$BG$7,'Input Data'!$BG$8))),0)*VLOOKUP($G47,'Input Data'!$BI$3:$BL$10,4,FALSE))))</f>
        <v>0</v>
      </c>
      <c r="AP47" s="56">
        <f>IF($G47="",0,IF(NOT(OR($G47="A - All employees not in groups B, C, J, H, M or Z",$G47="B - Married women and widows entitled to reduced NI",$G47="C - Over the State Pension age",$G47="H - Apprentice under 25",$G47="J – Deferment",$G47="M - Under 21",$G47="Z - Deferment (Under 21)",$G47="Please Enter The NI Cont. in ££££")),$G47,SUM(MAX(MIN(AH47-'Input Data'!$BG$3,'Input Data'!$BG$5-'Input Data'!$BG$3),0)*VLOOKUP($G47,'Input Data'!$BI$3:$BL$10,2,FALSE),MAX(MIN(AH47-'Input Data'!$BG$5,IF(OR($G47="M (under 21)",$G47="Z (under 21 - deferment)"),'Input Data'!$BG$6,IF($G47="H (Apprentice under 25)",'Input Data'!$BG$7,'Input Data'!$BG$8))-'Input Data'!$BG$5),0)*VLOOKUP($G47,'Input Data'!$BI$3:$BL$10,3,FALSE),MAX((AH47-IF(OR($G47="M (under 21)",$G47="Z (under 21 - deferment)"),'Input Data'!$BG$6,IF($G47="H (Apprentice under 25)",'Input Data'!$BG$7,'Input Data'!$BG$8))),0)*VLOOKUP($G47,'Input Data'!$BI$3:$BL$10,4,FALSE))))</f>
        <v>0</v>
      </c>
      <c r="AQ47" s="56">
        <f>IF($G47="",0,IF(NOT(OR($G47="A - All employees not in groups B, C, J, H, M or Z",$G47="B - Married women and widows entitled to reduced NI",$G47="C - Over the State Pension age",$G47="H - Apprentice under 25",$G47="J – Deferment",$G47="M - Under 21",$G47="Z - Deferment (Under 21)",$G47="Please Enter The NI Cont. in ££££")),$G47,SUM(MAX(MIN(AI47-'Input Data'!$BG$3,'Input Data'!$BG$5-'Input Data'!$BG$3),0)*VLOOKUP($G47,'Input Data'!$BI$3:$BL$10,2,FALSE),MAX(MIN(AI47-'Input Data'!$BG$5,IF(OR($G47="M (under 21)",$G47="Z (under 21 - deferment)"),'Input Data'!$BG$6,IF($G47="H (Apprentice under 25)",'Input Data'!$BG$7,'Input Data'!$BG$8))-'Input Data'!$BG$5),0)*VLOOKUP($G47,'Input Data'!$BI$3:$BL$10,3,FALSE),MAX((AI47-IF(OR($G47="M (under 21)",$G47="Z (under 21 - deferment)"),'Input Data'!$BG$6,IF($G47="H (Apprentice under 25)",'Input Data'!$BG$7,'Input Data'!$BG$8))),0)*VLOOKUP($G47,'Input Data'!$BI$3:$BL$10,4,FALSE))))</f>
        <v>0</v>
      </c>
      <c r="AR47" s="56">
        <f>IF($G47="",0,IF(NOT(OR($G47="A - All employees not in groups B, C, J, H, M or Z",$G47="B - Married women and widows entitled to reduced NI",$G47="C - Over the State Pension age",$G47="H - Apprentice under 25",$G47="J – Deferment",$G47="M - Under 21",$G47="Z - Deferment (Under 21)",$G47="Please Enter The NI Cont. in ££££")),$G47,SUM(MAX(MIN(AJ47-'Input Data'!$BG$3,'Input Data'!$BG$5-'Input Data'!$BG$3),0)*VLOOKUP($G47,'Input Data'!$BI$3:$BL$10,2,FALSE),MAX(MIN(AJ47-'Input Data'!$BG$5,IF(OR($G47="M (under 21)",$G47="Z (under 21 - deferment)"),'Input Data'!$BG$6,IF($G47="H (Apprentice under 25)",'Input Data'!$BG$7,'Input Data'!$BG$8))-'Input Data'!$BG$5),0)*VLOOKUP($G47,'Input Data'!$BI$3:$BL$10,3,FALSE),MAX((AJ47-IF(OR($G47="M (under 21)",$G47="Z (under 21 - deferment)"),'Input Data'!$BG$6,IF($G47="H (Apprentice under 25)",'Input Data'!$BG$7,'Input Data'!$BG$8))),0)*VLOOKUP($G47,'Input Data'!$BI$3:$BL$10,4,FALSE))))</f>
        <v>0</v>
      </c>
      <c r="AS47" s="56">
        <f>AC47*$F47</f>
        <v>0</v>
      </c>
      <c r="AT47" s="56">
        <f>AD47*$F47</f>
        <v>0</v>
      </c>
      <c r="AU47" s="56">
        <f>AE47*$F47</f>
        <v>0</v>
      </c>
      <c r="AV47" s="56">
        <f>AF47*$F47</f>
        <v>0</v>
      </c>
      <c r="AW47" s="56">
        <f>AG47*$F47</f>
        <v>0</v>
      </c>
      <c r="AX47" s="56">
        <f>AH47*$F47</f>
        <v>0</v>
      </c>
      <c r="AY47" s="56">
        <f>AI47*$F47</f>
        <v>0</v>
      </c>
      <c r="AZ47" s="56">
        <f>AJ47*$F47</f>
        <v>0</v>
      </c>
    </row>
    <row r="48" spans="2:52" ht="25.5">
      <c r="B48" s="60"/>
      <c r="C48" s="57" t="s">
        <v>81</v>
      </c>
      <c r="D48" s="58"/>
      <c r="E48" s="58"/>
      <c r="F48" s="535"/>
      <c r="G48" s="693" t="s">
        <v>1149</v>
      </c>
      <c r="H48" s="65"/>
      <c r="I48" s="65"/>
      <c r="J48" s="65"/>
      <c r="K48" s="65"/>
      <c r="L48" s="65"/>
      <c r="M48" s="65"/>
      <c r="N48" s="65"/>
      <c r="O48" s="65"/>
      <c r="P48" s="29"/>
      <c r="Q48" s="597"/>
      <c r="R48" s="61"/>
      <c r="T48" s="43">
        <f>SUM(AC48,AK48,AS48)</f>
        <v>0</v>
      </c>
      <c r="U48" s="43">
        <f>SUM(AD48,AL48,AT48)</f>
        <v>0</v>
      </c>
      <c r="V48" s="43">
        <f>SUM(AE48,AM48,AU48)</f>
        <v>0</v>
      </c>
      <c r="W48" s="43">
        <f>SUM(AF48,AN48,AV48)</f>
        <v>0</v>
      </c>
      <c r="X48" s="43">
        <f>SUM(AG48,AO48,AW48)</f>
        <v>0</v>
      </c>
      <c r="Y48" s="43">
        <f>SUM(AH48,AP48,AX48)</f>
        <v>0</v>
      </c>
      <c r="Z48" s="43">
        <f>SUM(AI48,AQ48,AY48)</f>
        <v>0</v>
      </c>
      <c r="AA48" s="43">
        <f>SUM(AJ48,AR48,AZ48)</f>
        <v>0</v>
      </c>
      <c r="AC48" s="631">
        <f>SUM($D48:$E48)*H48</f>
        <v>0</v>
      </c>
      <c r="AD48" s="631">
        <f>SUM($D48:$E48)*I48</f>
        <v>0</v>
      </c>
      <c r="AE48" s="631">
        <f>SUM($D48:$E48)*J48</f>
        <v>0</v>
      </c>
      <c r="AF48" s="631">
        <f>SUM($D48:$E48)*K48</f>
        <v>0</v>
      </c>
      <c r="AG48" s="631">
        <f>SUM($D48:$E48)*L48</f>
        <v>0</v>
      </c>
      <c r="AH48" s="631">
        <f>SUM($D48:$E48)*M48</f>
        <v>0</v>
      </c>
      <c r="AI48" s="631">
        <f>SUM($D48:$E48)*N48</f>
        <v>0</v>
      </c>
      <c r="AJ48" s="631">
        <f>SUM($D48:$E48)*O48</f>
        <v>0</v>
      </c>
      <c r="AK48" s="56">
        <f>IF($G48="",0,IF(NOT(OR($G48="A - All employees not in groups B, C, J, H, M or Z",$G48="B - Married women and widows entitled to reduced NI",$G48="C - Over the State Pension age",$G48="H - Apprentice under 25",$G48="J – Deferment",$G48="M - Under 21",$G48="Z - Deferment (Under 21)",$G48="Please Enter The NI Cont. in ££££")),$G48,SUM(MAX(MIN(AC48-'Input Data'!$BG$3,'Input Data'!$BG$5-'Input Data'!$BG$3),0)*VLOOKUP($G48,'Input Data'!$BI$3:$BL$10,2,FALSE),MAX(MIN(AC48-'Input Data'!$BG$5,IF(OR($G48="M (under 21)",$G48="Z (under 21 - deferment)"),'Input Data'!$BG$6,IF($G48="H (Apprentice under 25)",'Input Data'!$BG$7,'Input Data'!$BG$8))-'Input Data'!$BG$5),0)*VLOOKUP($G48,'Input Data'!$BI$3:$BL$10,3,FALSE),MAX((AC48-IF(OR($G48="M (under 21)",$G48="Z (under 21 - deferment)"),'Input Data'!$BG$6,IF($G48="H (Apprentice under 25)",'Input Data'!$BG$7,'Input Data'!$BG$8))),0)*VLOOKUP($G48,'Input Data'!$BI$3:$BL$10,4,FALSE))))</f>
        <v>0</v>
      </c>
      <c r="AL48" s="56">
        <f>IF($G48="",0,IF(NOT(OR($G48="A - All employees not in groups B, C, J, H, M or Z",$G48="B - Married women and widows entitled to reduced NI",$G48="C - Over the State Pension age",$G48="H - Apprentice under 25",$G48="J – Deferment",$G48="M - Under 21",$G48="Z - Deferment (Under 21)",$G48="Please Enter The NI Cont. in ££££")),$G48,SUM(MAX(MIN(AD48-'Input Data'!$BG$3,'Input Data'!$BG$5-'Input Data'!$BG$3),0)*VLOOKUP($G48,'Input Data'!$BI$3:$BL$10,2,FALSE),MAX(MIN(AD48-'Input Data'!$BG$5,IF(OR($G48="M (under 21)",$G48="Z (under 21 - deferment)"),'Input Data'!$BG$6,IF($G48="H (Apprentice under 25)",'Input Data'!$BG$7,'Input Data'!$BG$8))-'Input Data'!$BG$5),0)*VLOOKUP($G48,'Input Data'!$BI$3:$BL$10,3,FALSE),MAX((AD48-IF(OR($G48="M (under 21)",$G48="Z (under 21 - deferment)"),'Input Data'!$BG$6,IF($G48="H (Apprentice under 25)",'Input Data'!$BG$7,'Input Data'!$BG$8))),0)*VLOOKUP($G48,'Input Data'!$BI$3:$BL$10,4,FALSE))))</f>
        <v>0</v>
      </c>
      <c r="AM48" s="56">
        <f>IF($G48="",0,IF(NOT(OR($G48="A - All employees not in groups B, C, J, H, M or Z",$G48="B - Married women and widows entitled to reduced NI",$G48="C - Over the State Pension age",$G48="H - Apprentice under 25",$G48="J – Deferment",$G48="M - Under 21",$G48="Z - Deferment (Under 21)",$G48="Please Enter The NI Cont. in ££££")),$G48,SUM(MAX(MIN(AE48-'Input Data'!$BG$3,'Input Data'!$BG$5-'Input Data'!$BG$3),0)*VLOOKUP($G48,'Input Data'!$BI$3:$BL$10,2,FALSE),MAX(MIN(AE48-'Input Data'!$BG$5,IF(OR($G48="M (under 21)",$G48="Z (under 21 - deferment)"),'Input Data'!$BG$6,IF($G48="H (Apprentice under 25)",'Input Data'!$BG$7,'Input Data'!$BG$8))-'Input Data'!$BG$5),0)*VLOOKUP($G48,'Input Data'!$BI$3:$BL$10,3,FALSE),MAX((AE48-IF(OR($G48="M (under 21)",$G48="Z (under 21 - deferment)"),'Input Data'!$BG$6,IF($G48="H (Apprentice under 25)",'Input Data'!$BG$7,'Input Data'!$BG$8))),0)*VLOOKUP($G48,'Input Data'!$BI$3:$BL$10,4,FALSE))))</f>
        <v>0</v>
      </c>
      <c r="AN48" s="56">
        <f>IF($G48="",0,IF(NOT(OR($G48="A - All employees not in groups B, C, J, H, M or Z",$G48="B - Married women and widows entitled to reduced NI",$G48="C - Over the State Pension age",$G48="H - Apprentice under 25",$G48="J – Deferment",$G48="M - Under 21",$G48="Z - Deferment (Under 21)",$G48="Please Enter The NI Cont. in ££££")),$G48,SUM(MAX(MIN(AF48-'Input Data'!$BG$3,'Input Data'!$BG$5-'Input Data'!$BG$3),0)*VLOOKUP($G48,'Input Data'!$BI$3:$BL$10,2,FALSE),MAX(MIN(AF48-'Input Data'!$BG$5,IF(OR($G48="M (under 21)",$G48="Z (under 21 - deferment)"),'Input Data'!$BG$6,IF($G48="H (Apprentice under 25)",'Input Data'!$BG$7,'Input Data'!$BG$8))-'Input Data'!$BG$5),0)*VLOOKUP($G48,'Input Data'!$BI$3:$BL$10,3,FALSE),MAX((AF48-IF(OR($G48="M (under 21)",$G48="Z (under 21 - deferment)"),'Input Data'!$BG$6,IF($G48="H (Apprentice under 25)",'Input Data'!$BG$7,'Input Data'!$BG$8))),0)*VLOOKUP($G48,'Input Data'!$BI$3:$BL$10,4,FALSE))))</f>
        <v>0</v>
      </c>
      <c r="AO48" s="56">
        <f>IF($G48="",0,IF(NOT(OR($G48="A - All employees not in groups B, C, J, H, M or Z",$G48="B - Married women and widows entitled to reduced NI",$G48="C - Over the State Pension age",$G48="H - Apprentice under 25",$G48="J – Deferment",$G48="M - Under 21",$G48="Z - Deferment (Under 21)",$G48="Please Enter The NI Cont. in ££££")),$G48,SUM(MAX(MIN(AG48-'Input Data'!$BG$3,'Input Data'!$BG$5-'Input Data'!$BG$3),0)*VLOOKUP($G48,'Input Data'!$BI$3:$BL$10,2,FALSE),MAX(MIN(AG48-'Input Data'!$BG$5,IF(OR($G48="M (under 21)",$G48="Z (under 21 - deferment)"),'Input Data'!$BG$6,IF($G48="H (Apprentice under 25)",'Input Data'!$BG$7,'Input Data'!$BG$8))-'Input Data'!$BG$5),0)*VLOOKUP($G48,'Input Data'!$BI$3:$BL$10,3,FALSE),MAX((AG48-IF(OR($G48="M (under 21)",$G48="Z (under 21 - deferment)"),'Input Data'!$BG$6,IF($G48="H (Apprentice under 25)",'Input Data'!$BG$7,'Input Data'!$BG$8))),0)*VLOOKUP($G48,'Input Data'!$BI$3:$BL$10,4,FALSE))))</f>
        <v>0</v>
      </c>
      <c r="AP48" s="56">
        <f>IF($G48="",0,IF(NOT(OR($G48="A - All employees not in groups B, C, J, H, M or Z",$G48="B - Married women and widows entitled to reduced NI",$G48="C - Over the State Pension age",$G48="H - Apprentice under 25",$G48="J – Deferment",$G48="M - Under 21",$G48="Z - Deferment (Under 21)",$G48="Please Enter The NI Cont. in ££££")),$G48,SUM(MAX(MIN(AH48-'Input Data'!$BG$3,'Input Data'!$BG$5-'Input Data'!$BG$3),0)*VLOOKUP($G48,'Input Data'!$BI$3:$BL$10,2,FALSE),MAX(MIN(AH48-'Input Data'!$BG$5,IF(OR($G48="M (under 21)",$G48="Z (under 21 - deferment)"),'Input Data'!$BG$6,IF($G48="H (Apprentice under 25)",'Input Data'!$BG$7,'Input Data'!$BG$8))-'Input Data'!$BG$5),0)*VLOOKUP($G48,'Input Data'!$BI$3:$BL$10,3,FALSE),MAX((AH48-IF(OR($G48="M (under 21)",$G48="Z (under 21 - deferment)"),'Input Data'!$BG$6,IF($G48="H (Apprentice under 25)",'Input Data'!$BG$7,'Input Data'!$BG$8))),0)*VLOOKUP($G48,'Input Data'!$BI$3:$BL$10,4,FALSE))))</f>
        <v>0</v>
      </c>
      <c r="AQ48" s="56">
        <f>IF($G48="",0,IF(NOT(OR($G48="A - All employees not in groups B, C, J, H, M or Z",$G48="B - Married women and widows entitled to reduced NI",$G48="C - Over the State Pension age",$G48="H - Apprentice under 25",$G48="J – Deferment",$G48="M - Under 21",$G48="Z - Deferment (Under 21)",$G48="Please Enter The NI Cont. in ££££")),$G48,SUM(MAX(MIN(AI48-'Input Data'!$BG$3,'Input Data'!$BG$5-'Input Data'!$BG$3),0)*VLOOKUP($G48,'Input Data'!$BI$3:$BL$10,2,FALSE),MAX(MIN(AI48-'Input Data'!$BG$5,IF(OR($G48="M (under 21)",$G48="Z (under 21 - deferment)"),'Input Data'!$BG$6,IF($G48="H (Apprentice under 25)",'Input Data'!$BG$7,'Input Data'!$BG$8))-'Input Data'!$BG$5),0)*VLOOKUP($G48,'Input Data'!$BI$3:$BL$10,3,FALSE),MAX((AI48-IF(OR($G48="M (under 21)",$G48="Z (under 21 - deferment)"),'Input Data'!$BG$6,IF($G48="H (Apprentice under 25)",'Input Data'!$BG$7,'Input Data'!$BG$8))),0)*VLOOKUP($G48,'Input Data'!$BI$3:$BL$10,4,FALSE))))</f>
        <v>0</v>
      </c>
      <c r="AR48" s="56">
        <f>IF($G48="",0,IF(NOT(OR($G48="A - All employees not in groups B, C, J, H, M or Z",$G48="B - Married women and widows entitled to reduced NI",$G48="C - Over the State Pension age",$G48="H - Apprentice under 25",$G48="J – Deferment",$G48="M - Under 21",$G48="Z - Deferment (Under 21)",$G48="Please Enter The NI Cont. in ££££")),$G48,SUM(MAX(MIN(AJ48-'Input Data'!$BG$3,'Input Data'!$BG$5-'Input Data'!$BG$3),0)*VLOOKUP($G48,'Input Data'!$BI$3:$BL$10,2,FALSE),MAX(MIN(AJ48-'Input Data'!$BG$5,IF(OR($G48="M (under 21)",$G48="Z (under 21 - deferment)"),'Input Data'!$BG$6,IF($G48="H (Apprentice under 25)",'Input Data'!$BG$7,'Input Data'!$BG$8))-'Input Data'!$BG$5),0)*VLOOKUP($G48,'Input Data'!$BI$3:$BL$10,3,FALSE),MAX((AJ48-IF(OR($G48="M (under 21)",$G48="Z (under 21 - deferment)"),'Input Data'!$BG$6,IF($G48="H (Apprentice under 25)",'Input Data'!$BG$7,'Input Data'!$BG$8))),0)*VLOOKUP($G48,'Input Data'!$BI$3:$BL$10,4,FALSE))))</f>
        <v>0</v>
      </c>
      <c r="AS48" s="56">
        <f>AC48*$F48</f>
        <v>0</v>
      </c>
      <c r="AT48" s="56">
        <f>AD48*$F48</f>
        <v>0</v>
      </c>
      <c r="AU48" s="56">
        <f>AE48*$F48</f>
        <v>0</v>
      </c>
      <c r="AV48" s="56">
        <f>AF48*$F48</f>
        <v>0</v>
      </c>
      <c r="AW48" s="56">
        <f>AG48*$F48</f>
        <v>0</v>
      </c>
      <c r="AX48" s="56">
        <f>AH48*$F48</f>
        <v>0</v>
      </c>
      <c r="AY48" s="56">
        <f>AI48*$F48</f>
        <v>0</v>
      </c>
      <c r="AZ48" s="56">
        <f>AJ48*$F48</f>
        <v>0</v>
      </c>
    </row>
    <row r="49" spans="2:52" ht="25.5">
      <c r="B49" s="60"/>
      <c r="C49" s="57" t="s">
        <v>82</v>
      </c>
      <c r="D49" s="58"/>
      <c r="E49" s="58"/>
      <c r="F49" s="535"/>
      <c r="G49" s="693" t="s">
        <v>1149</v>
      </c>
      <c r="H49" s="65"/>
      <c r="I49" s="65"/>
      <c r="J49" s="65"/>
      <c r="K49" s="65"/>
      <c r="L49" s="65"/>
      <c r="M49" s="65"/>
      <c r="N49" s="65"/>
      <c r="O49" s="65"/>
      <c r="P49" s="29"/>
      <c r="Q49" s="597"/>
      <c r="R49" s="61"/>
      <c r="T49" s="43">
        <f>SUM(AC49,AK49,AS49)</f>
        <v>0</v>
      </c>
      <c r="U49" s="43">
        <f>SUM(AD49,AL49,AT49)</f>
        <v>0</v>
      </c>
      <c r="V49" s="43">
        <f>SUM(AE49,AM49,AU49)</f>
        <v>0</v>
      </c>
      <c r="W49" s="43">
        <f>SUM(AF49,AN49,AV49)</f>
        <v>0</v>
      </c>
      <c r="X49" s="43">
        <f>SUM(AG49,AO49,AW49)</f>
        <v>0</v>
      </c>
      <c r="Y49" s="43">
        <f>SUM(AH49,AP49,AX49)</f>
        <v>0</v>
      </c>
      <c r="Z49" s="43">
        <f>SUM(AI49,AQ49,AY49)</f>
        <v>0</v>
      </c>
      <c r="AA49" s="43">
        <f>SUM(AJ49,AR49,AZ49)</f>
        <v>0</v>
      </c>
      <c r="AC49" s="631">
        <f>SUM($D49:$E49)*H49</f>
        <v>0</v>
      </c>
      <c r="AD49" s="631">
        <f>SUM($D49:$E49)*I49</f>
        <v>0</v>
      </c>
      <c r="AE49" s="631">
        <f>SUM($D49:$E49)*J49</f>
        <v>0</v>
      </c>
      <c r="AF49" s="631">
        <f>SUM($D49:$E49)*K49</f>
        <v>0</v>
      </c>
      <c r="AG49" s="631">
        <f>SUM($D49:$E49)*L49</f>
        <v>0</v>
      </c>
      <c r="AH49" s="631">
        <f>SUM($D49:$E49)*M49</f>
        <v>0</v>
      </c>
      <c r="AI49" s="631">
        <f>SUM($D49:$E49)*N49</f>
        <v>0</v>
      </c>
      <c r="AJ49" s="631">
        <f>SUM($D49:$E49)*O49</f>
        <v>0</v>
      </c>
      <c r="AK49" s="56">
        <f>IF($G49="",0,IF(NOT(OR($G49="A - All employees not in groups B, C, J, H, M or Z",$G49="B - Married women and widows entitled to reduced NI",$G49="C - Over the State Pension age",$G49="H - Apprentice under 25",$G49="J – Deferment",$G49="M - Under 21",$G49="Z - Deferment (Under 21)",$G49="Please Enter The NI Cont. in ££££")),$G49,SUM(MAX(MIN(AC49-'Input Data'!$BG$3,'Input Data'!$BG$5-'Input Data'!$BG$3),0)*VLOOKUP($G49,'Input Data'!$BI$3:$BL$10,2,FALSE),MAX(MIN(AC49-'Input Data'!$BG$5,IF(OR($G49="M (under 21)",$G49="Z (under 21 - deferment)"),'Input Data'!$BG$6,IF($G49="H (Apprentice under 25)",'Input Data'!$BG$7,'Input Data'!$BG$8))-'Input Data'!$BG$5),0)*VLOOKUP($G49,'Input Data'!$BI$3:$BL$10,3,FALSE),MAX((AC49-IF(OR($G49="M (under 21)",$G49="Z (under 21 - deferment)"),'Input Data'!$BG$6,IF($G49="H (Apprentice under 25)",'Input Data'!$BG$7,'Input Data'!$BG$8))),0)*VLOOKUP($G49,'Input Data'!$BI$3:$BL$10,4,FALSE))))</f>
        <v>0</v>
      </c>
      <c r="AL49" s="56">
        <f>IF($G49="",0,IF(NOT(OR($G49="A - All employees not in groups B, C, J, H, M or Z",$G49="B - Married women and widows entitled to reduced NI",$G49="C - Over the State Pension age",$G49="H - Apprentice under 25",$G49="J – Deferment",$G49="M - Under 21",$G49="Z - Deferment (Under 21)",$G49="Please Enter The NI Cont. in ££££")),$G49,SUM(MAX(MIN(AD49-'Input Data'!$BG$3,'Input Data'!$BG$5-'Input Data'!$BG$3),0)*VLOOKUP($G49,'Input Data'!$BI$3:$BL$10,2,FALSE),MAX(MIN(AD49-'Input Data'!$BG$5,IF(OR($G49="M (under 21)",$G49="Z (under 21 - deferment)"),'Input Data'!$BG$6,IF($G49="H (Apprentice under 25)",'Input Data'!$BG$7,'Input Data'!$BG$8))-'Input Data'!$BG$5),0)*VLOOKUP($G49,'Input Data'!$BI$3:$BL$10,3,FALSE),MAX((AD49-IF(OR($G49="M (under 21)",$G49="Z (under 21 - deferment)"),'Input Data'!$BG$6,IF($G49="H (Apprentice under 25)",'Input Data'!$BG$7,'Input Data'!$BG$8))),0)*VLOOKUP($G49,'Input Data'!$BI$3:$BL$10,4,FALSE))))</f>
        <v>0</v>
      </c>
      <c r="AM49" s="56">
        <f>IF($G49="",0,IF(NOT(OR($G49="A - All employees not in groups B, C, J, H, M or Z",$G49="B - Married women and widows entitled to reduced NI",$G49="C - Over the State Pension age",$G49="H - Apprentice under 25",$G49="J – Deferment",$G49="M - Under 21",$G49="Z - Deferment (Under 21)",$G49="Please Enter The NI Cont. in ££££")),$G49,SUM(MAX(MIN(AE49-'Input Data'!$BG$3,'Input Data'!$BG$5-'Input Data'!$BG$3),0)*VLOOKUP($G49,'Input Data'!$BI$3:$BL$10,2,FALSE),MAX(MIN(AE49-'Input Data'!$BG$5,IF(OR($G49="M (under 21)",$G49="Z (under 21 - deferment)"),'Input Data'!$BG$6,IF($G49="H (Apprentice under 25)",'Input Data'!$BG$7,'Input Data'!$BG$8))-'Input Data'!$BG$5),0)*VLOOKUP($G49,'Input Data'!$BI$3:$BL$10,3,FALSE),MAX((AE49-IF(OR($G49="M (under 21)",$G49="Z (under 21 - deferment)"),'Input Data'!$BG$6,IF($G49="H (Apprentice under 25)",'Input Data'!$BG$7,'Input Data'!$BG$8))),0)*VLOOKUP($G49,'Input Data'!$BI$3:$BL$10,4,FALSE))))</f>
        <v>0</v>
      </c>
      <c r="AN49" s="56">
        <f>IF($G49="",0,IF(NOT(OR($G49="A - All employees not in groups B, C, J, H, M or Z",$G49="B - Married women and widows entitled to reduced NI",$G49="C - Over the State Pension age",$G49="H - Apprentice under 25",$G49="J – Deferment",$G49="M - Under 21",$G49="Z - Deferment (Under 21)",$G49="Please Enter The NI Cont. in ££££")),$G49,SUM(MAX(MIN(AF49-'Input Data'!$BG$3,'Input Data'!$BG$5-'Input Data'!$BG$3),0)*VLOOKUP($G49,'Input Data'!$BI$3:$BL$10,2,FALSE),MAX(MIN(AF49-'Input Data'!$BG$5,IF(OR($G49="M (under 21)",$G49="Z (under 21 - deferment)"),'Input Data'!$BG$6,IF($G49="H (Apprentice under 25)",'Input Data'!$BG$7,'Input Data'!$BG$8))-'Input Data'!$BG$5),0)*VLOOKUP($G49,'Input Data'!$BI$3:$BL$10,3,FALSE),MAX((AF49-IF(OR($G49="M (under 21)",$G49="Z (under 21 - deferment)"),'Input Data'!$BG$6,IF($G49="H (Apprentice under 25)",'Input Data'!$BG$7,'Input Data'!$BG$8))),0)*VLOOKUP($G49,'Input Data'!$BI$3:$BL$10,4,FALSE))))</f>
        <v>0</v>
      </c>
      <c r="AO49" s="56">
        <f>IF($G49="",0,IF(NOT(OR($G49="A - All employees not in groups B, C, J, H, M or Z",$G49="B - Married women and widows entitled to reduced NI",$G49="C - Over the State Pension age",$G49="H - Apprentice under 25",$G49="J – Deferment",$G49="M - Under 21",$G49="Z - Deferment (Under 21)",$G49="Please Enter The NI Cont. in ££££")),$G49,SUM(MAX(MIN(AG49-'Input Data'!$BG$3,'Input Data'!$BG$5-'Input Data'!$BG$3),0)*VLOOKUP($G49,'Input Data'!$BI$3:$BL$10,2,FALSE),MAX(MIN(AG49-'Input Data'!$BG$5,IF(OR($G49="M (under 21)",$G49="Z (under 21 - deferment)"),'Input Data'!$BG$6,IF($G49="H (Apprentice under 25)",'Input Data'!$BG$7,'Input Data'!$BG$8))-'Input Data'!$BG$5),0)*VLOOKUP($G49,'Input Data'!$BI$3:$BL$10,3,FALSE),MAX((AG49-IF(OR($G49="M (under 21)",$G49="Z (under 21 - deferment)"),'Input Data'!$BG$6,IF($G49="H (Apprentice under 25)",'Input Data'!$BG$7,'Input Data'!$BG$8))),0)*VLOOKUP($G49,'Input Data'!$BI$3:$BL$10,4,FALSE))))</f>
        <v>0</v>
      </c>
      <c r="AP49" s="56">
        <f>IF($G49="",0,IF(NOT(OR($G49="A - All employees not in groups B, C, J, H, M or Z",$G49="B - Married women and widows entitled to reduced NI",$G49="C - Over the State Pension age",$G49="H - Apprentice under 25",$G49="J – Deferment",$G49="M - Under 21",$G49="Z - Deferment (Under 21)",$G49="Please Enter The NI Cont. in ££££")),$G49,SUM(MAX(MIN(AH49-'Input Data'!$BG$3,'Input Data'!$BG$5-'Input Data'!$BG$3),0)*VLOOKUP($G49,'Input Data'!$BI$3:$BL$10,2,FALSE),MAX(MIN(AH49-'Input Data'!$BG$5,IF(OR($G49="M (under 21)",$G49="Z (under 21 - deferment)"),'Input Data'!$BG$6,IF($G49="H (Apprentice under 25)",'Input Data'!$BG$7,'Input Data'!$BG$8))-'Input Data'!$BG$5),0)*VLOOKUP($G49,'Input Data'!$BI$3:$BL$10,3,FALSE),MAX((AH49-IF(OR($G49="M (under 21)",$G49="Z (under 21 - deferment)"),'Input Data'!$BG$6,IF($G49="H (Apprentice under 25)",'Input Data'!$BG$7,'Input Data'!$BG$8))),0)*VLOOKUP($G49,'Input Data'!$BI$3:$BL$10,4,FALSE))))</f>
        <v>0</v>
      </c>
      <c r="AQ49" s="56">
        <f>IF($G49="",0,IF(NOT(OR($G49="A - All employees not in groups B, C, J, H, M or Z",$G49="B - Married women and widows entitled to reduced NI",$G49="C - Over the State Pension age",$G49="H - Apprentice under 25",$G49="J – Deferment",$G49="M - Under 21",$G49="Z - Deferment (Under 21)",$G49="Please Enter The NI Cont. in ££££")),$G49,SUM(MAX(MIN(AI49-'Input Data'!$BG$3,'Input Data'!$BG$5-'Input Data'!$BG$3),0)*VLOOKUP($G49,'Input Data'!$BI$3:$BL$10,2,FALSE),MAX(MIN(AI49-'Input Data'!$BG$5,IF(OR($G49="M (under 21)",$G49="Z (under 21 - deferment)"),'Input Data'!$BG$6,IF($G49="H (Apprentice under 25)",'Input Data'!$BG$7,'Input Data'!$BG$8))-'Input Data'!$BG$5),0)*VLOOKUP($G49,'Input Data'!$BI$3:$BL$10,3,FALSE),MAX((AI49-IF(OR($G49="M (under 21)",$G49="Z (under 21 - deferment)"),'Input Data'!$BG$6,IF($G49="H (Apprentice under 25)",'Input Data'!$BG$7,'Input Data'!$BG$8))),0)*VLOOKUP($G49,'Input Data'!$BI$3:$BL$10,4,FALSE))))</f>
        <v>0</v>
      </c>
      <c r="AR49" s="56">
        <f>IF($G49="",0,IF(NOT(OR($G49="A - All employees not in groups B, C, J, H, M or Z",$G49="B - Married women and widows entitled to reduced NI",$G49="C - Over the State Pension age",$G49="H - Apprentice under 25",$G49="J – Deferment",$G49="M - Under 21",$G49="Z - Deferment (Under 21)",$G49="Please Enter The NI Cont. in ££££")),$G49,SUM(MAX(MIN(AJ49-'Input Data'!$BG$3,'Input Data'!$BG$5-'Input Data'!$BG$3),0)*VLOOKUP($G49,'Input Data'!$BI$3:$BL$10,2,FALSE),MAX(MIN(AJ49-'Input Data'!$BG$5,IF(OR($G49="M (under 21)",$G49="Z (under 21 - deferment)"),'Input Data'!$BG$6,IF($G49="H (Apprentice under 25)",'Input Data'!$BG$7,'Input Data'!$BG$8))-'Input Data'!$BG$5),0)*VLOOKUP($G49,'Input Data'!$BI$3:$BL$10,3,FALSE),MAX((AJ49-IF(OR($G49="M (under 21)",$G49="Z (under 21 - deferment)"),'Input Data'!$BG$6,IF($G49="H (Apprentice under 25)",'Input Data'!$BG$7,'Input Data'!$BG$8))),0)*VLOOKUP($G49,'Input Data'!$BI$3:$BL$10,4,FALSE))))</f>
        <v>0</v>
      </c>
      <c r="AS49" s="56">
        <f>AC49*$F49</f>
        <v>0</v>
      </c>
      <c r="AT49" s="56">
        <f>AD49*$F49</f>
        <v>0</v>
      </c>
      <c r="AU49" s="56">
        <f>AE49*$F49</f>
        <v>0</v>
      </c>
      <c r="AV49" s="56">
        <f>AF49*$F49</f>
        <v>0</v>
      </c>
      <c r="AW49" s="56">
        <f>AG49*$F49</f>
        <v>0</v>
      </c>
      <c r="AX49" s="56">
        <f>AH49*$F49</f>
        <v>0</v>
      </c>
      <c r="AY49" s="56">
        <f>AI49*$F49</f>
        <v>0</v>
      </c>
      <c r="AZ49" s="56">
        <f>AJ49*$F49</f>
        <v>0</v>
      </c>
    </row>
    <row r="50" spans="2:52" ht="25.5">
      <c r="B50" s="60"/>
      <c r="C50" s="57" t="s">
        <v>83</v>
      </c>
      <c r="D50" s="58"/>
      <c r="E50" s="58"/>
      <c r="F50" s="535"/>
      <c r="G50" s="693" t="s">
        <v>1149</v>
      </c>
      <c r="H50" s="65"/>
      <c r="I50" s="65"/>
      <c r="J50" s="65"/>
      <c r="K50" s="65"/>
      <c r="L50" s="65"/>
      <c r="M50" s="65"/>
      <c r="N50" s="65"/>
      <c r="O50" s="65"/>
      <c r="P50" s="29"/>
      <c r="Q50" s="597"/>
      <c r="R50" s="61"/>
      <c r="T50" s="43">
        <f>SUM(AC50,AK50,AS50)</f>
        <v>0</v>
      </c>
      <c r="U50" s="43">
        <f>SUM(AD50,AL50,AT50)</f>
        <v>0</v>
      </c>
      <c r="V50" s="43">
        <f>SUM(AE50,AM50,AU50)</f>
        <v>0</v>
      </c>
      <c r="W50" s="43">
        <f>SUM(AF50,AN50,AV50)</f>
        <v>0</v>
      </c>
      <c r="X50" s="43">
        <f>SUM(AG50,AO50,AW50)</f>
        <v>0</v>
      </c>
      <c r="Y50" s="43">
        <f>SUM(AH50,AP50,AX50)</f>
        <v>0</v>
      </c>
      <c r="Z50" s="43">
        <f>SUM(AI50,AQ50,AY50)</f>
        <v>0</v>
      </c>
      <c r="AA50" s="43">
        <f>SUM(AJ50,AR50,AZ50)</f>
        <v>0</v>
      </c>
      <c r="AC50" s="631">
        <f>SUM($D50:$E50)*H50</f>
        <v>0</v>
      </c>
      <c r="AD50" s="631">
        <f>SUM($D50:$E50)*I50</f>
        <v>0</v>
      </c>
      <c r="AE50" s="631">
        <f>SUM($D50:$E50)*J50</f>
        <v>0</v>
      </c>
      <c r="AF50" s="631">
        <f>SUM($D50:$E50)*K50</f>
        <v>0</v>
      </c>
      <c r="AG50" s="631">
        <f>SUM($D50:$E50)*L50</f>
        <v>0</v>
      </c>
      <c r="AH50" s="631">
        <f>SUM($D50:$E50)*M50</f>
        <v>0</v>
      </c>
      <c r="AI50" s="631">
        <f>SUM($D50:$E50)*N50</f>
        <v>0</v>
      </c>
      <c r="AJ50" s="631">
        <f>SUM($D50:$E50)*O50</f>
        <v>0</v>
      </c>
      <c r="AK50" s="56">
        <f>IF($G50="",0,IF(NOT(OR($G50="A - All employees not in groups B, C, J, H, M or Z",$G50="B - Married women and widows entitled to reduced NI",$G50="C - Over the State Pension age",$G50="H - Apprentice under 25",$G50="J – Deferment",$G50="M - Under 21",$G50="Z - Deferment (Under 21)",$G50="Please Enter The NI Cont. in ££££")),$G50,SUM(MAX(MIN(AC50-'Input Data'!$BG$3,'Input Data'!$BG$5-'Input Data'!$BG$3),0)*VLOOKUP($G50,'Input Data'!$BI$3:$BL$10,2,FALSE),MAX(MIN(AC50-'Input Data'!$BG$5,IF(OR($G50="M (under 21)",$G50="Z (under 21 - deferment)"),'Input Data'!$BG$6,IF($G50="H (Apprentice under 25)",'Input Data'!$BG$7,'Input Data'!$BG$8))-'Input Data'!$BG$5),0)*VLOOKUP($G50,'Input Data'!$BI$3:$BL$10,3,FALSE),MAX((AC50-IF(OR($G50="M (under 21)",$G50="Z (under 21 - deferment)"),'Input Data'!$BG$6,IF($G50="H (Apprentice under 25)",'Input Data'!$BG$7,'Input Data'!$BG$8))),0)*VLOOKUP($G50,'Input Data'!$BI$3:$BL$10,4,FALSE))))</f>
        <v>0</v>
      </c>
      <c r="AL50" s="56">
        <f>IF($G50="",0,IF(NOT(OR($G50="A - All employees not in groups B, C, J, H, M or Z",$G50="B - Married women and widows entitled to reduced NI",$G50="C - Over the State Pension age",$G50="H - Apprentice under 25",$G50="J – Deferment",$G50="M - Under 21",$G50="Z - Deferment (Under 21)",$G50="Please Enter The NI Cont. in ££££")),$G50,SUM(MAX(MIN(AD50-'Input Data'!$BG$3,'Input Data'!$BG$5-'Input Data'!$BG$3),0)*VLOOKUP($G50,'Input Data'!$BI$3:$BL$10,2,FALSE),MAX(MIN(AD50-'Input Data'!$BG$5,IF(OR($G50="M (under 21)",$G50="Z (under 21 - deferment)"),'Input Data'!$BG$6,IF($G50="H (Apprentice under 25)",'Input Data'!$BG$7,'Input Data'!$BG$8))-'Input Data'!$BG$5),0)*VLOOKUP($G50,'Input Data'!$BI$3:$BL$10,3,FALSE),MAX((AD50-IF(OR($G50="M (under 21)",$G50="Z (under 21 - deferment)"),'Input Data'!$BG$6,IF($G50="H (Apprentice under 25)",'Input Data'!$BG$7,'Input Data'!$BG$8))),0)*VLOOKUP($G50,'Input Data'!$BI$3:$BL$10,4,FALSE))))</f>
        <v>0</v>
      </c>
      <c r="AM50" s="56">
        <f>IF($G50="",0,IF(NOT(OR($G50="A - All employees not in groups B, C, J, H, M or Z",$G50="B - Married women and widows entitled to reduced NI",$G50="C - Over the State Pension age",$G50="H - Apprentice under 25",$G50="J – Deferment",$G50="M - Under 21",$G50="Z - Deferment (Under 21)",$G50="Please Enter The NI Cont. in ££££")),$G50,SUM(MAX(MIN(AE50-'Input Data'!$BG$3,'Input Data'!$BG$5-'Input Data'!$BG$3),0)*VLOOKUP($G50,'Input Data'!$BI$3:$BL$10,2,FALSE),MAX(MIN(AE50-'Input Data'!$BG$5,IF(OR($G50="M (under 21)",$G50="Z (under 21 - deferment)"),'Input Data'!$BG$6,IF($G50="H (Apprentice under 25)",'Input Data'!$BG$7,'Input Data'!$BG$8))-'Input Data'!$BG$5),0)*VLOOKUP($G50,'Input Data'!$BI$3:$BL$10,3,FALSE),MAX((AE50-IF(OR($G50="M (under 21)",$G50="Z (under 21 - deferment)"),'Input Data'!$BG$6,IF($G50="H (Apprentice under 25)",'Input Data'!$BG$7,'Input Data'!$BG$8))),0)*VLOOKUP($G50,'Input Data'!$BI$3:$BL$10,4,FALSE))))</f>
        <v>0</v>
      </c>
      <c r="AN50" s="56">
        <f>IF($G50="",0,IF(NOT(OR($G50="A - All employees not in groups B, C, J, H, M or Z",$G50="B - Married women and widows entitled to reduced NI",$G50="C - Over the State Pension age",$G50="H - Apprentice under 25",$G50="J – Deferment",$G50="M - Under 21",$G50="Z - Deferment (Under 21)",$G50="Please Enter The NI Cont. in ££££")),$G50,SUM(MAX(MIN(AF50-'Input Data'!$BG$3,'Input Data'!$BG$5-'Input Data'!$BG$3),0)*VLOOKUP($G50,'Input Data'!$BI$3:$BL$10,2,FALSE),MAX(MIN(AF50-'Input Data'!$BG$5,IF(OR($G50="M (under 21)",$G50="Z (under 21 - deferment)"),'Input Data'!$BG$6,IF($G50="H (Apprentice under 25)",'Input Data'!$BG$7,'Input Data'!$BG$8))-'Input Data'!$BG$5),0)*VLOOKUP($G50,'Input Data'!$BI$3:$BL$10,3,FALSE),MAX((AF50-IF(OR($G50="M (under 21)",$G50="Z (under 21 - deferment)"),'Input Data'!$BG$6,IF($G50="H (Apprentice under 25)",'Input Data'!$BG$7,'Input Data'!$BG$8))),0)*VLOOKUP($G50,'Input Data'!$BI$3:$BL$10,4,FALSE))))</f>
        <v>0</v>
      </c>
      <c r="AO50" s="56">
        <f>IF($G50="",0,IF(NOT(OR($G50="A - All employees not in groups B, C, J, H, M or Z",$G50="B - Married women and widows entitled to reduced NI",$G50="C - Over the State Pension age",$G50="H - Apprentice under 25",$G50="J – Deferment",$G50="M - Under 21",$G50="Z - Deferment (Under 21)",$G50="Please Enter The NI Cont. in ££££")),$G50,SUM(MAX(MIN(AG50-'Input Data'!$BG$3,'Input Data'!$BG$5-'Input Data'!$BG$3),0)*VLOOKUP($G50,'Input Data'!$BI$3:$BL$10,2,FALSE),MAX(MIN(AG50-'Input Data'!$BG$5,IF(OR($G50="M (under 21)",$G50="Z (under 21 - deferment)"),'Input Data'!$BG$6,IF($G50="H (Apprentice under 25)",'Input Data'!$BG$7,'Input Data'!$BG$8))-'Input Data'!$BG$5),0)*VLOOKUP($G50,'Input Data'!$BI$3:$BL$10,3,FALSE),MAX((AG50-IF(OR($G50="M (under 21)",$G50="Z (under 21 - deferment)"),'Input Data'!$BG$6,IF($G50="H (Apprentice under 25)",'Input Data'!$BG$7,'Input Data'!$BG$8))),0)*VLOOKUP($G50,'Input Data'!$BI$3:$BL$10,4,FALSE))))</f>
        <v>0</v>
      </c>
      <c r="AP50" s="56">
        <f>IF($G50="",0,IF(NOT(OR($G50="A - All employees not in groups B, C, J, H, M or Z",$G50="B - Married women and widows entitled to reduced NI",$G50="C - Over the State Pension age",$G50="H - Apprentice under 25",$G50="J – Deferment",$G50="M - Under 21",$G50="Z - Deferment (Under 21)",$G50="Please Enter The NI Cont. in ££££")),$G50,SUM(MAX(MIN(AH50-'Input Data'!$BG$3,'Input Data'!$BG$5-'Input Data'!$BG$3),0)*VLOOKUP($G50,'Input Data'!$BI$3:$BL$10,2,FALSE),MAX(MIN(AH50-'Input Data'!$BG$5,IF(OR($G50="M (under 21)",$G50="Z (under 21 - deferment)"),'Input Data'!$BG$6,IF($G50="H (Apprentice under 25)",'Input Data'!$BG$7,'Input Data'!$BG$8))-'Input Data'!$BG$5),0)*VLOOKUP($G50,'Input Data'!$BI$3:$BL$10,3,FALSE),MAX((AH50-IF(OR($G50="M (under 21)",$G50="Z (under 21 - deferment)"),'Input Data'!$BG$6,IF($G50="H (Apprentice under 25)",'Input Data'!$BG$7,'Input Data'!$BG$8))),0)*VLOOKUP($G50,'Input Data'!$BI$3:$BL$10,4,FALSE))))</f>
        <v>0</v>
      </c>
      <c r="AQ50" s="56">
        <f>IF($G50="",0,IF(NOT(OR($G50="A - All employees not in groups B, C, J, H, M or Z",$G50="B - Married women and widows entitled to reduced NI",$G50="C - Over the State Pension age",$G50="H - Apprentice under 25",$G50="J – Deferment",$G50="M - Under 21",$G50="Z - Deferment (Under 21)",$G50="Please Enter The NI Cont. in ££££")),$G50,SUM(MAX(MIN(AI50-'Input Data'!$BG$3,'Input Data'!$BG$5-'Input Data'!$BG$3),0)*VLOOKUP($G50,'Input Data'!$BI$3:$BL$10,2,FALSE),MAX(MIN(AI50-'Input Data'!$BG$5,IF(OR($G50="M (under 21)",$G50="Z (under 21 - deferment)"),'Input Data'!$BG$6,IF($G50="H (Apprentice under 25)",'Input Data'!$BG$7,'Input Data'!$BG$8))-'Input Data'!$BG$5),0)*VLOOKUP($G50,'Input Data'!$BI$3:$BL$10,3,FALSE),MAX((AI50-IF(OR($G50="M (under 21)",$G50="Z (under 21 - deferment)"),'Input Data'!$BG$6,IF($G50="H (Apprentice under 25)",'Input Data'!$BG$7,'Input Data'!$BG$8))),0)*VLOOKUP($G50,'Input Data'!$BI$3:$BL$10,4,FALSE))))</f>
        <v>0</v>
      </c>
      <c r="AR50" s="56">
        <f>IF($G50="",0,IF(NOT(OR($G50="A - All employees not in groups B, C, J, H, M or Z",$G50="B - Married women and widows entitled to reduced NI",$G50="C - Over the State Pension age",$G50="H - Apprentice under 25",$G50="J – Deferment",$G50="M - Under 21",$G50="Z - Deferment (Under 21)",$G50="Please Enter The NI Cont. in ££££")),$G50,SUM(MAX(MIN(AJ50-'Input Data'!$BG$3,'Input Data'!$BG$5-'Input Data'!$BG$3),0)*VLOOKUP($G50,'Input Data'!$BI$3:$BL$10,2,FALSE),MAX(MIN(AJ50-'Input Data'!$BG$5,IF(OR($G50="M (under 21)",$G50="Z (under 21 - deferment)"),'Input Data'!$BG$6,IF($G50="H (Apprentice under 25)",'Input Data'!$BG$7,'Input Data'!$BG$8))-'Input Data'!$BG$5),0)*VLOOKUP($G50,'Input Data'!$BI$3:$BL$10,3,FALSE),MAX((AJ50-IF(OR($G50="M (under 21)",$G50="Z (under 21 - deferment)"),'Input Data'!$BG$6,IF($G50="H (Apprentice under 25)",'Input Data'!$BG$7,'Input Data'!$BG$8))),0)*VLOOKUP($G50,'Input Data'!$BI$3:$BL$10,4,FALSE))))</f>
        <v>0</v>
      </c>
      <c r="AS50" s="56">
        <f>AC50*$F50</f>
        <v>0</v>
      </c>
      <c r="AT50" s="56">
        <f>AD50*$F50</f>
        <v>0</v>
      </c>
      <c r="AU50" s="56">
        <f>AE50*$F50</f>
        <v>0</v>
      </c>
      <c r="AV50" s="56">
        <f>AF50*$F50</f>
        <v>0</v>
      </c>
      <c r="AW50" s="56">
        <f>AG50*$F50</f>
        <v>0</v>
      </c>
      <c r="AX50" s="56">
        <f>AH50*$F50</f>
        <v>0</v>
      </c>
      <c r="AY50" s="56">
        <f>AI50*$F50</f>
        <v>0</v>
      </c>
      <c r="AZ50" s="56">
        <f>AJ50*$F50</f>
        <v>0</v>
      </c>
    </row>
    <row r="51" spans="2:52" ht="25.5">
      <c r="B51" s="60"/>
      <c r="C51" s="57" t="s">
        <v>84</v>
      </c>
      <c r="D51" s="58"/>
      <c r="E51" s="58"/>
      <c r="F51" s="535"/>
      <c r="G51" s="693" t="s">
        <v>1149</v>
      </c>
      <c r="H51" s="65"/>
      <c r="I51" s="65"/>
      <c r="J51" s="65"/>
      <c r="K51" s="65"/>
      <c r="L51" s="65"/>
      <c r="M51" s="65"/>
      <c r="N51" s="65"/>
      <c r="O51" s="65"/>
      <c r="P51" s="29"/>
      <c r="Q51" s="597"/>
      <c r="R51" s="61"/>
      <c r="T51" s="43">
        <f>SUM(AC51,AK51,AS51)</f>
        <v>0</v>
      </c>
      <c r="U51" s="43">
        <f>SUM(AD51,AL51,AT51)</f>
        <v>0</v>
      </c>
      <c r="V51" s="43">
        <f>SUM(AE51,AM51,AU51)</f>
        <v>0</v>
      </c>
      <c r="W51" s="43">
        <f>SUM(AF51,AN51,AV51)</f>
        <v>0</v>
      </c>
      <c r="X51" s="43">
        <f>SUM(AG51,AO51,AW51)</f>
        <v>0</v>
      </c>
      <c r="Y51" s="43">
        <f>SUM(AH51,AP51,AX51)</f>
        <v>0</v>
      </c>
      <c r="Z51" s="43">
        <f>SUM(AI51,AQ51,AY51)</f>
        <v>0</v>
      </c>
      <c r="AA51" s="43">
        <f>SUM(AJ51,AR51,AZ51)</f>
        <v>0</v>
      </c>
      <c r="AC51" s="631">
        <f>SUM($D51:$E51)*H51</f>
        <v>0</v>
      </c>
      <c r="AD51" s="631">
        <f>SUM($D51:$E51)*I51</f>
        <v>0</v>
      </c>
      <c r="AE51" s="631">
        <f>SUM($D51:$E51)*J51</f>
        <v>0</v>
      </c>
      <c r="AF51" s="631">
        <f>SUM($D51:$E51)*K51</f>
        <v>0</v>
      </c>
      <c r="AG51" s="631">
        <f>SUM($D51:$E51)*L51</f>
        <v>0</v>
      </c>
      <c r="AH51" s="631">
        <f>SUM($D51:$E51)*M51</f>
        <v>0</v>
      </c>
      <c r="AI51" s="631">
        <f>SUM($D51:$E51)*N51</f>
        <v>0</v>
      </c>
      <c r="AJ51" s="631">
        <f>SUM($D51:$E51)*O51</f>
        <v>0</v>
      </c>
      <c r="AK51" s="56">
        <f>IF($G51="",0,IF(NOT(OR($G51="A - All employees not in groups B, C, J, H, M or Z",$G51="B - Married women and widows entitled to reduced NI",$G51="C - Over the State Pension age",$G51="H - Apprentice under 25",$G51="J – Deferment",$G51="M - Under 21",$G51="Z - Deferment (Under 21)",$G51="Please Enter The NI Cont. in ££££")),$G51,SUM(MAX(MIN(AC51-'Input Data'!$BG$3,'Input Data'!$BG$5-'Input Data'!$BG$3),0)*VLOOKUP($G51,'Input Data'!$BI$3:$BL$10,2,FALSE),MAX(MIN(AC51-'Input Data'!$BG$5,IF(OR($G51="M (under 21)",$G51="Z (under 21 - deferment)"),'Input Data'!$BG$6,IF($G51="H (Apprentice under 25)",'Input Data'!$BG$7,'Input Data'!$BG$8))-'Input Data'!$BG$5),0)*VLOOKUP($G51,'Input Data'!$BI$3:$BL$10,3,FALSE),MAX((AC51-IF(OR($G51="M (under 21)",$G51="Z (under 21 - deferment)"),'Input Data'!$BG$6,IF($G51="H (Apprentice under 25)",'Input Data'!$BG$7,'Input Data'!$BG$8))),0)*VLOOKUP($G51,'Input Data'!$BI$3:$BL$10,4,FALSE))))</f>
        <v>0</v>
      </c>
      <c r="AL51" s="56">
        <f>IF($G51="",0,IF(NOT(OR($G51="A - All employees not in groups B, C, J, H, M or Z",$G51="B - Married women and widows entitled to reduced NI",$G51="C - Over the State Pension age",$G51="H - Apprentice under 25",$G51="J – Deferment",$G51="M - Under 21",$G51="Z - Deferment (Under 21)",$G51="Please Enter The NI Cont. in ££££")),$G51,SUM(MAX(MIN(AD51-'Input Data'!$BG$3,'Input Data'!$BG$5-'Input Data'!$BG$3),0)*VLOOKUP($G51,'Input Data'!$BI$3:$BL$10,2,FALSE),MAX(MIN(AD51-'Input Data'!$BG$5,IF(OR($G51="M (under 21)",$G51="Z (under 21 - deferment)"),'Input Data'!$BG$6,IF($G51="H (Apprentice under 25)",'Input Data'!$BG$7,'Input Data'!$BG$8))-'Input Data'!$BG$5),0)*VLOOKUP($G51,'Input Data'!$BI$3:$BL$10,3,FALSE),MAX((AD51-IF(OR($G51="M (under 21)",$G51="Z (under 21 - deferment)"),'Input Data'!$BG$6,IF($G51="H (Apprentice under 25)",'Input Data'!$BG$7,'Input Data'!$BG$8))),0)*VLOOKUP($G51,'Input Data'!$BI$3:$BL$10,4,FALSE))))</f>
        <v>0</v>
      </c>
      <c r="AM51" s="56">
        <f>IF($G51="",0,IF(NOT(OR($G51="A - All employees not in groups B, C, J, H, M or Z",$G51="B - Married women and widows entitled to reduced NI",$G51="C - Over the State Pension age",$G51="H - Apprentice under 25",$G51="J – Deferment",$G51="M - Under 21",$G51="Z - Deferment (Under 21)",$G51="Please Enter The NI Cont. in ££££")),$G51,SUM(MAX(MIN(AE51-'Input Data'!$BG$3,'Input Data'!$BG$5-'Input Data'!$BG$3),0)*VLOOKUP($G51,'Input Data'!$BI$3:$BL$10,2,FALSE),MAX(MIN(AE51-'Input Data'!$BG$5,IF(OR($G51="M (under 21)",$G51="Z (under 21 - deferment)"),'Input Data'!$BG$6,IF($G51="H (Apprentice under 25)",'Input Data'!$BG$7,'Input Data'!$BG$8))-'Input Data'!$BG$5),0)*VLOOKUP($G51,'Input Data'!$BI$3:$BL$10,3,FALSE),MAX((AE51-IF(OR($G51="M (under 21)",$G51="Z (under 21 - deferment)"),'Input Data'!$BG$6,IF($G51="H (Apprentice under 25)",'Input Data'!$BG$7,'Input Data'!$BG$8))),0)*VLOOKUP($G51,'Input Data'!$BI$3:$BL$10,4,FALSE))))</f>
        <v>0</v>
      </c>
      <c r="AN51" s="56">
        <f>IF($G51="",0,IF(NOT(OR($G51="A - All employees not in groups B, C, J, H, M or Z",$G51="B - Married women and widows entitled to reduced NI",$G51="C - Over the State Pension age",$G51="H - Apprentice under 25",$G51="J – Deferment",$G51="M - Under 21",$G51="Z - Deferment (Under 21)",$G51="Please Enter The NI Cont. in ££££")),$G51,SUM(MAX(MIN(AF51-'Input Data'!$BG$3,'Input Data'!$BG$5-'Input Data'!$BG$3),0)*VLOOKUP($G51,'Input Data'!$BI$3:$BL$10,2,FALSE),MAX(MIN(AF51-'Input Data'!$BG$5,IF(OR($G51="M (under 21)",$G51="Z (under 21 - deferment)"),'Input Data'!$BG$6,IF($G51="H (Apprentice under 25)",'Input Data'!$BG$7,'Input Data'!$BG$8))-'Input Data'!$BG$5),0)*VLOOKUP($G51,'Input Data'!$BI$3:$BL$10,3,FALSE),MAX((AF51-IF(OR($G51="M (under 21)",$G51="Z (under 21 - deferment)"),'Input Data'!$BG$6,IF($G51="H (Apprentice under 25)",'Input Data'!$BG$7,'Input Data'!$BG$8))),0)*VLOOKUP($G51,'Input Data'!$BI$3:$BL$10,4,FALSE))))</f>
        <v>0</v>
      </c>
      <c r="AO51" s="56">
        <f>IF($G51="",0,IF(NOT(OR($G51="A - All employees not in groups B, C, J, H, M or Z",$G51="B - Married women and widows entitled to reduced NI",$G51="C - Over the State Pension age",$G51="H - Apprentice under 25",$G51="J – Deferment",$G51="M - Under 21",$G51="Z - Deferment (Under 21)",$G51="Please Enter The NI Cont. in ££££")),$G51,SUM(MAX(MIN(AG51-'Input Data'!$BG$3,'Input Data'!$BG$5-'Input Data'!$BG$3),0)*VLOOKUP($G51,'Input Data'!$BI$3:$BL$10,2,FALSE),MAX(MIN(AG51-'Input Data'!$BG$5,IF(OR($G51="M (under 21)",$G51="Z (under 21 - deferment)"),'Input Data'!$BG$6,IF($G51="H (Apprentice under 25)",'Input Data'!$BG$7,'Input Data'!$BG$8))-'Input Data'!$BG$5),0)*VLOOKUP($G51,'Input Data'!$BI$3:$BL$10,3,FALSE),MAX((AG51-IF(OR($G51="M (under 21)",$G51="Z (under 21 - deferment)"),'Input Data'!$BG$6,IF($G51="H (Apprentice under 25)",'Input Data'!$BG$7,'Input Data'!$BG$8))),0)*VLOOKUP($G51,'Input Data'!$BI$3:$BL$10,4,FALSE))))</f>
        <v>0</v>
      </c>
      <c r="AP51" s="56">
        <f>IF($G51="",0,IF(NOT(OR($G51="A - All employees not in groups B, C, J, H, M or Z",$G51="B - Married women and widows entitled to reduced NI",$G51="C - Over the State Pension age",$G51="H - Apprentice under 25",$G51="J – Deferment",$G51="M - Under 21",$G51="Z - Deferment (Under 21)",$G51="Please Enter The NI Cont. in ££££")),$G51,SUM(MAX(MIN(AH51-'Input Data'!$BG$3,'Input Data'!$BG$5-'Input Data'!$BG$3),0)*VLOOKUP($G51,'Input Data'!$BI$3:$BL$10,2,FALSE),MAX(MIN(AH51-'Input Data'!$BG$5,IF(OR($G51="M (under 21)",$G51="Z (under 21 - deferment)"),'Input Data'!$BG$6,IF($G51="H (Apprentice under 25)",'Input Data'!$BG$7,'Input Data'!$BG$8))-'Input Data'!$BG$5),0)*VLOOKUP($G51,'Input Data'!$BI$3:$BL$10,3,FALSE),MAX((AH51-IF(OR($G51="M (under 21)",$G51="Z (under 21 - deferment)"),'Input Data'!$BG$6,IF($G51="H (Apprentice under 25)",'Input Data'!$BG$7,'Input Data'!$BG$8))),0)*VLOOKUP($G51,'Input Data'!$BI$3:$BL$10,4,FALSE))))</f>
        <v>0</v>
      </c>
      <c r="AQ51" s="56">
        <f>IF($G51="",0,IF(NOT(OR($G51="A - All employees not in groups B, C, J, H, M or Z",$G51="B - Married women and widows entitled to reduced NI",$G51="C - Over the State Pension age",$G51="H - Apprentice under 25",$G51="J – Deferment",$G51="M - Under 21",$G51="Z - Deferment (Under 21)",$G51="Please Enter The NI Cont. in ££££")),$G51,SUM(MAX(MIN(AI51-'Input Data'!$BG$3,'Input Data'!$BG$5-'Input Data'!$BG$3),0)*VLOOKUP($G51,'Input Data'!$BI$3:$BL$10,2,FALSE),MAX(MIN(AI51-'Input Data'!$BG$5,IF(OR($G51="M (under 21)",$G51="Z (under 21 - deferment)"),'Input Data'!$BG$6,IF($G51="H (Apprentice under 25)",'Input Data'!$BG$7,'Input Data'!$BG$8))-'Input Data'!$BG$5),0)*VLOOKUP($G51,'Input Data'!$BI$3:$BL$10,3,FALSE),MAX((AI51-IF(OR($G51="M (under 21)",$G51="Z (under 21 - deferment)"),'Input Data'!$BG$6,IF($G51="H (Apprentice under 25)",'Input Data'!$BG$7,'Input Data'!$BG$8))),0)*VLOOKUP($G51,'Input Data'!$BI$3:$BL$10,4,FALSE))))</f>
        <v>0</v>
      </c>
      <c r="AR51" s="56">
        <f>IF($G51="",0,IF(NOT(OR($G51="A - All employees not in groups B, C, J, H, M or Z",$G51="B - Married women and widows entitled to reduced NI",$G51="C - Over the State Pension age",$G51="H - Apprentice under 25",$G51="J – Deferment",$G51="M - Under 21",$G51="Z - Deferment (Under 21)",$G51="Please Enter The NI Cont. in ££££")),$G51,SUM(MAX(MIN(AJ51-'Input Data'!$BG$3,'Input Data'!$BG$5-'Input Data'!$BG$3),0)*VLOOKUP($G51,'Input Data'!$BI$3:$BL$10,2,FALSE),MAX(MIN(AJ51-'Input Data'!$BG$5,IF(OR($G51="M (under 21)",$G51="Z (under 21 - deferment)"),'Input Data'!$BG$6,IF($G51="H (Apprentice under 25)",'Input Data'!$BG$7,'Input Data'!$BG$8))-'Input Data'!$BG$5),0)*VLOOKUP($G51,'Input Data'!$BI$3:$BL$10,3,FALSE),MAX((AJ51-IF(OR($G51="M (under 21)",$G51="Z (under 21 - deferment)"),'Input Data'!$BG$6,IF($G51="H (Apprentice under 25)",'Input Data'!$BG$7,'Input Data'!$BG$8))),0)*VLOOKUP($G51,'Input Data'!$BI$3:$BL$10,4,FALSE))))</f>
        <v>0</v>
      </c>
      <c r="AS51" s="56">
        <f>AC51*$F51</f>
        <v>0</v>
      </c>
      <c r="AT51" s="56">
        <f>AD51*$F51</f>
        <v>0</v>
      </c>
      <c r="AU51" s="56">
        <f>AE51*$F51</f>
        <v>0</v>
      </c>
      <c r="AV51" s="56">
        <f>AF51*$F51</f>
        <v>0</v>
      </c>
      <c r="AW51" s="56">
        <f>AG51*$F51</f>
        <v>0</v>
      </c>
      <c r="AX51" s="56">
        <f>AH51*$F51</f>
        <v>0</v>
      </c>
      <c r="AY51" s="56">
        <f>AI51*$F51</f>
        <v>0</v>
      </c>
      <c r="AZ51" s="56">
        <f>AJ51*$F51</f>
        <v>0</v>
      </c>
    </row>
    <row r="52" spans="2:52" ht="25.5">
      <c r="B52" s="60"/>
      <c r="C52" s="57" t="s">
        <v>86</v>
      </c>
      <c r="D52" s="58"/>
      <c r="E52" s="58"/>
      <c r="F52" s="535"/>
      <c r="G52" s="693" t="s">
        <v>1149</v>
      </c>
      <c r="H52" s="65"/>
      <c r="I52" s="65"/>
      <c r="J52" s="65"/>
      <c r="K52" s="65"/>
      <c r="L52" s="65"/>
      <c r="M52" s="65"/>
      <c r="N52" s="65"/>
      <c r="O52" s="65"/>
      <c r="P52" s="29"/>
      <c r="Q52" s="597"/>
      <c r="R52" s="61"/>
      <c r="T52" s="43">
        <f>SUM(AC52,AK52,AS52)</f>
        <v>0</v>
      </c>
      <c r="U52" s="43">
        <f>SUM(AD52,AL52,AT52)</f>
        <v>0</v>
      </c>
      <c r="V52" s="43">
        <f>SUM(AE52,AM52,AU52)</f>
        <v>0</v>
      </c>
      <c r="W52" s="43">
        <f>SUM(AF52,AN52,AV52)</f>
        <v>0</v>
      </c>
      <c r="X52" s="43">
        <f>SUM(AG52,AO52,AW52)</f>
        <v>0</v>
      </c>
      <c r="Y52" s="43">
        <f>SUM(AH52,AP52,AX52)</f>
        <v>0</v>
      </c>
      <c r="Z52" s="43">
        <f>SUM(AI52,AQ52,AY52)</f>
        <v>0</v>
      </c>
      <c r="AA52" s="43">
        <f>SUM(AJ52,AR52,AZ52)</f>
        <v>0</v>
      </c>
      <c r="AC52" s="631">
        <f>SUM($D52:$E52)*H52</f>
        <v>0</v>
      </c>
      <c r="AD52" s="631">
        <f>SUM($D52:$E52)*I52</f>
        <v>0</v>
      </c>
      <c r="AE52" s="631">
        <f>SUM($D52:$E52)*J52</f>
        <v>0</v>
      </c>
      <c r="AF52" s="631">
        <f>SUM($D52:$E52)*K52</f>
        <v>0</v>
      </c>
      <c r="AG52" s="631">
        <f>SUM($D52:$E52)*L52</f>
        <v>0</v>
      </c>
      <c r="AH52" s="631">
        <f>SUM($D52:$E52)*M52</f>
        <v>0</v>
      </c>
      <c r="AI52" s="631">
        <f>SUM($D52:$E52)*N52</f>
        <v>0</v>
      </c>
      <c r="AJ52" s="631">
        <f>SUM($D52:$E52)*O52</f>
        <v>0</v>
      </c>
      <c r="AK52" s="56">
        <f>IF($G52="",0,IF(NOT(OR($G52="A - All employees not in groups B, C, J, H, M or Z",$G52="B - Married women and widows entitled to reduced NI",$G52="C - Over the State Pension age",$G52="H - Apprentice under 25",$G52="J – Deferment",$G52="M - Under 21",$G52="Z - Deferment (Under 21)",$G52="Please Enter The NI Cont. in ££££")),$G52,SUM(MAX(MIN(AC52-'Input Data'!$BG$3,'Input Data'!$BG$5-'Input Data'!$BG$3),0)*VLOOKUP($G52,'Input Data'!$BI$3:$BL$10,2,FALSE),MAX(MIN(AC52-'Input Data'!$BG$5,IF(OR($G52="M (under 21)",$G52="Z (under 21 - deferment)"),'Input Data'!$BG$6,IF($G52="H (Apprentice under 25)",'Input Data'!$BG$7,'Input Data'!$BG$8))-'Input Data'!$BG$5),0)*VLOOKUP($G52,'Input Data'!$BI$3:$BL$10,3,FALSE),MAX((AC52-IF(OR($G52="M (under 21)",$G52="Z (under 21 - deferment)"),'Input Data'!$BG$6,IF($G52="H (Apprentice under 25)",'Input Data'!$BG$7,'Input Data'!$BG$8))),0)*VLOOKUP($G52,'Input Data'!$BI$3:$BL$10,4,FALSE))))</f>
        <v>0</v>
      </c>
      <c r="AL52" s="56">
        <f>IF($G52="",0,IF(NOT(OR($G52="A - All employees not in groups B, C, J, H, M or Z",$G52="B - Married women and widows entitled to reduced NI",$G52="C - Over the State Pension age",$G52="H - Apprentice under 25",$G52="J – Deferment",$G52="M - Under 21",$G52="Z - Deferment (Under 21)",$G52="Please Enter The NI Cont. in ££££")),$G52,SUM(MAX(MIN(AD52-'Input Data'!$BG$3,'Input Data'!$BG$5-'Input Data'!$BG$3),0)*VLOOKUP($G52,'Input Data'!$BI$3:$BL$10,2,FALSE),MAX(MIN(AD52-'Input Data'!$BG$5,IF(OR($G52="M (under 21)",$G52="Z (under 21 - deferment)"),'Input Data'!$BG$6,IF($G52="H (Apprentice under 25)",'Input Data'!$BG$7,'Input Data'!$BG$8))-'Input Data'!$BG$5),0)*VLOOKUP($G52,'Input Data'!$BI$3:$BL$10,3,FALSE),MAX((AD52-IF(OR($G52="M (under 21)",$G52="Z (under 21 - deferment)"),'Input Data'!$BG$6,IF($G52="H (Apprentice under 25)",'Input Data'!$BG$7,'Input Data'!$BG$8))),0)*VLOOKUP($G52,'Input Data'!$BI$3:$BL$10,4,FALSE))))</f>
        <v>0</v>
      </c>
      <c r="AM52" s="56">
        <f>IF($G52="",0,IF(NOT(OR($G52="A - All employees not in groups B, C, J, H, M or Z",$G52="B - Married women and widows entitled to reduced NI",$G52="C - Over the State Pension age",$G52="H - Apprentice under 25",$G52="J – Deferment",$G52="M - Under 21",$G52="Z - Deferment (Under 21)",$G52="Please Enter The NI Cont. in ££££")),$G52,SUM(MAX(MIN(AE52-'Input Data'!$BG$3,'Input Data'!$BG$5-'Input Data'!$BG$3),0)*VLOOKUP($G52,'Input Data'!$BI$3:$BL$10,2,FALSE),MAX(MIN(AE52-'Input Data'!$BG$5,IF(OR($G52="M (under 21)",$G52="Z (under 21 - deferment)"),'Input Data'!$BG$6,IF($G52="H (Apprentice under 25)",'Input Data'!$BG$7,'Input Data'!$BG$8))-'Input Data'!$BG$5),0)*VLOOKUP($G52,'Input Data'!$BI$3:$BL$10,3,FALSE),MAX((AE52-IF(OR($G52="M (under 21)",$G52="Z (under 21 - deferment)"),'Input Data'!$BG$6,IF($G52="H (Apprentice under 25)",'Input Data'!$BG$7,'Input Data'!$BG$8))),0)*VLOOKUP($G52,'Input Data'!$BI$3:$BL$10,4,FALSE))))</f>
        <v>0</v>
      </c>
      <c r="AN52" s="56">
        <f>IF($G52="",0,IF(NOT(OR($G52="A - All employees not in groups B, C, J, H, M or Z",$G52="B - Married women and widows entitled to reduced NI",$G52="C - Over the State Pension age",$G52="H - Apprentice under 25",$G52="J – Deferment",$G52="M - Under 21",$G52="Z - Deferment (Under 21)",$G52="Please Enter The NI Cont. in ££££")),$G52,SUM(MAX(MIN(AF52-'Input Data'!$BG$3,'Input Data'!$BG$5-'Input Data'!$BG$3),0)*VLOOKUP($G52,'Input Data'!$BI$3:$BL$10,2,FALSE),MAX(MIN(AF52-'Input Data'!$BG$5,IF(OR($G52="M (under 21)",$G52="Z (under 21 - deferment)"),'Input Data'!$BG$6,IF($G52="H (Apprentice under 25)",'Input Data'!$BG$7,'Input Data'!$BG$8))-'Input Data'!$BG$5),0)*VLOOKUP($G52,'Input Data'!$BI$3:$BL$10,3,FALSE),MAX((AF52-IF(OR($G52="M (under 21)",$G52="Z (under 21 - deferment)"),'Input Data'!$BG$6,IF($G52="H (Apprentice under 25)",'Input Data'!$BG$7,'Input Data'!$BG$8))),0)*VLOOKUP($G52,'Input Data'!$BI$3:$BL$10,4,FALSE))))</f>
        <v>0</v>
      </c>
      <c r="AO52" s="56">
        <f>IF($G52="",0,IF(NOT(OR($G52="A - All employees not in groups B, C, J, H, M or Z",$G52="B - Married women and widows entitled to reduced NI",$G52="C - Over the State Pension age",$G52="H - Apprentice under 25",$G52="J – Deferment",$G52="M - Under 21",$G52="Z - Deferment (Under 21)",$G52="Please Enter The NI Cont. in ££££")),$G52,SUM(MAX(MIN(AG52-'Input Data'!$BG$3,'Input Data'!$BG$5-'Input Data'!$BG$3),0)*VLOOKUP($G52,'Input Data'!$BI$3:$BL$10,2,FALSE),MAX(MIN(AG52-'Input Data'!$BG$5,IF(OR($G52="M (under 21)",$G52="Z (under 21 - deferment)"),'Input Data'!$BG$6,IF($G52="H (Apprentice under 25)",'Input Data'!$BG$7,'Input Data'!$BG$8))-'Input Data'!$BG$5),0)*VLOOKUP($G52,'Input Data'!$BI$3:$BL$10,3,FALSE),MAX((AG52-IF(OR($G52="M (under 21)",$G52="Z (under 21 - deferment)"),'Input Data'!$BG$6,IF($G52="H (Apprentice under 25)",'Input Data'!$BG$7,'Input Data'!$BG$8))),0)*VLOOKUP($G52,'Input Data'!$BI$3:$BL$10,4,FALSE))))</f>
        <v>0</v>
      </c>
      <c r="AP52" s="56">
        <f>IF($G52="",0,IF(NOT(OR($G52="A - All employees not in groups B, C, J, H, M or Z",$G52="B - Married women and widows entitled to reduced NI",$G52="C - Over the State Pension age",$G52="H - Apprentice under 25",$G52="J – Deferment",$G52="M - Under 21",$G52="Z - Deferment (Under 21)",$G52="Please Enter The NI Cont. in ££££")),$G52,SUM(MAX(MIN(AH52-'Input Data'!$BG$3,'Input Data'!$BG$5-'Input Data'!$BG$3),0)*VLOOKUP($G52,'Input Data'!$BI$3:$BL$10,2,FALSE),MAX(MIN(AH52-'Input Data'!$BG$5,IF(OR($G52="M (under 21)",$G52="Z (under 21 - deferment)"),'Input Data'!$BG$6,IF($G52="H (Apprentice under 25)",'Input Data'!$BG$7,'Input Data'!$BG$8))-'Input Data'!$BG$5),0)*VLOOKUP($G52,'Input Data'!$BI$3:$BL$10,3,FALSE),MAX((AH52-IF(OR($G52="M (under 21)",$G52="Z (under 21 - deferment)"),'Input Data'!$BG$6,IF($G52="H (Apprentice under 25)",'Input Data'!$BG$7,'Input Data'!$BG$8))),0)*VLOOKUP($G52,'Input Data'!$BI$3:$BL$10,4,FALSE))))</f>
        <v>0</v>
      </c>
      <c r="AQ52" s="56">
        <f>IF($G52="",0,IF(NOT(OR($G52="A - All employees not in groups B, C, J, H, M or Z",$G52="B - Married women and widows entitled to reduced NI",$G52="C - Over the State Pension age",$G52="H - Apprentice under 25",$G52="J – Deferment",$G52="M - Under 21",$G52="Z - Deferment (Under 21)",$G52="Please Enter The NI Cont. in ££££")),$G52,SUM(MAX(MIN(AI52-'Input Data'!$BG$3,'Input Data'!$BG$5-'Input Data'!$BG$3),0)*VLOOKUP($G52,'Input Data'!$BI$3:$BL$10,2,FALSE),MAX(MIN(AI52-'Input Data'!$BG$5,IF(OR($G52="M (under 21)",$G52="Z (under 21 - deferment)"),'Input Data'!$BG$6,IF($G52="H (Apprentice under 25)",'Input Data'!$BG$7,'Input Data'!$BG$8))-'Input Data'!$BG$5),0)*VLOOKUP($G52,'Input Data'!$BI$3:$BL$10,3,FALSE),MAX((AI52-IF(OR($G52="M (under 21)",$G52="Z (under 21 - deferment)"),'Input Data'!$BG$6,IF($G52="H (Apprentice under 25)",'Input Data'!$BG$7,'Input Data'!$BG$8))),0)*VLOOKUP($G52,'Input Data'!$BI$3:$BL$10,4,FALSE))))</f>
        <v>0</v>
      </c>
      <c r="AR52" s="56">
        <f>IF($G52="",0,IF(NOT(OR($G52="A - All employees not in groups B, C, J, H, M or Z",$G52="B - Married women and widows entitled to reduced NI",$G52="C - Over the State Pension age",$G52="H - Apprentice under 25",$G52="J – Deferment",$G52="M - Under 21",$G52="Z - Deferment (Under 21)",$G52="Please Enter The NI Cont. in ££££")),$G52,SUM(MAX(MIN(AJ52-'Input Data'!$BG$3,'Input Data'!$BG$5-'Input Data'!$BG$3),0)*VLOOKUP($G52,'Input Data'!$BI$3:$BL$10,2,FALSE),MAX(MIN(AJ52-'Input Data'!$BG$5,IF(OR($G52="M (under 21)",$G52="Z (under 21 - deferment)"),'Input Data'!$BG$6,IF($G52="H (Apprentice under 25)",'Input Data'!$BG$7,'Input Data'!$BG$8))-'Input Data'!$BG$5),0)*VLOOKUP($G52,'Input Data'!$BI$3:$BL$10,3,FALSE),MAX((AJ52-IF(OR($G52="M (under 21)",$G52="Z (under 21 - deferment)"),'Input Data'!$BG$6,IF($G52="H (Apprentice under 25)",'Input Data'!$BG$7,'Input Data'!$BG$8))),0)*VLOOKUP($G52,'Input Data'!$BI$3:$BL$10,4,FALSE))))</f>
        <v>0</v>
      </c>
      <c r="AS52" s="56">
        <f>AC52*$F52</f>
        <v>0</v>
      </c>
      <c r="AT52" s="56">
        <f>AD52*$F52</f>
        <v>0</v>
      </c>
      <c r="AU52" s="56">
        <f>AE52*$F52</f>
        <v>0</v>
      </c>
      <c r="AV52" s="56">
        <f>AF52*$F52</f>
        <v>0</v>
      </c>
      <c r="AW52" s="56">
        <f>AG52*$F52</f>
        <v>0</v>
      </c>
      <c r="AX52" s="56">
        <f>AH52*$F52</f>
        <v>0</v>
      </c>
      <c r="AY52" s="56">
        <f>AI52*$F52</f>
        <v>0</v>
      </c>
      <c r="AZ52" s="56">
        <f>AJ52*$F52</f>
        <v>0</v>
      </c>
    </row>
    <row r="53" spans="2:52" ht="25.5">
      <c r="B53" s="60"/>
      <c r="C53" s="57" t="s">
        <v>87</v>
      </c>
      <c r="D53" s="58"/>
      <c r="E53" s="58"/>
      <c r="F53" s="535"/>
      <c r="G53" s="693" t="s">
        <v>1149</v>
      </c>
      <c r="H53" s="65"/>
      <c r="I53" s="65"/>
      <c r="J53" s="65"/>
      <c r="K53" s="65"/>
      <c r="L53" s="65"/>
      <c r="M53" s="65"/>
      <c r="N53" s="65"/>
      <c r="O53" s="65"/>
      <c r="P53" s="29"/>
      <c r="Q53" s="597"/>
      <c r="R53" s="61"/>
      <c r="T53" s="43">
        <f>SUM(AC53,AK53,AS53)</f>
        <v>0</v>
      </c>
      <c r="U53" s="43">
        <f>SUM(AD53,AL53,AT53)</f>
        <v>0</v>
      </c>
      <c r="V53" s="43">
        <f>SUM(AE53,AM53,AU53)</f>
        <v>0</v>
      </c>
      <c r="W53" s="43">
        <f>SUM(AF53,AN53,AV53)</f>
        <v>0</v>
      </c>
      <c r="X53" s="43">
        <f>SUM(AG53,AO53,AW53)</f>
        <v>0</v>
      </c>
      <c r="Y53" s="43">
        <f>SUM(AH53,AP53,AX53)</f>
        <v>0</v>
      </c>
      <c r="Z53" s="43">
        <f>SUM(AI53,AQ53,AY53)</f>
        <v>0</v>
      </c>
      <c r="AA53" s="43">
        <f>SUM(AJ53,AR53,AZ53)</f>
        <v>0</v>
      </c>
      <c r="AC53" s="631">
        <f>SUM($D53:$E53)*H53</f>
        <v>0</v>
      </c>
      <c r="AD53" s="631">
        <f>SUM($D53:$E53)*I53</f>
        <v>0</v>
      </c>
      <c r="AE53" s="631">
        <f>SUM($D53:$E53)*J53</f>
        <v>0</v>
      </c>
      <c r="AF53" s="631">
        <f>SUM($D53:$E53)*K53</f>
        <v>0</v>
      </c>
      <c r="AG53" s="631">
        <f>SUM($D53:$E53)*L53</f>
        <v>0</v>
      </c>
      <c r="AH53" s="631">
        <f>SUM($D53:$E53)*M53</f>
        <v>0</v>
      </c>
      <c r="AI53" s="631">
        <f>SUM($D53:$E53)*N53</f>
        <v>0</v>
      </c>
      <c r="AJ53" s="631">
        <f>SUM($D53:$E53)*O53</f>
        <v>0</v>
      </c>
      <c r="AK53" s="56">
        <f>IF($G53="",0,IF(NOT(OR($G53="A - All employees not in groups B, C, J, H, M or Z",$G53="B - Married women and widows entitled to reduced NI",$G53="C - Over the State Pension age",$G53="H - Apprentice under 25",$G53="J – Deferment",$G53="M - Under 21",$G53="Z - Deferment (Under 21)",$G53="Please Enter The NI Cont. in ££££")),$G53,SUM(MAX(MIN(AC53-'Input Data'!$BG$3,'Input Data'!$BG$5-'Input Data'!$BG$3),0)*VLOOKUP($G53,'Input Data'!$BI$3:$BL$10,2,FALSE),MAX(MIN(AC53-'Input Data'!$BG$5,IF(OR($G53="M (under 21)",$G53="Z (under 21 - deferment)"),'Input Data'!$BG$6,IF($G53="H (Apprentice under 25)",'Input Data'!$BG$7,'Input Data'!$BG$8))-'Input Data'!$BG$5),0)*VLOOKUP($G53,'Input Data'!$BI$3:$BL$10,3,FALSE),MAX((AC53-IF(OR($G53="M (under 21)",$G53="Z (under 21 - deferment)"),'Input Data'!$BG$6,IF($G53="H (Apprentice under 25)",'Input Data'!$BG$7,'Input Data'!$BG$8))),0)*VLOOKUP($G53,'Input Data'!$BI$3:$BL$10,4,FALSE))))</f>
        <v>0</v>
      </c>
      <c r="AL53" s="56">
        <f>IF($G53="",0,IF(NOT(OR($G53="A - All employees not in groups B, C, J, H, M or Z",$G53="B - Married women and widows entitled to reduced NI",$G53="C - Over the State Pension age",$G53="H - Apprentice under 25",$G53="J – Deferment",$G53="M - Under 21",$G53="Z - Deferment (Under 21)",$G53="Please Enter The NI Cont. in ££££")),$G53,SUM(MAX(MIN(AD53-'Input Data'!$BG$3,'Input Data'!$BG$5-'Input Data'!$BG$3),0)*VLOOKUP($G53,'Input Data'!$BI$3:$BL$10,2,FALSE),MAX(MIN(AD53-'Input Data'!$BG$5,IF(OR($G53="M (under 21)",$G53="Z (under 21 - deferment)"),'Input Data'!$BG$6,IF($G53="H (Apprentice under 25)",'Input Data'!$BG$7,'Input Data'!$BG$8))-'Input Data'!$BG$5),0)*VLOOKUP($G53,'Input Data'!$BI$3:$BL$10,3,FALSE),MAX((AD53-IF(OR($G53="M (under 21)",$G53="Z (under 21 - deferment)"),'Input Data'!$BG$6,IF($G53="H (Apprentice under 25)",'Input Data'!$BG$7,'Input Data'!$BG$8))),0)*VLOOKUP($G53,'Input Data'!$BI$3:$BL$10,4,FALSE))))</f>
        <v>0</v>
      </c>
      <c r="AM53" s="56">
        <f>IF($G53="",0,IF(NOT(OR($G53="A - All employees not in groups B, C, J, H, M or Z",$G53="B - Married women and widows entitled to reduced NI",$G53="C - Over the State Pension age",$G53="H - Apprentice under 25",$G53="J – Deferment",$G53="M - Under 21",$G53="Z - Deferment (Under 21)",$G53="Please Enter The NI Cont. in ££££")),$G53,SUM(MAX(MIN(AE53-'Input Data'!$BG$3,'Input Data'!$BG$5-'Input Data'!$BG$3),0)*VLOOKUP($G53,'Input Data'!$BI$3:$BL$10,2,FALSE),MAX(MIN(AE53-'Input Data'!$BG$5,IF(OR($G53="M (under 21)",$G53="Z (under 21 - deferment)"),'Input Data'!$BG$6,IF($G53="H (Apprentice under 25)",'Input Data'!$BG$7,'Input Data'!$BG$8))-'Input Data'!$BG$5),0)*VLOOKUP($G53,'Input Data'!$BI$3:$BL$10,3,FALSE),MAX((AE53-IF(OR($G53="M (under 21)",$G53="Z (under 21 - deferment)"),'Input Data'!$BG$6,IF($G53="H (Apprentice under 25)",'Input Data'!$BG$7,'Input Data'!$BG$8))),0)*VLOOKUP($G53,'Input Data'!$BI$3:$BL$10,4,FALSE))))</f>
        <v>0</v>
      </c>
      <c r="AN53" s="56">
        <f>IF($G53="",0,IF(NOT(OR($G53="A - All employees not in groups B, C, J, H, M or Z",$G53="B - Married women and widows entitled to reduced NI",$G53="C - Over the State Pension age",$G53="H - Apprentice under 25",$G53="J – Deferment",$G53="M - Under 21",$G53="Z - Deferment (Under 21)",$G53="Please Enter The NI Cont. in ££££")),$G53,SUM(MAX(MIN(AF53-'Input Data'!$BG$3,'Input Data'!$BG$5-'Input Data'!$BG$3),0)*VLOOKUP($G53,'Input Data'!$BI$3:$BL$10,2,FALSE),MAX(MIN(AF53-'Input Data'!$BG$5,IF(OR($G53="M (under 21)",$G53="Z (under 21 - deferment)"),'Input Data'!$BG$6,IF($G53="H (Apprentice under 25)",'Input Data'!$BG$7,'Input Data'!$BG$8))-'Input Data'!$BG$5),0)*VLOOKUP($G53,'Input Data'!$BI$3:$BL$10,3,FALSE),MAX((AF53-IF(OR($G53="M (under 21)",$G53="Z (under 21 - deferment)"),'Input Data'!$BG$6,IF($G53="H (Apprentice under 25)",'Input Data'!$BG$7,'Input Data'!$BG$8))),0)*VLOOKUP($G53,'Input Data'!$BI$3:$BL$10,4,FALSE))))</f>
        <v>0</v>
      </c>
      <c r="AO53" s="56">
        <f>IF($G53="",0,IF(NOT(OR($G53="A - All employees not in groups B, C, J, H, M or Z",$G53="B - Married women and widows entitled to reduced NI",$G53="C - Over the State Pension age",$G53="H - Apprentice under 25",$G53="J – Deferment",$G53="M - Under 21",$G53="Z - Deferment (Under 21)",$G53="Please Enter The NI Cont. in ££££")),$G53,SUM(MAX(MIN(AG53-'Input Data'!$BG$3,'Input Data'!$BG$5-'Input Data'!$BG$3),0)*VLOOKUP($G53,'Input Data'!$BI$3:$BL$10,2,FALSE),MAX(MIN(AG53-'Input Data'!$BG$5,IF(OR($G53="M (under 21)",$G53="Z (under 21 - deferment)"),'Input Data'!$BG$6,IF($G53="H (Apprentice under 25)",'Input Data'!$BG$7,'Input Data'!$BG$8))-'Input Data'!$BG$5),0)*VLOOKUP($G53,'Input Data'!$BI$3:$BL$10,3,FALSE),MAX((AG53-IF(OR($G53="M (under 21)",$G53="Z (under 21 - deferment)"),'Input Data'!$BG$6,IF($G53="H (Apprentice under 25)",'Input Data'!$BG$7,'Input Data'!$BG$8))),0)*VLOOKUP($G53,'Input Data'!$BI$3:$BL$10,4,FALSE))))</f>
        <v>0</v>
      </c>
      <c r="AP53" s="56">
        <f>IF($G53="",0,IF(NOT(OR($G53="A - All employees not in groups B, C, J, H, M or Z",$G53="B - Married women and widows entitled to reduced NI",$G53="C - Over the State Pension age",$G53="H - Apprentice under 25",$G53="J – Deferment",$G53="M - Under 21",$G53="Z - Deferment (Under 21)",$G53="Please Enter The NI Cont. in ££££")),$G53,SUM(MAX(MIN(AH53-'Input Data'!$BG$3,'Input Data'!$BG$5-'Input Data'!$BG$3),0)*VLOOKUP($G53,'Input Data'!$BI$3:$BL$10,2,FALSE),MAX(MIN(AH53-'Input Data'!$BG$5,IF(OR($G53="M (under 21)",$G53="Z (under 21 - deferment)"),'Input Data'!$BG$6,IF($G53="H (Apprentice under 25)",'Input Data'!$BG$7,'Input Data'!$BG$8))-'Input Data'!$BG$5),0)*VLOOKUP($G53,'Input Data'!$BI$3:$BL$10,3,FALSE),MAX((AH53-IF(OR($G53="M (under 21)",$G53="Z (under 21 - deferment)"),'Input Data'!$BG$6,IF($G53="H (Apprentice under 25)",'Input Data'!$BG$7,'Input Data'!$BG$8))),0)*VLOOKUP($G53,'Input Data'!$BI$3:$BL$10,4,FALSE))))</f>
        <v>0</v>
      </c>
      <c r="AQ53" s="56">
        <f>IF($G53="",0,IF(NOT(OR($G53="A - All employees not in groups B, C, J, H, M or Z",$G53="B - Married women and widows entitled to reduced NI",$G53="C - Over the State Pension age",$G53="H - Apprentice under 25",$G53="J – Deferment",$G53="M - Under 21",$G53="Z - Deferment (Under 21)",$G53="Please Enter The NI Cont. in ££££")),$G53,SUM(MAX(MIN(AI53-'Input Data'!$BG$3,'Input Data'!$BG$5-'Input Data'!$BG$3),0)*VLOOKUP($G53,'Input Data'!$BI$3:$BL$10,2,FALSE),MAX(MIN(AI53-'Input Data'!$BG$5,IF(OR($G53="M (under 21)",$G53="Z (under 21 - deferment)"),'Input Data'!$BG$6,IF($G53="H (Apprentice under 25)",'Input Data'!$BG$7,'Input Data'!$BG$8))-'Input Data'!$BG$5),0)*VLOOKUP($G53,'Input Data'!$BI$3:$BL$10,3,FALSE),MAX((AI53-IF(OR($G53="M (under 21)",$G53="Z (under 21 - deferment)"),'Input Data'!$BG$6,IF($G53="H (Apprentice under 25)",'Input Data'!$BG$7,'Input Data'!$BG$8))),0)*VLOOKUP($G53,'Input Data'!$BI$3:$BL$10,4,FALSE))))</f>
        <v>0</v>
      </c>
      <c r="AR53" s="56">
        <f>IF($G53="",0,IF(NOT(OR($G53="A - All employees not in groups B, C, J, H, M or Z",$G53="B - Married women and widows entitled to reduced NI",$G53="C - Over the State Pension age",$G53="H - Apprentice under 25",$G53="J – Deferment",$G53="M - Under 21",$G53="Z - Deferment (Under 21)",$G53="Please Enter The NI Cont. in ££££")),$G53,SUM(MAX(MIN(AJ53-'Input Data'!$BG$3,'Input Data'!$BG$5-'Input Data'!$BG$3),0)*VLOOKUP($G53,'Input Data'!$BI$3:$BL$10,2,FALSE),MAX(MIN(AJ53-'Input Data'!$BG$5,IF(OR($G53="M (under 21)",$G53="Z (under 21 - deferment)"),'Input Data'!$BG$6,IF($G53="H (Apprentice under 25)",'Input Data'!$BG$7,'Input Data'!$BG$8))-'Input Data'!$BG$5),0)*VLOOKUP($G53,'Input Data'!$BI$3:$BL$10,3,FALSE),MAX((AJ53-IF(OR($G53="M (under 21)",$G53="Z (under 21 - deferment)"),'Input Data'!$BG$6,IF($G53="H (Apprentice under 25)",'Input Data'!$BG$7,'Input Data'!$BG$8))),0)*VLOOKUP($G53,'Input Data'!$BI$3:$BL$10,4,FALSE))))</f>
        <v>0</v>
      </c>
      <c r="AS53" s="56">
        <f>AC53*$F53</f>
        <v>0</v>
      </c>
      <c r="AT53" s="56">
        <f>AD53*$F53</f>
        <v>0</v>
      </c>
      <c r="AU53" s="56">
        <f>AE53*$F53</f>
        <v>0</v>
      </c>
      <c r="AV53" s="56">
        <f>AF53*$F53</f>
        <v>0</v>
      </c>
      <c r="AW53" s="56">
        <f>AG53*$F53</f>
        <v>0</v>
      </c>
      <c r="AX53" s="56">
        <f>AH53*$F53</f>
        <v>0</v>
      </c>
      <c r="AY53" s="56">
        <f>AI53*$F53</f>
        <v>0</v>
      </c>
      <c r="AZ53" s="56">
        <f>AJ53*$F53</f>
        <v>0</v>
      </c>
    </row>
    <row r="54" spans="2:52" ht="25.5">
      <c r="B54" s="60"/>
      <c r="C54" s="57" t="s">
        <v>88</v>
      </c>
      <c r="D54" s="58"/>
      <c r="E54" s="58"/>
      <c r="F54" s="535"/>
      <c r="G54" s="693" t="s">
        <v>1149</v>
      </c>
      <c r="H54" s="65"/>
      <c r="I54" s="65"/>
      <c r="J54" s="65"/>
      <c r="K54" s="65"/>
      <c r="L54" s="65"/>
      <c r="M54" s="65"/>
      <c r="N54" s="65"/>
      <c r="O54" s="65"/>
      <c r="P54" s="29"/>
      <c r="Q54" s="597"/>
      <c r="R54" s="61"/>
      <c r="T54" s="43">
        <f>SUM(AC54,AK54,AS54)</f>
        <v>0</v>
      </c>
      <c r="U54" s="43">
        <f>SUM(AD54,AL54,AT54)</f>
        <v>0</v>
      </c>
      <c r="V54" s="43">
        <f>SUM(AE54,AM54,AU54)</f>
        <v>0</v>
      </c>
      <c r="W54" s="43">
        <f>SUM(AF54,AN54,AV54)</f>
        <v>0</v>
      </c>
      <c r="X54" s="43">
        <f>SUM(AG54,AO54,AW54)</f>
        <v>0</v>
      </c>
      <c r="Y54" s="43">
        <f>SUM(AH54,AP54,AX54)</f>
        <v>0</v>
      </c>
      <c r="Z54" s="43">
        <f>SUM(AI54,AQ54,AY54)</f>
        <v>0</v>
      </c>
      <c r="AA54" s="43">
        <f>SUM(AJ54,AR54,AZ54)</f>
        <v>0</v>
      </c>
      <c r="AC54" s="631">
        <f>SUM($D54:$E54)*H54</f>
        <v>0</v>
      </c>
      <c r="AD54" s="631">
        <f>SUM($D54:$E54)*I54</f>
        <v>0</v>
      </c>
      <c r="AE54" s="631">
        <f>SUM($D54:$E54)*J54</f>
        <v>0</v>
      </c>
      <c r="AF54" s="631">
        <f>SUM($D54:$E54)*K54</f>
        <v>0</v>
      </c>
      <c r="AG54" s="631">
        <f>SUM($D54:$E54)*L54</f>
        <v>0</v>
      </c>
      <c r="AH54" s="631">
        <f>SUM($D54:$E54)*M54</f>
        <v>0</v>
      </c>
      <c r="AI54" s="631">
        <f>SUM($D54:$E54)*N54</f>
        <v>0</v>
      </c>
      <c r="AJ54" s="631">
        <f>SUM($D54:$E54)*O54</f>
        <v>0</v>
      </c>
      <c r="AK54" s="56">
        <f>IF($G54="",0,IF(NOT(OR($G54="A - All employees not in groups B, C, J, H, M or Z",$G54="B - Married women and widows entitled to reduced NI",$G54="C - Over the State Pension age",$G54="H - Apprentice under 25",$G54="J – Deferment",$G54="M - Under 21",$G54="Z - Deferment (Under 21)",$G54="Please Enter The NI Cont. in ££££")),$G54,SUM(MAX(MIN(AC54-'Input Data'!$BG$3,'Input Data'!$BG$5-'Input Data'!$BG$3),0)*VLOOKUP($G54,'Input Data'!$BI$3:$BL$10,2,FALSE),MAX(MIN(AC54-'Input Data'!$BG$5,IF(OR($G54="M (under 21)",$G54="Z (under 21 - deferment)"),'Input Data'!$BG$6,IF($G54="H (Apprentice under 25)",'Input Data'!$BG$7,'Input Data'!$BG$8))-'Input Data'!$BG$5),0)*VLOOKUP($G54,'Input Data'!$BI$3:$BL$10,3,FALSE),MAX((AC54-IF(OR($G54="M (under 21)",$G54="Z (under 21 - deferment)"),'Input Data'!$BG$6,IF($G54="H (Apprentice under 25)",'Input Data'!$BG$7,'Input Data'!$BG$8))),0)*VLOOKUP($G54,'Input Data'!$BI$3:$BL$10,4,FALSE))))</f>
        <v>0</v>
      </c>
      <c r="AL54" s="56">
        <f>IF($G54="",0,IF(NOT(OR($G54="A - All employees not in groups B, C, J, H, M or Z",$G54="B - Married women and widows entitled to reduced NI",$G54="C - Over the State Pension age",$G54="H - Apprentice under 25",$G54="J – Deferment",$G54="M - Under 21",$G54="Z - Deferment (Under 21)",$G54="Please Enter The NI Cont. in ££££")),$G54,SUM(MAX(MIN(AD54-'Input Data'!$BG$3,'Input Data'!$BG$5-'Input Data'!$BG$3),0)*VLOOKUP($G54,'Input Data'!$BI$3:$BL$10,2,FALSE),MAX(MIN(AD54-'Input Data'!$BG$5,IF(OR($G54="M (under 21)",$G54="Z (under 21 - deferment)"),'Input Data'!$BG$6,IF($G54="H (Apprentice under 25)",'Input Data'!$BG$7,'Input Data'!$BG$8))-'Input Data'!$BG$5),0)*VLOOKUP($G54,'Input Data'!$BI$3:$BL$10,3,FALSE),MAX((AD54-IF(OR($G54="M (under 21)",$G54="Z (under 21 - deferment)"),'Input Data'!$BG$6,IF($G54="H (Apprentice under 25)",'Input Data'!$BG$7,'Input Data'!$BG$8))),0)*VLOOKUP($G54,'Input Data'!$BI$3:$BL$10,4,FALSE))))</f>
        <v>0</v>
      </c>
      <c r="AM54" s="56">
        <f>IF($G54="",0,IF(NOT(OR($G54="A - All employees not in groups B, C, J, H, M or Z",$G54="B - Married women and widows entitled to reduced NI",$G54="C - Over the State Pension age",$G54="H - Apprentice under 25",$G54="J – Deferment",$G54="M - Under 21",$G54="Z - Deferment (Under 21)",$G54="Please Enter The NI Cont. in ££££")),$G54,SUM(MAX(MIN(AE54-'Input Data'!$BG$3,'Input Data'!$BG$5-'Input Data'!$BG$3),0)*VLOOKUP($G54,'Input Data'!$BI$3:$BL$10,2,FALSE),MAX(MIN(AE54-'Input Data'!$BG$5,IF(OR($G54="M (under 21)",$G54="Z (under 21 - deferment)"),'Input Data'!$BG$6,IF($G54="H (Apprentice under 25)",'Input Data'!$BG$7,'Input Data'!$BG$8))-'Input Data'!$BG$5),0)*VLOOKUP($G54,'Input Data'!$BI$3:$BL$10,3,FALSE),MAX((AE54-IF(OR($G54="M (under 21)",$G54="Z (under 21 - deferment)"),'Input Data'!$BG$6,IF($G54="H (Apprentice under 25)",'Input Data'!$BG$7,'Input Data'!$BG$8))),0)*VLOOKUP($G54,'Input Data'!$BI$3:$BL$10,4,FALSE))))</f>
        <v>0</v>
      </c>
      <c r="AN54" s="56">
        <f>IF($G54="",0,IF(NOT(OR($G54="A - All employees not in groups B, C, J, H, M or Z",$G54="B - Married women and widows entitled to reduced NI",$G54="C - Over the State Pension age",$G54="H - Apprentice under 25",$G54="J – Deferment",$G54="M - Under 21",$G54="Z - Deferment (Under 21)",$G54="Please Enter The NI Cont. in ££££")),$G54,SUM(MAX(MIN(AF54-'Input Data'!$BG$3,'Input Data'!$BG$5-'Input Data'!$BG$3),0)*VLOOKUP($G54,'Input Data'!$BI$3:$BL$10,2,FALSE),MAX(MIN(AF54-'Input Data'!$BG$5,IF(OR($G54="M (under 21)",$G54="Z (under 21 - deferment)"),'Input Data'!$BG$6,IF($G54="H (Apprentice under 25)",'Input Data'!$BG$7,'Input Data'!$BG$8))-'Input Data'!$BG$5),0)*VLOOKUP($G54,'Input Data'!$BI$3:$BL$10,3,FALSE),MAX((AF54-IF(OR($G54="M (under 21)",$G54="Z (under 21 - deferment)"),'Input Data'!$BG$6,IF($G54="H (Apprentice under 25)",'Input Data'!$BG$7,'Input Data'!$BG$8))),0)*VLOOKUP($G54,'Input Data'!$BI$3:$BL$10,4,FALSE))))</f>
        <v>0</v>
      </c>
      <c r="AO54" s="56">
        <f>IF($G54="",0,IF(NOT(OR($G54="A - All employees not in groups B, C, J, H, M or Z",$G54="B - Married women and widows entitled to reduced NI",$G54="C - Over the State Pension age",$G54="H - Apprentice under 25",$G54="J – Deferment",$G54="M - Under 21",$G54="Z - Deferment (Under 21)",$G54="Please Enter The NI Cont. in ££££")),$G54,SUM(MAX(MIN(AG54-'Input Data'!$BG$3,'Input Data'!$BG$5-'Input Data'!$BG$3),0)*VLOOKUP($G54,'Input Data'!$BI$3:$BL$10,2,FALSE),MAX(MIN(AG54-'Input Data'!$BG$5,IF(OR($G54="M (under 21)",$G54="Z (under 21 - deferment)"),'Input Data'!$BG$6,IF($G54="H (Apprentice under 25)",'Input Data'!$BG$7,'Input Data'!$BG$8))-'Input Data'!$BG$5),0)*VLOOKUP($G54,'Input Data'!$BI$3:$BL$10,3,FALSE),MAX((AG54-IF(OR($G54="M (under 21)",$G54="Z (under 21 - deferment)"),'Input Data'!$BG$6,IF($G54="H (Apprentice under 25)",'Input Data'!$BG$7,'Input Data'!$BG$8))),0)*VLOOKUP($G54,'Input Data'!$BI$3:$BL$10,4,FALSE))))</f>
        <v>0</v>
      </c>
      <c r="AP54" s="56">
        <f>IF($G54="",0,IF(NOT(OR($G54="A - All employees not in groups B, C, J, H, M or Z",$G54="B - Married women and widows entitled to reduced NI",$G54="C - Over the State Pension age",$G54="H - Apprentice under 25",$G54="J – Deferment",$G54="M - Under 21",$G54="Z - Deferment (Under 21)",$G54="Please Enter The NI Cont. in ££££")),$G54,SUM(MAX(MIN(AH54-'Input Data'!$BG$3,'Input Data'!$BG$5-'Input Data'!$BG$3),0)*VLOOKUP($G54,'Input Data'!$BI$3:$BL$10,2,FALSE),MAX(MIN(AH54-'Input Data'!$BG$5,IF(OR($G54="M (under 21)",$G54="Z (under 21 - deferment)"),'Input Data'!$BG$6,IF($G54="H (Apprentice under 25)",'Input Data'!$BG$7,'Input Data'!$BG$8))-'Input Data'!$BG$5),0)*VLOOKUP($G54,'Input Data'!$BI$3:$BL$10,3,FALSE),MAX((AH54-IF(OR($G54="M (under 21)",$G54="Z (under 21 - deferment)"),'Input Data'!$BG$6,IF($G54="H (Apprentice under 25)",'Input Data'!$BG$7,'Input Data'!$BG$8))),0)*VLOOKUP($G54,'Input Data'!$BI$3:$BL$10,4,FALSE))))</f>
        <v>0</v>
      </c>
      <c r="AQ54" s="56">
        <f>IF($G54="",0,IF(NOT(OR($G54="A - All employees not in groups B, C, J, H, M or Z",$G54="B - Married women and widows entitled to reduced NI",$G54="C - Over the State Pension age",$G54="H - Apprentice under 25",$G54="J – Deferment",$G54="M - Under 21",$G54="Z - Deferment (Under 21)",$G54="Please Enter The NI Cont. in ££££")),$G54,SUM(MAX(MIN(AI54-'Input Data'!$BG$3,'Input Data'!$BG$5-'Input Data'!$BG$3),0)*VLOOKUP($G54,'Input Data'!$BI$3:$BL$10,2,FALSE),MAX(MIN(AI54-'Input Data'!$BG$5,IF(OR($G54="M (under 21)",$G54="Z (under 21 - deferment)"),'Input Data'!$BG$6,IF($G54="H (Apprentice under 25)",'Input Data'!$BG$7,'Input Data'!$BG$8))-'Input Data'!$BG$5),0)*VLOOKUP($G54,'Input Data'!$BI$3:$BL$10,3,FALSE),MAX((AI54-IF(OR($G54="M (under 21)",$G54="Z (under 21 - deferment)"),'Input Data'!$BG$6,IF($G54="H (Apprentice under 25)",'Input Data'!$BG$7,'Input Data'!$BG$8))),0)*VLOOKUP($G54,'Input Data'!$BI$3:$BL$10,4,FALSE))))</f>
        <v>0</v>
      </c>
      <c r="AR54" s="56">
        <f>IF($G54="",0,IF(NOT(OR($G54="A - All employees not in groups B, C, J, H, M or Z",$G54="B - Married women and widows entitled to reduced NI",$G54="C - Over the State Pension age",$G54="H - Apprentice under 25",$G54="J – Deferment",$G54="M - Under 21",$G54="Z - Deferment (Under 21)",$G54="Please Enter The NI Cont. in ££££")),$G54,SUM(MAX(MIN(AJ54-'Input Data'!$BG$3,'Input Data'!$BG$5-'Input Data'!$BG$3),0)*VLOOKUP($G54,'Input Data'!$BI$3:$BL$10,2,FALSE),MAX(MIN(AJ54-'Input Data'!$BG$5,IF(OR($G54="M (under 21)",$G54="Z (under 21 - deferment)"),'Input Data'!$BG$6,IF($G54="H (Apprentice under 25)",'Input Data'!$BG$7,'Input Data'!$BG$8))-'Input Data'!$BG$5),0)*VLOOKUP($G54,'Input Data'!$BI$3:$BL$10,3,FALSE),MAX((AJ54-IF(OR($G54="M (under 21)",$G54="Z (under 21 - deferment)"),'Input Data'!$BG$6,IF($G54="H (Apprentice under 25)",'Input Data'!$BG$7,'Input Data'!$BG$8))),0)*VLOOKUP($G54,'Input Data'!$BI$3:$BL$10,4,FALSE))))</f>
        <v>0</v>
      </c>
      <c r="AS54" s="56">
        <f>AC54*$F54</f>
        <v>0</v>
      </c>
      <c r="AT54" s="56">
        <f>AD54*$F54</f>
        <v>0</v>
      </c>
      <c r="AU54" s="56">
        <f>AE54*$F54</f>
        <v>0</v>
      </c>
      <c r="AV54" s="56">
        <f>AF54*$F54</f>
        <v>0</v>
      </c>
      <c r="AW54" s="56">
        <f>AG54*$F54</f>
        <v>0</v>
      </c>
      <c r="AX54" s="56">
        <f>AH54*$F54</f>
        <v>0</v>
      </c>
      <c r="AY54" s="56">
        <f>AI54*$F54</f>
        <v>0</v>
      </c>
      <c r="AZ54" s="56">
        <f>AJ54*$F54</f>
        <v>0</v>
      </c>
    </row>
    <row r="55" spans="2:52" ht="25.5">
      <c r="B55" s="60"/>
      <c r="C55" s="57" t="s">
        <v>89</v>
      </c>
      <c r="D55" s="58"/>
      <c r="E55" s="58"/>
      <c r="F55" s="535"/>
      <c r="G55" s="693" t="s">
        <v>1149</v>
      </c>
      <c r="H55" s="65"/>
      <c r="I55" s="65"/>
      <c r="J55" s="65"/>
      <c r="K55" s="65"/>
      <c r="L55" s="65"/>
      <c r="M55" s="65"/>
      <c r="N55" s="65"/>
      <c r="O55" s="65"/>
      <c r="P55" s="29"/>
      <c r="Q55" s="597"/>
      <c r="R55" s="61"/>
      <c r="T55" s="43">
        <f>SUM(AC55,AK55,AS55)</f>
        <v>0</v>
      </c>
      <c r="U55" s="43">
        <f>SUM(AD55,AL55,AT55)</f>
        <v>0</v>
      </c>
      <c r="V55" s="43">
        <f>SUM(AE55,AM55,AU55)</f>
        <v>0</v>
      </c>
      <c r="W55" s="43">
        <f>SUM(AF55,AN55,AV55)</f>
        <v>0</v>
      </c>
      <c r="X55" s="43">
        <f>SUM(AG55,AO55,AW55)</f>
        <v>0</v>
      </c>
      <c r="Y55" s="43">
        <f>SUM(AH55,AP55,AX55)</f>
        <v>0</v>
      </c>
      <c r="Z55" s="43">
        <f>SUM(AI55,AQ55,AY55)</f>
        <v>0</v>
      </c>
      <c r="AA55" s="43">
        <f>SUM(AJ55,AR55,AZ55)</f>
        <v>0</v>
      </c>
      <c r="AC55" s="631">
        <f>SUM($D55:$E55)*H55</f>
        <v>0</v>
      </c>
      <c r="AD55" s="631">
        <f>SUM($D55:$E55)*I55</f>
        <v>0</v>
      </c>
      <c r="AE55" s="631">
        <f>SUM($D55:$E55)*J55</f>
        <v>0</v>
      </c>
      <c r="AF55" s="631">
        <f>SUM($D55:$E55)*K55</f>
        <v>0</v>
      </c>
      <c r="AG55" s="631">
        <f>SUM($D55:$E55)*L55</f>
        <v>0</v>
      </c>
      <c r="AH55" s="631">
        <f>SUM($D55:$E55)*M55</f>
        <v>0</v>
      </c>
      <c r="AI55" s="631">
        <f>SUM($D55:$E55)*N55</f>
        <v>0</v>
      </c>
      <c r="AJ55" s="631">
        <f>SUM($D55:$E55)*O55</f>
        <v>0</v>
      </c>
      <c r="AK55" s="56">
        <f>IF($G55="",0,IF(NOT(OR($G55="A - All employees not in groups B, C, J, H, M or Z",$G55="B - Married women and widows entitled to reduced NI",$G55="C - Over the State Pension age",$G55="H - Apprentice under 25",$G55="J – Deferment",$G55="M - Under 21",$G55="Z - Deferment (Under 21)",$G55="Please Enter The NI Cont. in ££££")),$G55,SUM(MAX(MIN(AC55-'Input Data'!$BG$3,'Input Data'!$BG$5-'Input Data'!$BG$3),0)*VLOOKUP($G55,'Input Data'!$BI$3:$BL$10,2,FALSE),MAX(MIN(AC55-'Input Data'!$BG$5,IF(OR($G55="M (under 21)",$G55="Z (under 21 - deferment)"),'Input Data'!$BG$6,IF($G55="H (Apprentice under 25)",'Input Data'!$BG$7,'Input Data'!$BG$8))-'Input Data'!$BG$5),0)*VLOOKUP($G55,'Input Data'!$BI$3:$BL$10,3,FALSE),MAX((AC55-IF(OR($G55="M (under 21)",$G55="Z (under 21 - deferment)"),'Input Data'!$BG$6,IF($G55="H (Apprentice under 25)",'Input Data'!$BG$7,'Input Data'!$BG$8))),0)*VLOOKUP($G55,'Input Data'!$BI$3:$BL$10,4,FALSE))))</f>
        <v>0</v>
      </c>
      <c r="AL55" s="56">
        <f>IF($G55="",0,IF(NOT(OR($G55="A - All employees not in groups B, C, J, H, M or Z",$G55="B - Married women and widows entitled to reduced NI",$G55="C - Over the State Pension age",$G55="H - Apprentice under 25",$G55="J – Deferment",$G55="M - Under 21",$G55="Z - Deferment (Under 21)",$G55="Please Enter The NI Cont. in ££££")),$G55,SUM(MAX(MIN(AD55-'Input Data'!$BG$3,'Input Data'!$BG$5-'Input Data'!$BG$3),0)*VLOOKUP($G55,'Input Data'!$BI$3:$BL$10,2,FALSE),MAX(MIN(AD55-'Input Data'!$BG$5,IF(OR($G55="M (under 21)",$G55="Z (under 21 - deferment)"),'Input Data'!$BG$6,IF($G55="H (Apprentice under 25)",'Input Data'!$BG$7,'Input Data'!$BG$8))-'Input Data'!$BG$5),0)*VLOOKUP($G55,'Input Data'!$BI$3:$BL$10,3,FALSE),MAX((AD55-IF(OR($G55="M (under 21)",$G55="Z (under 21 - deferment)"),'Input Data'!$BG$6,IF($G55="H (Apprentice under 25)",'Input Data'!$BG$7,'Input Data'!$BG$8))),0)*VLOOKUP($G55,'Input Data'!$BI$3:$BL$10,4,FALSE))))</f>
        <v>0</v>
      </c>
      <c r="AM55" s="56">
        <f>IF($G55="",0,IF(NOT(OR($G55="A - All employees not in groups B, C, J, H, M or Z",$G55="B - Married women and widows entitled to reduced NI",$G55="C - Over the State Pension age",$G55="H - Apprentice under 25",$G55="J – Deferment",$G55="M - Under 21",$G55="Z - Deferment (Under 21)",$G55="Please Enter The NI Cont. in ££££")),$G55,SUM(MAX(MIN(AE55-'Input Data'!$BG$3,'Input Data'!$BG$5-'Input Data'!$BG$3),0)*VLOOKUP($G55,'Input Data'!$BI$3:$BL$10,2,FALSE),MAX(MIN(AE55-'Input Data'!$BG$5,IF(OR($G55="M (under 21)",$G55="Z (under 21 - deferment)"),'Input Data'!$BG$6,IF($G55="H (Apprentice under 25)",'Input Data'!$BG$7,'Input Data'!$BG$8))-'Input Data'!$BG$5),0)*VLOOKUP($G55,'Input Data'!$BI$3:$BL$10,3,FALSE),MAX((AE55-IF(OR($G55="M (under 21)",$G55="Z (under 21 - deferment)"),'Input Data'!$BG$6,IF($G55="H (Apprentice under 25)",'Input Data'!$BG$7,'Input Data'!$BG$8))),0)*VLOOKUP($G55,'Input Data'!$BI$3:$BL$10,4,FALSE))))</f>
        <v>0</v>
      </c>
      <c r="AN55" s="56">
        <f>IF($G55="",0,IF(NOT(OR($G55="A - All employees not in groups B, C, J, H, M or Z",$G55="B - Married women and widows entitled to reduced NI",$G55="C - Over the State Pension age",$G55="H - Apprentice under 25",$G55="J – Deferment",$G55="M - Under 21",$G55="Z - Deferment (Under 21)",$G55="Please Enter The NI Cont. in ££££")),$G55,SUM(MAX(MIN(AF55-'Input Data'!$BG$3,'Input Data'!$BG$5-'Input Data'!$BG$3),0)*VLOOKUP($G55,'Input Data'!$BI$3:$BL$10,2,FALSE),MAX(MIN(AF55-'Input Data'!$BG$5,IF(OR($G55="M (under 21)",$G55="Z (under 21 - deferment)"),'Input Data'!$BG$6,IF($G55="H (Apprentice under 25)",'Input Data'!$BG$7,'Input Data'!$BG$8))-'Input Data'!$BG$5),0)*VLOOKUP($G55,'Input Data'!$BI$3:$BL$10,3,FALSE),MAX((AF55-IF(OR($G55="M (under 21)",$G55="Z (under 21 - deferment)"),'Input Data'!$BG$6,IF($G55="H (Apprentice under 25)",'Input Data'!$BG$7,'Input Data'!$BG$8))),0)*VLOOKUP($G55,'Input Data'!$BI$3:$BL$10,4,FALSE))))</f>
        <v>0</v>
      </c>
      <c r="AO55" s="56">
        <f>IF($G55="",0,IF(NOT(OR($G55="A - All employees not in groups B, C, J, H, M or Z",$G55="B - Married women and widows entitled to reduced NI",$G55="C - Over the State Pension age",$G55="H - Apprentice under 25",$G55="J – Deferment",$G55="M - Under 21",$G55="Z - Deferment (Under 21)",$G55="Please Enter The NI Cont. in ££££")),$G55,SUM(MAX(MIN(AG55-'Input Data'!$BG$3,'Input Data'!$BG$5-'Input Data'!$BG$3),0)*VLOOKUP($G55,'Input Data'!$BI$3:$BL$10,2,FALSE),MAX(MIN(AG55-'Input Data'!$BG$5,IF(OR($G55="M (under 21)",$G55="Z (under 21 - deferment)"),'Input Data'!$BG$6,IF($G55="H (Apprentice under 25)",'Input Data'!$BG$7,'Input Data'!$BG$8))-'Input Data'!$BG$5),0)*VLOOKUP($G55,'Input Data'!$BI$3:$BL$10,3,FALSE),MAX((AG55-IF(OR($G55="M (under 21)",$G55="Z (under 21 - deferment)"),'Input Data'!$BG$6,IF($G55="H (Apprentice under 25)",'Input Data'!$BG$7,'Input Data'!$BG$8))),0)*VLOOKUP($G55,'Input Data'!$BI$3:$BL$10,4,FALSE))))</f>
        <v>0</v>
      </c>
      <c r="AP55" s="56">
        <f>IF($G55="",0,IF(NOT(OR($G55="A - All employees not in groups B, C, J, H, M or Z",$G55="B - Married women and widows entitled to reduced NI",$G55="C - Over the State Pension age",$G55="H - Apprentice under 25",$G55="J – Deferment",$G55="M - Under 21",$G55="Z - Deferment (Under 21)",$G55="Please Enter The NI Cont. in ££££")),$G55,SUM(MAX(MIN(AH55-'Input Data'!$BG$3,'Input Data'!$BG$5-'Input Data'!$BG$3),0)*VLOOKUP($G55,'Input Data'!$BI$3:$BL$10,2,FALSE),MAX(MIN(AH55-'Input Data'!$BG$5,IF(OR($G55="M (under 21)",$G55="Z (under 21 - deferment)"),'Input Data'!$BG$6,IF($G55="H (Apprentice under 25)",'Input Data'!$BG$7,'Input Data'!$BG$8))-'Input Data'!$BG$5),0)*VLOOKUP($G55,'Input Data'!$BI$3:$BL$10,3,FALSE),MAX((AH55-IF(OR($G55="M (under 21)",$G55="Z (under 21 - deferment)"),'Input Data'!$BG$6,IF($G55="H (Apprentice under 25)",'Input Data'!$BG$7,'Input Data'!$BG$8))),0)*VLOOKUP($G55,'Input Data'!$BI$3:$BL$10,4,FALSE))))</f>
        <v>0</v>
      </c>
      <c r="AQ55" s="56">
        <f>IF($G55="",0,IF(NOT(OR($G55="A - All employees not in groups B, C, J, H, M or Z",$G55="B - Married women and widows entitled to reduced NI",$G55="C - Over the State Pension age",$G55="H - Apprentice under 25",$G55="J – Deferment",$G55="M - Under 21",$G55="Z - Deferment (Under 21)",$G55="Please Enter The NI Cont. in ££££")),$G55,SUM(MAX(MIN(AI55-'Input Data'!$BG$3,'Input Data'!$BG$5-'Input Data'!$BG$3),0)*VLOOKUP($G55,'Input Data'!$BI$3:$BL$10,2,FALSE),MAX(MIN(AI55-'Input Data'!$BG$5,IF(OR($G55="M (under 21)",$G55="Z (under 21 - deferment)"),'Input Data'!$BG$6,IF($G55="H (Apprentice under 25)",'Input Data'!$BG$7,'Input Data'!$BG$8))-'Input Data'!$BG$5),0)*VLOOKUP($G55,'Input Data'!$BI$3:$BL$10,3,FALSE),MAX((AI55-IF(OR($G55="M (under 21)",$G55="Z (under 21 - deferment)"),'Input Data'!$BG$6,IF($G55="H (Apprentice under 25)",'Input Data'!$BG$7,'Input Data'!$BG$8))),0)*VLOOKUP($G55,'Input Data'!$BI$3:$BL$10,4,FALSE))))</f>
        <v>0</v>
      </c>
      <c r="AR55" s="56">
        <f>IF($G55="",0,IF(NOT(OR($G55="A - All employees not in groups B, C, J, H, M or Z",$G55="B - Married women and widows entitled to reduced NI",$G55="C - Over the State Pension age",$G55="H - Apprentice under 25",$G55="J – Deferment",$G55="M - Under 21",$G55="Z - Deferment (Under 21)",$G55="Please Enter The NI Cont. in ££££")),$G55,SUM(MAX(MIN(AJ55-'Input Data'!$BG$3,'Input Data'!$BG$5-'Input Data'!$BG$3),0)*VLOOKUP($G55,'Input Data'!$BI$3:$BL$10,2,FALSE),MAX(MIN(AJ55-'Input Data'!$BG$5,IF(OR($G55="M (under 21)",$G55="Z (under 21 - deferment)"),'Input Data'!$BG$6,IF($G55="H (Apprentice under 25)",'Input Data'!$BG$7,'Input Data'!$BG$8))-'Input Data'!$BG$5),0)*VLOOKUP($G55,'Input Data'!$BI$3:$BL$10,3,FALSE),MAX((AJ55-IF(OR($G55="M (under 21)",$G55="Z (under 21 - deferment)"),'Input Data'!$BG$6,IF($G55="H (Apprentice under 25)",'Input Data'!$BG$7,'Input Data'!$BG$8))),0)*VLOOKUP($G55,'Input Data'!$BI$3:$BL$10,4,FALSE))))</f>
        <v>0</v>
      </c>
      <c r="AS55" s="56">
        <f>AC55*$F55</f>
        <v>0</v>
      </c>
      <c r="AT55" s="56">
        <f>AD55*$F55</f>
        <v>0</v>
      </c>
      <c r="AU55" s="56">
        <f>AE55*$F55</f>
        <v>0</v>
      </c>
      <c r="AV55" s="56">
        <f>AF55*$F55</f>
        <v>0</v>
      </c>
      <c r="AW55" s="56">
        <f>AG55*$F55</f>
        <v>0</v>
      </c>
      <c r="AX55" s="56">
        <f>AH55*$F55</f>
        <v>0</v>
      </c>
      <c r="AY55" s="56">
        <f>AI55*$F55</f>
        <v>0</v>
      </c>
      <c r="AZ55" s="56">
        <f>AJ55*$F55</f>
        <v>0</v>
      </c>
    </row>
    <row r="56" spans="2:52" ht="25.5">
      <c r="B56" s="60"/>
      <c r="C56" s="57" t="s">
        <v>90</v>
      </c>
      <c r="D56" s="58"/>
      <c r="E56" s="58"/>
      <c r="F56" s="535"/>
      <c r="G56" s="693" t="s">
        <v>1149</v>
      </c>
      <c r="H56" s="65"/>
      <c r="I56" s="65"/>
      <c r="J56" s="65"/>
      <c r="K56" s="65"/>
      <c r="L56" s="65"/>
      <c r="M56" s="65"/>
      <c r="N56" s="65"/>
      <c r="O56" s="65"/>
      <c r="P56" s="29"/>
      <c r="Q56" s="597"/>
      <c r="R56" s="61"/>
      <c r="T56" s="43">
        <f>SUM(AC56,AK56,AS56)</f>
        <v>0</v>
      </c>
      <c r="U56" s="43">
        <f>SUM(AD56,AL56,AT56)</f>
        <v>0</v>
      </c>
      <c r="V56" s="43">
        <f>SUM(AE56,AM56,AU56)</f>
        <v>0</v>
      </c>
      <c r="W56" s="43">
        <f>SUM(AF56,AN56,AV56)</f>
        <v>0</v>
      </c>
      <c r="X56" s="43">
        <f>SUM(AG56,AO56,AW56)</f>
        <v>0</v>
      </c>
      <c r="Y56" s="43">
        <f>SUM(AH56,AP56,AX56)</f>
        <v>0</v>
      </c>
      <c r="Z56" s="43">
        <f>SUM(AI56,AQ56,AY56)</f>
        <v>0</v>
      </c>
      <c r="AA56" s="43">
        <f>SUM(AJ56,AR56,AZ56)</f>
        <v>0</v>
      </c>
      <c r="AC56" s="631">
        <f>SUM($D56:$E56)*H56</f>
        <v>0</v>
      </c>
      <c r="AD56" s="631">
        <f>SUM($D56:$E56)*I56</f>
        <v>0</v>
      </c>
      <c r="AE56" s="631">
        <f>SUM($D56:$E56)*J56</f>
        <v>0</v>
      </c>
      <c r="AF56" s="631">
        <f>SUM($D56:$E56)*K56</f>
        <v>0</v>
      </c>
      <c r="AG56" s="631">
        <f>SUM($D56:$E56)*L56</f>
        <v>0</v>
      </c>
      <c r="AH56" s="631">
        <f>SUM($D56:$E56)*M56</f>
        <v>0</v>
      </c>
      <c r="AI56" s="631">
        <f>SUM($D56:$E56)*N56</f>
        <v>0</v>
      </c>
      <c r="AJ56" s="631">
        <f>SUM($D56:$E56)*O56</f>
        <v>0</v>
      </c>
      <c r="AK56" s="56">
        <f>IF($G56="",0,IF(NOT(OR($G56="A - All employees not in groups B, C, J, H, M or Z",$G56="B - Married women and widows entitled to reduced NI",$G56="C - Over the State Pension age",$G56="H - Apprentice under 25",$G56="J – Deferment",$G56="M - Under 21",$G56="Z - Deferment (Under 21)",$G56="Please Enter The NI Cont. in ££££")),$G56,SUM(MAX(MIN(AC56-'Input Data'!$BG$3,'Input Data'!$BG$5-'Input Data'!$BG$3),0)*VLOOKUP($G56,'Input Data'!$BI$3:$BL$10,2,FALSE),MAX(MIN(AC56-'Input Data'!$BG$5,IF(OR($G56="M (under 21)",$G56="Z (under 21 - deferment)"),'Input Data'!$BG$6,IF($G56="H (Apprentice under 25)",'Input Data'!$BG$7,'Input Data'!$BG$8))-'Input Data'!$BG$5),0)*VLOOKUP($G56,'Input Data'!$BI$3:$BL$10,3,FALSE),MAX((AC56-IF(OR($G56="M (under 21)",$G56="Z (under 21 - deferment)"),'Input Data'!$BG$6,IF($G56="H (Apprentice under 25)",'Input Data'!$BG$7,'Input Data'!$BG$8))),0)*VLOOKUP($G56,'Input Data'!$BI$3:$BL$10,4,FALSE))))</f>
        <v>0</v>
      </c>
      <c r="AL56" s="56">
        <f>IF($G56="",0,IF(NOT(OR($G56="A - All employees not in groups B, C, J, H, M or Z",$G56="B - Married women and widows entitled to reduced NI",$G56="C - Over the State Pension age",$G56="H - Apprentice under 25",$G56="J – Deferment",$G56="M - Under 21",$G56="Z - Deferment (Under 21)",$G56="Please Enter The NI Cont. in ££££")),$G56,SUM(MAX(MIN(AD56-'Input Data'!$BG$3,'Input Data'!$BG$5-'Input Data'!$BG$3),0)*VLOOKUP($G56,'Input Data'!$BI$3:$BL$10,2,FALSE),MAX(MIN(AD56-'Input Data'!$BG$5,IF(OR($G56="M (under 21)",$G56="Z (under 21 - deferment)"),'Input Data'!$BG$6,IF($G56="H (Apprentice under 25)",'Input Data'!$BG$7,'Input Data'!$BG$8))-'Input Data'!$BG$5),0)*VLOOKUP($G56,'Input Data'!$BI$3:$BL$10,3,FALSE),MAX((AD56-IF(OR($G56="M (under 21)",$G56="Z (under 21 - deferment)"),'Input Data'!$BG$6,IF($G56="H (Apprentice under 25)",'Input Data'!$BG$7,'Input Data'!$BG$8))),0)*VLOOKUP($G56,'Input Data'!$BI$3:$BL$10,4,FALSE))))</f>
        <v>0</v>
      </c>
      <c r="AM56" s="56">
        <f>IF($G56="",0,IF(NOT(OR($G56="A - All employees not in groups B, C, J, H, M or Z",$G56="B - Married women and widows entitled to reduced NI",$G56="C - Over the State Pension age",$G56="H - Apprentice under 25",$G56="J – Deferment",$G56="M - Under 21",$G56="Z - Deferment (Under 21)",$G56="Please Enter The NI Cont. in ££££")),$G56,SUM(MAX(MIN(AE56-'Input Data'!$BG$3,'Input Data'!$BG$5-'Input Data'!$BG$3),0)*VLOOKUP($G56,'Input Data'!$BI$3:$BL$10,2,FALSE),MAX(MIN(AE56-'Input Data'!$BG$5,IF(OR($G56="M (under 21)",$G56="Z (under 21 - deferment)"),'Input Data'!$BG$6,IF($G56="H (Apprentice under 25)",'Input Data'!$BG$7,'Input Data'!$BG$8))-'Input Data'!$BG$5),0)*VLOOKUP($G56,'Input Data'!$BI$3:$BL$10,3,FALSE),MAX((AE56-IF(OR($G56="M (under 21)",$G56="Z (under 21 - deferment)"),'Input Data'!$BG$6,IF($G56="H (Apprentice under 25)",'Input Data'!$BG$7,'Input Data'!$BG$8))),0)*VLOOKUP($G56,'Input Data'!$BI$3:$BL$10,4,FALSE))))</f>
        <v>0</v>
      </c>
      <c r="AN56" s="56">
        <f>IF($G56="",0,IF(NOT(OR($G56="A - All employees not in groups B, C, J, H, M or Z",$G56="B - Married women and widows entitled to reduced NI",$G56="C - Over the State Pension age",$G56="H - Apprentice under 25",$G56="J – Deferment",$G56="M - Under 21",$G56="Z - Deferment (Under 21)",$G56="Please Enter The NI Cont. in ££££")),$G56,SUM(MAX(MIN(AF56-'Input Data'!$BG$3,'Input Data'!$BG$5-'Input Data'!$BG$3),0)*VLOOKUP($G56,'Input Data'!$BI$3:$BL$10,2,FALSE),MAX(MIN(AF56-'Input Data'!$BG$5,IF(OR($G56="M (under 21)",$G56="Z (under 21 - deferment)"),'Input Data'!$BG$6,IF($G56="H (Apprentice under 25)",'Input Data'!$BG$7,'Input Data'!$BG$8))-'Input Data'!$BG$5),0)*VLOOKUP($G56,'Input Data'!$BI$3:$BL$10,3,FALSE),MAX((AF56-IF(OR($G56="M (under 21)",$G56="Z (under 21 - deferment)"),'Input Data'!$BG$6,IF($G56="H (Apprentice under 25)",'Input Data'!$BG$7,'Input Data'!$BG$8))),0)*VLOOKUP($G56,'Input Data'!$BI$3:$BL$10,4,FALSE))))</f>
        <v>0</v>
      </c>
      <c r="AO56" s="56">
        <f>IF($G56="",0,IF(NOT(OR($G56="A - All employees not in groups B, C, J, H, M or Z",$G56="B - Married women and widows entitled to reduced NI",$G56="C - Over the State Pension age",$G56="H - Apprentice under 25",$G56="J – Deferment",$G56="M - Under 21",$G56="Z - Deferment (Under 21)",$G56="Please Enter The NI Cont. in ££££")),$G56,SUM(MAX(MIN(AG56-'Input Data'!$BG$3,'Input Data'!$BG$5-'Input Data'!$BG$3),0)*VLOOKUP($G56,'Input Data'!$BI$3:$BL$10,2,FALSE),MAX(MIN(AG56-'Input Data'!$BG$5,IF(OR($G56="M (under 21)",$G56="Z (under 21 - deferment)"),'Input Data'!$BG$6,IF($G56="H (Apprentice under 25)",'Input Data'!$BG$7,'Input Data'!$BG$8))-'Input Data'!$BG$5),0)*VLOOKUP($G56,'Input Data'!$BI$3:$BL$10,3,FALSE),MAX((AG56-IF(OR($G56="M (under 21)",$G56="Z (under 21 - deferment)"),'Input Data'!$BG$6,IF($G56="H (Apprentice under 25)",'Input Data'!$BG$7,'Input Data'!$BG$8))),0)*VLOOKUP($G56,'Input Data'!$BI$3:$BL$10,4,FALSE))))</f>
        <v>0</v>
      </c>
      <c r="AP56" s="56">
        <f>IF($G56="",0,IF(NOT(OR($G56="A - All employees not in groups B, C, J, H, M or Z",$G56="B - Married women and widows entitled to reduced NI",$G56="C - Over the State Pension age",$G56="H - Apprentice under 25",$G56="J – Deferment",$G56="M - Under 21",$G56="Z - Deferment (Under 21)",$G56="Please Enter The NI Cont. in ££££")),$G56,SUM(MAX(MIN(AH56-'Input Data'!$BG$3,'Input Data'!$BG$5-'Input Data'!$BG$3),0)*VLOOKUP($G56,'Input Data'!$BI$3:$BL$10,2,FALSE),MAX(MIN(AH56-'Input Data'!$BG$5,IF(OR($G56="M (under 21)",$G56="Z (under 21 - deferment)"),'Input Data'!$BG$6,IF($G56="H (Apprentice under 25)",'Input Data'!$BG$7,'Input Data'!$BG$8))-'Input Data'!$BG$5),0)*VLOOKUP($G56,'Input Data'!$BI$3:$BL$10,3,FALSE),MAX((AH56-IF(OR($G56="M (under 21)",$G56="Z (under 21 - deferment)"),'Input Data'!$BG$6,IF($G56="H (Apprentice under 25)",'Input Data'!$BG$7,'Input Data'!$BG$8))),0)*VLOOKUP($G56,'Input Data'!$BI$3:$BL$10,4,FALSE))))</f>
        <v>0</v>
      </c>
      <c r="AQ56" s="56">
        <f>IF($G56="",0,IF(NOT(OR($G56="A - All employees not in groups B, C, J, H, M or Z",$G56="B - Married women and widows entitled to reduced NI",$G56="C - Over the State Pension age",$G56="H - Apprentice under 25",$G56="J – Deferment",$G56="M - Under 21",$G56="Z - Deferment (Under 21)",$G56="Please Enter The NI Cont. in ££££")),$G56,SUM(MAX(MIN(AI56-'Input Data'!$BG$3,'Input Data'!$BG$5-'Input Data'!$BG$3),0)*VLOOKUP($G56,'Input Data'!$BI$3:$BL$10,2,FALSE),MAX(MIN(AI56-'Input Data'!$BG$5,IF(OR($G56="M (under 21)",$G56="Z (under 21 - deferment)"),'Input Data'!$BG$6,IF($G56="H (Apprentice under 25)",'Input Data'!$BG$7,'Input Data'!$BG$8))-'Input Data'!$BG$5),0)*VLOOKUP($G56,'Input Data'!$BI$3:$BL$10,3,FALSE),MAX((AI56-IF(OR($G56="M (under 21)",$G56="Z (under 21 - deferment)"),'Input Data'!$BG$6,IF($G56="H (Apprentice under 25)",'Input Data'!$BG$7,'Input Data'!$BG$8))),0)*VLOOKUP($G56,'Input Data'!$BI$3:$BL$10,4,FALSE))))</f>
        <v>0</v>
      </c>
      <c r="AR56" s="56">
        <f>IF($G56="",0,IF(NOT(OR($G56="A - All employees not in groups B, C, J, H, M or Z",$G56="B - Married women and widows entitled to reduced NI",$G56="C - Over the State Pension age",$G56="H - Apprentice under 25",$G56="J – Deferment",$G56="M - Under 21",$G56="Z - Deferment (Under 21)",$G56="Please Enter The NI Cont. in ££££")),$G56,SUM(MAX(MIN(AJ56-'Input Data'!$BG$3,'Input Data'!$BG$5-'Input Data'!$BG$3),0)*VLOOKUP($G56,'Input Data'!$BI$3:$BL$10,2,FALSE),MAX(MIN(AJ56-'Input Data'!$BG$5,IF(OR($G56="M (under 21)",$G56="Z (under 21 - deferment)"),'Input Data'!$BG$6,IF($G56="H (Apprentice under 25)",'Input Data'!$BG$7,'Input Data'!$BG$8))-'Input Data'!$BG$5),0)*VLOOKUP($G56,'Input Data'!$BI$3:$BL$10,3,FALSE),MAX((AJ56-IF(OR($G56="M (under 21)",$G56="Z (under 21 - deferment)"),'Input Data'!$BG$6,IF($G56="H (Apprentice under 25)",'Input Data'!$BG$7,'Input Data'!$BG$8))),0)*VLOOKUP($G56,'Input Data'!$BI$3:$BL$10,4,FALSE))))</f>
        <v>0</v>
      </c>
      <c r="AS56" s="56">
        <f>AC56*$F56</f>
        <v>0</v>
      </c>
      <c r="AT56" s="56">
        <f>AD56*$F56</f>
        <v>0</v>
      </c>
      <c r="AU56" s="56">
        <f>AE56*$F56</f>
        <v>0</v>
      </c>
      <c r="AV56" s="56">
        <f>AF56*$F56</f>
        <v>0</v>
      </c>
      <c r="AW56" s="56">
        <f>AG56*$F56</f>
        <v>0</v>
      </c>
      <c r="AX56" s="56">
        <f>AH56*$F56</f>
        <v>0</v>
      </c>
      <c r="AY56" s="56">
        <f>AI56*$F56</f>
        <v>0</v>
      </c>
      <c r="AZ56" s="56">
        <f>AJ56*$F56</f>
        <v>0</v>
      </c>
    </row>
    <row r="57" spans="2:52" ht="25.5">
      <c r="B57" s="60"/>
      <c r="C57" s="57" t="s">
        <v>91</v>
      </c>
      <c r="D57" s="58"/>
      <c r="E57" s="58"/>
      <c r="F57" s="535"/>
      <c r="G57" s="693" t="s">
        <v>1149</v>
      </c>
      <c r="H57" s="65"/>
      <c r="I57" s="65"/>
      <c r="J57" s="65"/>
      <c r="K57" s="65"/>
      <c r="L57" s="65"/>
      <c r="M57" s="65"/>
      <c r="N57" s="65"/>
      <c r="O57" s="65"/>
      <c r="P57" s="29"/>
      <c r="Q57" s="597"/>
      <c r="R57" s="61"/>
      <c r="T57" s="43">
        <f>SUM(AC57,AK57,AS57)</f>
        <v>0</v>
      </c>
      <c r="U57" s="43">
        <f>SUM(AD57,AL57,AT57)</f>
        <v>0</v>
      </c>
      <c r="V57" s="43">
        <f>SUM(AE57,AM57,AU57)</f>
        <v>0</v>
      </c>
      <c r="W57" s="43">
        <f>SUM(AF57,AN57,AV57)</f>
        <v>0</v>
      </c>
      <c r="X57" s="43">
        <f>SUM(AG57,AO57,AW57)</f>
        <v>0</v>
      </c>
      <c r="Y57" s="43">
        <f>SUM(AH57,AP57,AX57)</f>
        <v>0</v>
      </c>
      <c r="Z57" s="43">
        <f>SUM(AI57,AQ57,AY57)</f>
        <v>0</v>
      </c>
      <c r="AA57" s="43">
        <f>SUM(AJ57,AR57,AZ57)</f>
        <v>0</v>
      </c>
      <c r="AC57" s="631">
        <f>SUM($D57:$E57)*H57</f>
        <v>0</v>
      </c>
      <c r="AD57" s="631">
        <f>SUM($D57:$E57)*I57</f>
        <v>0</v>
      </c>
      <c r="AE57" s="631">
        <f>SUM($D57:$E57)*J57</f>
        <v>0</v>
      </c>
      <c r="AF57" s="631">
        <f>SUM($D57:$E57)*K57</f>
        <v>0</v>
      </c>
      <c r="AG57" s="631">
        <f>SUM($D57:$E57)*L57</f>
        <v>0</v>
      </c>
      <c r="AH57" s="631">
        <f>SUM($D57:$E57)*M57</f>
        <v>0</v>
      </c>
      <c r="AI57" s="631">
        <f>SUM($D57:$E57)*N57</f>
        <v>0</v>
      </c>
      <c r="AJ57" s="631">
        <f>SUM($D57:$E57)*O57</f>
        <v>0</v>
      </c>
      <c r="AK57" s="56">
        <f>IF($G57="",0,IF(NOT(OR($G57="A - All employees not in groups B, C, J, H, M or Z",$G57="B - Married women and widows entitled to reduced NI",$G57="C - Over the State Pension age",$G57="H - Apprentice under 25",$G57="J – Deferment",$G57="M - Under 21",$G57="Z - Deferment (Under 21)",$G57="Please Enter The NI Cont. in ££££")),$G57,SUM(MAX(MIN(AC57-'Input Data'!$BG$3,'Input Data'!$BG$5-'Input Data'!$BG$3),0)*VLOOKUP($G57,'Input Data'!$BI$3:$BL$10,2,FALSE),MAX(MIN(AC57-'Input Data'!$BG$5,IF(OR($G57="M (under 21)",$G57="Z (under 21 - deferment)"),'Input Data'!$BG$6,IF($G57="H (Apprentice under 25)",'Input Data'!$BG$7,'Input Data'!$BG$8))-'Input Data'!$BG$5),0)*VLOOKUP($G57,'Input Data'!$BI$3:$BL$10,3,FALSE),MAX((AC57-IF(OR($G57="M (under 21)",$G57="Z (under 21 - deferment)"),'Input Data'!$BG$6,IF($G57="H (Apprentice under 25)",'Input Data'!$BG$7,'Input Data'!$BG$8))),0)*VLOOKUP($G57,'Input Data'!$BI$3:$BL$10,4,FALSE))))</f>
        <v>0</v>
      </c>
      <c r="AL57" s="56">
        <f>IF($G57="",0,IF(NOT(OR($G57="A - All employees not in groups B, C, J, H, M or Z",$G57="B - Married women and widows entitled to reduced NI",$G57="C - Over the State Pension age",$G57="H - Apprentice under 25",$G57="J – Deferment",$G57="M - Under 21",$G57="Z - Deferment (Under 21)",$G57="Please Enter The NI Cont. in ££££")),$G57,SUM(MAX(MIN(AD57-'Input Data'!$BG$3,'Input Data'!$BG$5-'Input Data'!$BG$3),0)*VLOOKUP($G57,'Input Data'!$BI$3:$BL$10,2,FALSE),MAX(MIN(AD57-'Input Data'!$BG$5,IF(OR($G57="M (under 21)",$G57="Z (under 21 - deferment)"),'Input Data'!$BG$6,IF($G57="H (Apprentice under 25)",'Input Data'!$BG$7,'Input Data'!$BG$8))-'Input Data'!$BG$5),0)*VLOOKUP($G57,'Input Data'!$BI$3:$BL$10,3,FALSE),MAX((AD57-IF(OR($G57="M (under 21)",$G57="Z (under 21 - deferment)"),'Input Data'!$BG$6,IF($G57="H (Apprentice under 25)",'Input Data'!$BG$7,'Input Data'!$BG$8))),0)*VLOOKUP($G57,'Input Data'!$BI$3:$BL$10,4,FALSE))))</f>
        <v>0</v>
      </c>
      <c r="AM57" s="56">
        <f>IF($G57="",0,IF(NOT(OR($G57="A - All employees not in groups B, C, J, H, M or Z",$G57="B - Married women and widows entitled to reduced NI",$G57="C - Over the State Pension age",$G57="H - Apprentice under 25",$G57="J – Deferment",$G57="M - Under 21",$G57="Z - Deferment (Under 21)",$G57="Please Enter The NI Cont. in ££££")),$G57,SUM(MAX(MIN(AE57-'Input Data'!$BG$3,'Input Data'!$BG$5-'Input Data'!$BG$3),0)*VLOOKUP($G57,'Input Data'!$BI$3:$BL$10,2,FALSE),MAX(MIN(AE57-'Input Data'!$BG$5,IF(OR($G57="M (under 21)",$G57="Z (under 21 - deferment)"),'Input Data'!$BG$6,IF($G57="H (Apprentice under 25)",'Input Data'!$BG$7,'Input Data'!$BG$8))-'Input Data'!$BG$5),0)*VLOOKUP($G57,'Input Data'!$BI$3:$BL$10,3,FALSE),MAX((AE57-IF(OR($G57="M (under 21)",$G57="Z (under 21 - deferment)"),'Input Data'!$BG$6,IF($G57="H (Apprentice under 25)",'Input Data'!$BG$7,'Input Data'!$BG$8))),0)*VLOOKUP($G57,'Input Data'!$BI$3:$BL$10,4,FALSE))))</f>
        <v>0</v>
      </c>
      <c r="AN57" s="56">
        <f>IF($G57="",0,IF(NOT(OR($G57="A - All employees not in groups B, C, J, H, M or Z",$G57="B - Married women and widows entitled to reduced NI",$G57="C - Over the State Pension age",$G57="H - Apprentice under 25",$G57="J – Deferment",$G57="M - Under 21",$G57="Z - Deferment (Under 21)",$G57="Please Enter The NI Cont. in ££££")),$G57,SUM(MAX(MIN(AF57-'Input Data'!$BG$3,'Input Data'!$BG$5-'Input Data'!$BG$3),0)*VLOOKUP($G57,'Input Data'!$BI$3:$BL$10,2,FALSE),MAX(MIN(AF57-'Input Data'!$BG$5,IF(OR($G57="M (under 21)",$G57="Z (under 21 - deferment)"),'Input Data'!$BG$6,IF($G57="H (Apprentice under 25)",'Input Data'!$BG$7,'Input Data'!$BG$8))-'Input Data'!$BG$5),0)*VLOOKUP($G57,'Input Data'!$BI$3:$BL$10,3,FALSE),MAX((AF57-IF(OR($G57="M (under 21)",$G57="Z (under 21 - deferment)"),'Input Data'!$BG$6,IF($G57="H (Apprentice under 25)",'Input Data'!$BG$7,'Input Data'!$BG$8))),0)*VLOOKUP($G57,'Input Data'!$BI$3:$BL$10,4,FALSE))))</f>
        <v>0</v>
      </c>
      <c r="AO57" s="56">
        <f>IF($G57="",0,IF(NOT(OR($G57="A - All employees not in groups B, C, J, H, M or Z",$G57="B - Married women and widows entitled to reduced NI",$G57="C - Over the State Pension age",$G57="H - Apprentice under 25",$G57="J – Deferment",$G57="M - Under 21",$G57="Z - Deferment (Under 21)",$G57="Please Enter The NI Cont. in ££££")),$G57,SUM(MAX(MIN(AG57-'Input Data'!$BG$3,'Input Data'!$BG$5-'Input Data'!$BG$3),0)*VLOOKUP($G57,'Input Data'!$BI$3:$BL$10,2,FALSE),MAX(MIN(AG57-'Input Data'!$BG$5,IF(OR($G57="M (under 21)",$G57="Z (under 21 - deferment)"),'Input Data'!$BG$6,IF($G57="H (Apprentice under 25)",'Input Data'!$BG$7,'Input Data'!$BG$8))-'Input Data'!$BG$5),0)*VLOOKUP($G57,'Input Data'!$BI$3:$BL$10,3,FALSE),MAX((AG57-IF(OR($G57="M (under 21)",$G57="Z (under 21 - deferment)"),'Input Data'!$BG$6,IF($G57="H (Apprentice under 25)",'Input Data'!$BG$7,'Input Data'!$BG$8))),0)*VLOOKUP($G57,'Input Data'!$BI$3:$BL$10,4,FALSE))))</f>
        <v>0</v>
      </c>
      <c r="AP57" s="56">
        <f>IF($G57="",0,IF(NOT(OR($G57="A - All employees not in groups B, C, J, H, M or Z",$G57="B - Married women and widows entitled to reduced NI",$G57="C - Over the State Pension age",$G57="H - Apprentice under 25",$G57="J – Deferment",$G57="M - Under 21",$G57="Z - Deferment (Under 21)",$G57="Please Enter The NI Cont. in ££££")),$G57,SUM(MAX(MIN(AH57-'Input Data'!$BG$3,'Input Data'!$BG$5-'Input Data'!$BG$3),0)*VLOOKUP($G57,'Input Data'!$BI$3:$BL$10,2,FALSE),MAX(MIN(AH57-'Input Data'!$BG$5,IF(OR($G57="M (under 21)",$G57="Z (under 21 - deferment)"),'Input Data'!$BG$6,IF($G57="H (Apprentice under 25)",'Input Data'!$BG$7,'Input Data'!$BG$8))-'Input Data'!$BG$5),0)*VLOOKUP($G57,'Input Data'!$BI$3:$BL$10,3,FALSE),MAX((AH57-IF(OR($G57="M (under 21)",$G57="Z (under 21 - deferment)"),'Input Data'!$BG$6,IF($G57="H (Apprentice under 25)",'Input Data'!$BG$7,'Input Data'!$BG$8))),0)*VLOOKUP($G57,'Input Data'!$BI$3:$BL$10,4,FALSE))))</f>
        <v>0</v>
      </c>
      <c r="AQ57" s="56">
        <f>IF($G57="",0,IF(NOT(OR($G57="A - All employees not in groups B, C, J, H, M or Z",$G57="B - Married women and widows entitled to reduced NI",$G57="C - Over the State Pension age",$G57="H - Apprentice under 25",$G57="J – Deferment",$G57="M - Under 21",$G57="Z - Deferment (Under 21)",$G57="Please Enter The NI Cont. in ££££")),$G57,SUM(MAX(MIN(AI57-'Input Data'!$BG$3,'Input Data'!$BG$5-'Input Data'!$BG$3),0)*VLOOKUP($G57,'Input Data'!$BI$3:$BL$10,2,FALSE),MAX(MIN(AI57-'Input Data'!$BG$5,IF(OR($G57="M (under 21)",$G57="Z (under 21 - deferment)"),'Input Data'!$BG$6,IF($G57="H (Apprentice under 25)",'Input Data'!$BG$7,'Input Data'!$BG$8))-'Input Data'!$BG$5),0)*VLOOKUP($G57,'Input Data'!$BI$3:$BL$10,3,FALSE),MAX((AI57-IF(OR($G57="M (under 21)",$G57="Z (under 21 - deferment)"),'Input Data'!$BG$6,IF($G57="H (Apprentice under 25)",'Input Data'!$BG$7,'Input Data'!$BG$8))),0)*VLOOKUP($G57,'Input Data'!$BI$3:$BL$10,4,FALSE))))</f>
        <v>0</v>
      </c>
      <c r="AR57" s="56">
        <f>IF($G57="",0,IF(NOT(OR($G57="A - All employees not in groups B, C, J, H, M or Z",$G57="B - Married women and widows entitled to reduced NI",$G57="C - Over the State Pension age",$G57="H - Apprentice under 25",$G57="J – Deferment",$G57="M - Under 21",$G57="Z - Deferment (Under 21)",$G57="Please Enter The NI Cont. in ££££")),$G57,SUM(MAX(MIN(AJ57-'Input Data'!$BG$3,'Input Data'!$BG$5-'Input Data'!$BG$3),0)*VLOOKUP($G57,'Input Data'!$BI$3:$BL$10,2,FALSE),MAX(MIN(AJ57-'Input Data'!$BG$5,IF(OR($G57="M (under 21)",$G57="Z (under 21 - deferment)"),'Input Data'!$BG$6,IF($G57="H (Apprentice under 25)",'Input Data'!$BG$7,'Input Data'!$BG$8))-'Input Data'!$BG$5),0)*VLOOKUP($G57,'Input Data'!$BI$3:$BL$10,3,FALSE),MAX((AJ57-IF(OR($G57="M (under 21)",$G57="Z (under 21 - deferment)"),'Input Data'!$BG$6,IF($G57="H (Apprentice under 25)",'Input Data'!$BG$7,'Input Data'!$BG$8))),0)*VLOOKUP($G57,'Input Data'!$BI$3:$BL$10,4,FALSE))))</f>
        <v>0</v>
      </c>
      <c r="AS57" s="56">
        <f>AC57*$F57</f>
        <v>0</v>
      </c>
      <c r="AT57" s="56">
        <f>AD57*$F57</f>
        <v>0</v>
      </c>
      <c r="AU57" s="56">
        <f>AE57*$F57</f>
        <v>0</v>
      </c>
      <c r="AV57" s="56">
        <f>AF57*$F57</f>
        <v>0</v>
      </c>
      <c r="AW57" s="56">
        <f>AG57*$F57</f>
        <v>0</v>
      </c>
      <c r="AX57" s="56">
        <f>AH57*$F57</f>
        <v>0</v>
      </c>
      <c r="AY57" s="56">
        <f>AI57*$F57</f>
        <v>0</v>
      </c>
      <c r="AZ57" s="56">
        <f>AJ57*$F57</f>
        <v>0</v>
      </c>
    </row>
    <row r="58" spans="2:52" ht="25.5">
      <c r="B58" s="60"/>
      <c r="C58" s="57" t="s">
        <v>92</v>
      </c>
      <c r="D58" s="58"/>
      <c r="E58" s="58"/>
      <c r="F58" s="535"/>
      <c r="G58" s="693" t="s">
        <v>1149</v>
      </c>
      <c r="H58" s="65"/>
      <c r="I58" s="65"/>
      <c r="J58" s="65"/>
      <c r="K58" s="65"/>
      <c r="L58" s="65"/>
      <c r="M58" s="65"/>
      <c r="N58" s="65"/>
      <c r="O58" s="65"/>
      <c r="P58" s="29"/>
      <c r="Q58" s="597"/>
      <c r="R58" s="61"/>
      <c r="T58" s="43">
        <f>SUM(AC58,AK58,AS58)</f>
        <v>0</v>
      </c>
      <c r="U58" s="43">
        <f>SUM(AD58,AL58,AT58)</f>
        <v>0</v>
      </c>
      <c r="V58" s="43">
        <f>SUM(AE58,AM58,AU58)</f>
        <v>0</v>
      </c>
      <c r="W58" s="43">
        <f>SUM(AF58,AN58,AV58)</f>
        <v>0</v>
      </c>
      <c r="X58" s="43">
        <f>SUM(AG58,AO58,AW58)</f>
        <v>0</v>
      </c>
      <c r="Y58" s="43">
        <f>SUM(AH58,AP58,AX58)</f>
        <v>0</v>
      </c>
      <c r="Z58" s="43">
        <f>SUM(AI58,AQ58,AY58)</f>
        <v>0</v>
      </c>
      <c r="AA58" s="43">
        <f>SUM(AJ58,AR58,AZ58)</f>
        <v>0</v>
      </c>
      <c r="AC58" s="631">
        <f>SUM($D58:$E58)*H58</f>
        <v>0</v>
      </c>
      <c r="AD58" s="631">
        <f>SUM($D58:$E58)*I58</f>
        <v>0</v>
      </c>
      <c r="AE58" s="631">
        <f>SUM($D58:$E58)*J58</f>
        <v>0</v>
      </c>
      <c r="AF58" s="631">
        <f>SUM($D58:$E58)*K58</f>
        <v>0</v>
      </c>
      <c r="AG58" s="631">
        <f>SUM($D58:$E58)*L58</f>
        <v>0</v>
      </c>
      <c r="AH58" s="631">
        <f>SUM($D58:$E58)*M58</f>
        <v>0</v>
      </c>
      <c r="AI58" s="631">
        <f>SUM($D58:$E58)*N58</f>
        <v>0</v>
      </c>
      <c r="AJ58" s="631">
        <f>SUM($D58:$E58)*O58</f>
        <v>0</v>
      </c>
      <c r="AK58" s="56">
        <f>IF($G58="",0,IF(NOT(OR($G58="A - All employees not in groups B, C, J, H, M or Z",$G58="B - Married women and widows entitled to reduced NI",$G58="C - Over the State Pension age",$G58="H - Apprentice under 25",$G58="J – Deferment",$G58="M - Under 21",$G58="Z - Deferment (Under 21)",$G58="Please Enter The NI Cont. in ££££")),$G58,SUM(MAX(MIN(AC58-'Input Data'!$BG$3,'Input Data'!$BG$5-'Input Data'!$BG$3),0)*VLOOKUP($G58,'Input Data'!$BI$3:$BL$10,2,FALSE),MAX(MIN(AC58-'Input Data'!$BG$5,IF(OR($G58="M (under 21)",$G58="Z (under 21 - deferment)"),'Input Data'!$BG$6,IF($G58="H (Apprentice under 25)",'Input Data'!$BG$7,'Input Data'!$BG$8))-'Input Data'!$BG$5),0)*VLOOKUP($G58,'Input Data'!$BI$3:$BL$10,3,FALSE),MAX((AC58-IF(OR($G58="M (under 21)",$G58="Z (under 21 - deferment)"),'Input Data'!$BG$6,IF($G58="H (Apprentice under 25)",'Input Data'!$BG$7,'Input Data'!$BG$8))),0)*VLOOKUP($G58,'Input Data'!$BI$3:$BL$10,4,FALSE))))</f>
        <v>0</v>
      </c>
      <c r="AL58" s="56">
        <f>IF($G58="",0,IF(NOT(OR($G58="A - All employees not in groups B, C, J, H, M or Z",$G58="B - Married women and widows entitled to reduced NI",$G58="C - Over the State Pension age",$G58="H - Apprentice under 25",$G58="J – Deferment",$G58="M - Under 21",$G58="Z - Deferment (Under 21)",$G58="Please Enter The NI Cont. in ££££")),$G58,SUM(MAX(MIN(AD58-'Input Data'!$BG$3,'Input Data'!$BG$5-'Input Data'!$BG$3),0)*VLOOKUP($G58,'Input Data'!$BI$3:$BL$10,2,FALSE),MAX(MIN(AD58-'Input Data'!$BG$5,IF(OR($G58="M (under 21)",$G58="Z (under 21 - deferment)"),'Input Data'!$BG$6,IF($G58="H (Apprentice under 25)",'Input Data'!$BG$7,'Input Data'!$BG$8))-'Input Data'!$BG$5),0)*VLOOKUP($G58,'Input Data'!$BI$3:$BL$10,3,FALSE),MAX((AD58-IF(OR($G58="M (under 21)",$G58="Z (under 21 - deferment)"),'Input Data'!$BG$6,IF($G58="H (Apprentice under 25)",'Input Data'!$BG$7,'Input Data'!$BG$8))),0)*VLOOKUP($G58,'Input Data'!$BI$3:$BL$10,4,FALSE))))</f>
        <v>0</v>
      </c>
      <c r="AM58" s="56">
        <f>IF($G58="",0,IF(NOT(OR($G58="A - All employees not in groups B, C, J, H, M or Z",$G58="B - Married women and widows entitled to reduced NI",$G58="C - Over the State Pension age",$G58="H - Apprentice under 25",$G58="J – Deferment",$G58="M - Under 21",$G58="Z - Deferment (Under 21)",$G58="Please Enter The NI Cont. in ££££")),$G58,SUM(MAX(MIN(AE58-'Input Data'!$BG$3,'Input Data'!$BG$5-'Input Data'!$BG$3),0)*VLOOKUP($G58,'Input Data'!$BI$3:$BL$10,2,FALSE),MAX(MIN(AE58-'Input Data'!$BG$5,IF(OR($G58="M (under 21)",$G58="Z (under 21 - deferment)"),'Input Data'!$BG$6,IF($G58="H (Apprentice under 25)",'Input Data'!$BG$7,'Input Data'!$BG$8))-'Input Data'!$BG$5),0)*VLOOKUP($G58,'Input Data'!$BI$3:$BL$10,3,FALSE),MAX((AE58-IF(OR($G58="M (under 21)",$G58="Z (under 21 - deferment)"),'Input Data'!$BG$6,IF($G58="H (Apprentice under 25)",'Input Data'!$BG$7,'Input Data'!$BG$8))),0)*VLOOKUP($G58,'Input Data'!$BI$3:$BL$10,4,FALSE))))</f>
        <v>0</v>
      </c>
      <c r="AN58" s="56">
        <f>IF($G58="",0,IF(NOT(OR($G58="A - All employees not in groups B, C, J, H, M or Z",$G58="B - Married women and widows entitled to reduced NI",$G58="C - Over the State Pension age",$G58="H - Apprentice under 25",$G58="J – Deferment",$G58="M - Under 21",$G58="Z - Deferment (Under 21)",$G58="Please Enter The NI Cont. in ££££")),$G58,SUM(MAX(MIN(AF58-'Input Data'!$BG$3,'Input Data'!$BG$5-'Input Data'!$BG$3),0)*VLOOKUP($G58,'Input Data'!$BI$3:$BL$10,2,FALSE),MAX(MIN(AF58-'Input Data'!$BG$5,IF(OR($G58="M (under 21)",$G58="Z (under 21 - deferment)"),'Input Data'!$BG$6,IF($G58="H (Apprentice under 25)",'Input Data'!$BG$7,'Input Data'!$BG$8))-'Input Data'!$BG$5),0)*VLOOKUP($G58,'Input Data'!$BI$3:$BL$10,3,FALSE),MAX((AF58-IF(OR($G58="M (under 21)",$G58="Z (under 21 - deferment)"),'Input Data'!$BG$6,IF($G58="H (Apprentice under 25)",'Input Data'!$BG$7,'Input Data'!$BG$8))),0)*VLOOKUP($G58,'Input Data'!$BI$3:$BL$10,4,FALSE))))</f>
        <v>0</v>
      </c>
      <c r="AO58" s="56">
        <f>IF($G58="",0,IF(NOT(OR($G58="A - All employees not in groups B, C, J, H, M or Z",$G58="B - Married women and widows entitled to reduced NI",$G58="C - Over the State Pension age",$G58="H - Apprentice under 25",$G58="J – Deferment",$G58="M - Under 21",$G58="Z - Deferment (Under 21)",$G58="Please Enter The NI Cont. in ££££")),$G58,SUM(MAX(MIN(AG58-'Input Data'!$BG$3,'Input Data'!$BG$5-'Input Data'!$BG$3),0)*VLOOKUP($G58,'Input Data'!$BI$3:$BL$10,2,FALSE),MAX(MIN(AG58-'Input Data'!$BG$5,IF(OR($G58="M (under 21)",$G58="Z (under 21 - deferment)"),'Input Data'!$BG$6,IF($G58="H (Apprentice under 25)",'Input Data'!$BG$7,'Input Data'!$BG$8))-'Input Data'!$BG$5),0)*VLOOKUP($G58,'Input Data'!$BI$3:$BL$10,3,FALSE),MAX((AG58-IF(OR($G58="M (under 21)",$G58="Z (under 21 - deferment)"),'Input Data'!$BG$6,IF($G58="H (Apprentice under 25)",'Input Data'!$BG$7,'Input Data'!$BG$8))),0)*VLOOKUP($G58,'Input Data'!$BI$3:$BL$10,4,FALSE))))</f>
        <v>0</v>
      </c>
      <c r="AP58" s="56">
        <f>IF($G58="",0,IF(NOT(OR($G58="A - All employees not in groups B, C, J, H, M or Z",$G58="B - Married women and widows entitled to reduced NI",$G58="C - Over the State Pension age",$G58="H - Apprentice under 25",$G58="J – Deferment",$G58="M - Under 21",$G58="Z - Deferment (Under 21)",$G58="Please Enter The NI Cont. in ££££")),$G58,SUM(MAX(MIN(AH58-'Input Data'!$BG$3,'Input Data'!$BG$5-'Input Data'!$BG$3),0)*VLOOKUP($G58,'Input Data'!$BI$3:$BL$10,2,FALSE),MAX(MIN(AH58-'Input Data'!$BG$5,IF(OR($G58="M (under 21)",$G58="Z (under 21 - deferment)"),'Input Data'!$BG$6,IF($G58="H (Apprentice under 25)",'Input Data'!$BG$7,'Input Data'!$BG$8))-'Input Data'!$BG$5),0)*VLOOKUP($G58,'Input Data'!$BI$3:$BL$10,3,FALSE),MAX((AH58-IF(OR($G58="M (under 21)",$G58="Z (under 21 - deferment)"),'Input Data'!$BG$6,IF($G58="H (Apprentice under 25)",'Input Data'!$BG$7,'Input Data'!$BG$8))),0)*VLOOKUP($G58,'Input Data'!$BI$3:$BL$10,4,FALSE))))</f>
        <v>0</v>
      </c>
      <c r="AQ58" s="56">
        <f>IF($G58="",0,IF(NOT(OR($G58="A - All employees not in groups B, C, J, H, M or Z",$G58="B - Married women and widows entitled to reduced NI",$G58="C - Over the State Pension age",$G58="H - Apprentice under 25",$G58="J – Deferment",$G58="M - Under 21",$G58="Z - Deferment (Under 21)",$G58="Please Enter The NI Cont. in ££££")),$G58,SUM(MAX(MIN(AI58-'Input Data'!$BG$3,'Input Data'!$BG$5-'Input Data'!$BG$3),0)*VLOOKUP($G58,'Input Data'!$BI$3:$BL$10,2,FALSE),MAX(MIN(AI58-'Input Data'!$BG$5,IF(OR($G58="M (under 21)",$G58="Z (under 21 - deferment)"),'Input Data'!$BG$6,IF($G58="H (Apprentice under 25)",'Input Data'!$BG$7,'Input Data'!$BG$8))-'Input Data'!$BG$5),0)*VLOOKUP($G58,'Input Data'!$BI$3:$BL$10,3,FALSE),MAX((AI58-IF(OR($G58="M (under 21)",$G58="Z (under 21 - deferment)"),'Input Data'!$BG$6,IF($G58="H (Apprentice under 25)",'Input Data'!$BG$7,'Input Data'!$BG$8))),0)*VLOOKUP($G58,'Input Data'!$BI$3:$BL$10,4,FALSE))))</f>
        <v>0</v>
      </c>
      <c r="AR58" s="56">
        <f>IF($G58="",0,IF(NOT(OR($G58="A - All employees not in groups B, C, J, H, M or Z",$G58="B - Married women and widows entitled to reduced NI",$G58="C - Over the State Pension age",$G58="H - Apprentice under 25",$G58="J – Deferment",$G58="M - Under 21",$G58="Z - Deferment (Under 21)",$G58="Please Enter The NI Cont. in ££££")),$G58,SUM(MAX(MIN(AJ58-'Input Data'!$BG$3,'Input Data'!$BG$5-'Input Data'!$BG$3),0)*VLOOKUP($G58,'Input Data'!$BI$3:$BL$10,2,FALSE),MAX(MIN(AJ58-'Input Data'!$BG$5,IF(OR($G58="M (under 21)",$G58="Z (under 21 - deferment)"),'Input Data'!$BG$6,IF($G58="H (Apprentice under 25)",'Input Data'!$BG$7,'Input Data'!$BG$8))-'Input Data'!$BG$5),0)*VLOOKUP($G58,'Input Data'!$BI$3:$BL$10,3,FALSE),MAX((AJ58-IF(OR($G58="M (under 21)",$G58="Z (under 21 - deferment)"),'Input Data'!$BG$6,IF($G58="H (Apprentice under 25)",'Input Data'!$BG$7,'Input Data'!$BG$8))),0)*VLOOKUP($G58,'Input Data'!$BI$3:$BL$10,4,FALSE))))</f>
        <v>0</v>
      </c>
      <c r="AS58" s="56">
        <f>AC58*$F58</f>
        <v>0</v>
      </c>
      <c r="AT58" s="56">
        <f>AD58*$F58</f>
        <v>0</v>
      </c>
      <c r="AU58" s="56">
        <f>AE58*$F58</f>
        <v>0</v>
      </c>
      <c r="AV58" s="56">
        <f>AF58*$F58</f>
        <v>0</v>
      </c>
      <c r="AW58" s="56">
        <f>AG58*$F58</f>
        <v>0</v>
      </c>
      <c r="AX58" s="56">
        <f>AH58*$F58</f>
        <v>0</v>
      </c>
      <c r="AY58" s="56">
        <f>AI58*$F58</f>
        <v>0</v>
      </c>
      <c r="AZ58" s="56">
        <f>AJ58*$F58</f>
        <v>0</v>
      </c>
    </row>
    <row r="59" spans="2:52" ht="25.5">
      <c r="B59" s="60"/>
      <c r="C59" s="57" t="s">
        <v>93</v>
      </c>
      <c r="D59" s="58"/>
      <c r="E59" s="58"/>
      <c r="F59" s="535"/>
      <c r="G59" s="693" t="s">
        <v>1149</v>
      </c>
      <c r="H59" s="65"/>
      <c r="I59" s="65"/>
      <c r="J59" s="65"/>
      <c r="K59" s="65"/>
      <c r="L59" s="65"/>
      <c r="M59" s="65"/>
      <c r="N59" s="65"/>
      <c r="O59" s="65"/>
      <c r="P59" s="29"/>
      <c r="Q59" s="597"/>
      <c r="R59" s="61"/>
      <c r="T59" s="43">
        <f>SUM(AC59,AK59,AS59)</f>
        <v>0</v>
      </c>
      <c r="U59" s="43">
        <f>SUM(AD59,AL59,AT59)</f>
        <v>0</v>
      </c>
      <c r="V59" s="43">
        <f>SUM(AE59,AM59,AU59)</f>
        <v>0</v>
      </c>
      <c r="W59" s="43">
        <f>SUM(AF59,AN59,AV59)</f>
        <v>0</v>
      </c>
      <c r="X59" s="43">
        <f>SUM(AG59,AO59,AW59)</f>
        <v>0</v>
      </c>
      <c r="Y59" s="43">
        <f>SUM(AH59,AP59,AX59)</f>
        <v>0</v>
      </c>
      <c r="Z59" s="43">
        <f>SUM(AI59,AQ59,AY59)</f>
        <v>0</v>
      </c>
      <c r="AA59" s="43">
        <f>SUM(AJ59,AR59,AZ59)</f>
        <v>0</v>
      </c>
      <c r="AC59" s="631">
        <f>SUM($D59:$E59)*H59</f>
        <v>0</v>
      </c>
      <c r="AD59" s="631">
        <f>SUM($D59:$E59)*I59</f>
        <v>0</v>
      </c>
      <c r="AE59" s="631">
        <f>SUM($D59:$E59)*J59</f>
        <v>0</v>
      </c>
      <c r="AF59" s="631">
        <f>SUM($D59:$E59)*K59</f>
        <v>0</v>
      </c>
      <c r="AG59" s="631">
        <f>SUM($D59:$E59)*L59</f>
        <v>0</v>
      </c>
      <c r="AH59" s="631">
        <f>SUM($D59:$E59)*M59</f>
        <v>0</v>
      </c>
      <c r="AI59" s="631">
        <f>SUM($D59:$E59)*N59</f>
        <v>0</v>
      </c>
      <c r="AJ59" s="631">
        <f>SUM($D59:$E59)*O59</f>
        <v>0</v>
      </c>
      <c r="AK59" s="56">
        <f>IF($G59="",0,IF(NOT(OR($G59="A - All employees not in groups B, C, J, H, M or Z",$G59="B - Married women and widows entitled to reduced NI",$G59="C - Over the State Pension age",$G59="H - Apprentice under 25",$G59="J – Deferment",$G59="M - Under 21",$G59="Z - Deferment (Under 21)",$G59="Please Enter The NI Cont. in ££££")),$G59,SUM(MAX(MIN(AC59-'Input Data'!$BG$3,'Input Data'!$BG$5-'Input Data'!$BG$3),0)*VLOOKUP($G59,'Input Data'!$BI$3:$BL$10,2,FALSE),MAX(MIN(AC59-'Input Data'!$BG$5,IF(OR($G59="M (under 21)",$G59="Z (under 21 - deferment)"),'Input Data'!$BG$6,IF($G59="H (Apprentice under 25)",'Input Data'!$BG$7,'Input Data'!$BG$8))-'Input Data'!$BG$5),0)*VLOOKUP($G59,'Input Data'!$BI$3:$BL$10,3,FALSE),MAX((AC59-IF(OR($G59="M (under 21)",$G59="Z (under 21 - deferment)"),'Input Data'!$BG$6,IF($G59="H (Apprentice under 25)",'Input Data'!$BG$7,'Input Data'!$BG$8))),0)*VLOOKUP($G59,'Input Data'!$BI$3:$BL$10,4,FALSE))))</f>
        <v>0</v>
      </c>
      <c r="AL59" s="56">
        <f>IF($G59="",0,IF(NOT(OR($G59="A - All employees not in groups B, C, J, H, M or Z",$G59="B - Married women and widows entitled to reduced NI",$G59="C - Over the State Pension age",$G59="H - Apprentice under 25",$G59="J – Deferment",$G59="M - Under 21",$G59="Z - Deferment (Under 21)",$G59="Please Enter The NI Cont. in ££££")),$G59,SUM(MAX(MIN(AD59-'Input Data'!$BG$3,'Input Data'!$BG$5-'Input Data'!$BG$3),0)*VLOOKUP($G59,'Input Data'!$BI$3:$BL$10,2,FALSE),MAX(MIN(AD59-'Input Data'!$BG$5,IF(OR($G59="M (under 21)",$G59="Z (under 21 - deferment)"),'Input Data'!$BG$6,IF($G59="H (Apprentice under 25)",'Input Data'!$BG$7,'Input Data'!$BG$8))-'Input Data'!$BG$5),0)*VLOOKUP($G59,'Input Data'!$BI$3:$BL$10,3,FALSE),MAX((AD59-IF(OR($G59="M (under 21)",$G59="Z (under 21 - deferment)"),'Input Data'!$BG$6,IF($G59="H (Apprentice under 25)",'Input Data'!$BG$7,'Input Data'!$BG$8))),0)*VLOOKUP($G59,'Input Data'!$BI$3:$BL$10,4,FALSE))))</f>
        <v>0</v>
      </c>
      <c r="AM59" s="56">
        <f>IF($G59="",0,IF(NOT(OR($G59="A - All employees not in groups B, C, J, H, M or Z",$G59="B - Married women and widows entitled to reduced NI",$G59="C - Over the State Pension age",$G59="H - Apprentice under 25",$G59="J – Deferment",$G59="M - Under 21",$G59="Z - Deferment (Under 21)",$G59="Please Enter The NI Cont. in ££££")),$G59,SUM(MAX(MIN(AE59-'Input Data'!$BG$3,'Input Data'!$BG$5-'Input Data'!$BG$3),0)*VLOOKUP($G59,'Input Data'!$BI$3:$BL$10,2,FALSE),MAX(MIN(AE59-'Input Data'!$BG$5,IF(OR($G59="M (under 21)",$G59="Z (under 21 - deferment)"),'Input Data'!$BG$6,IF($G59="H (Apprentice under 25)",'Input Data'!$BG$7,'Input Data'!$BG$8))-'Input Data'!$BG$5),0)*VLOOKUP($G59,'Input Data'!$BI$3:$BL$10,3,FALSE),MAX((AE59-IF(OR($G59="M (under 21)",$G59="Z (under 21 - deferment)"),'Input Data'!$BG$6,IF($G59="H (Apprentice under 25)",'Input Data'!$BG$7,'Input Data'!$BG$8))),0)*VLOOKUP($G59,'Input Data'!$BI$3:$BL$10,4,FALSE))))</f>
        <v>0</v>
      </c>
      <c r="AN59" s="56">
        <f>IF($G59="",0,IF(NOT(OR($G59="A - All employees not in groups B, C, J, H, M or Z",$G59="B - Married women and widows entitled to reduced NI",$G59="C - Over the State Pension age",$G59="H - Apprentice under 25",$G59="J – Deferment",$G59="M - Under 21",$G59="Z - Deferment (Under 21)",$G59="Please Enter The NI Cont. in ££££")),$G59,SUM(MAX(MIN(AF59-'Input Data'!$BG$3,'Input Data'!$BG$5-'Input Data'!$BG$3),0)*VLOOKUP($G59,'Input Data'!$BI$3:$BL$10,2,FALSE),MAX(MIN(AF59-'Input Data'!$BG$5,IF(OR($G59="M (under 21)",$G59="Z (under 21 - deferment)"),'Input Data'!$BG$6,IF($G59="H (Apprentice under 25)",'Input Data'!$BG$7,'Input Data'!$BG$8))-'Input Data'!$BG$5),0)*VLOOKUP($G59,'Input Data'!$BI$3:$BL$10,3,FALSE),MAX((AF59-IF(OR($G59="M (under 21)",$G59="Z (under 21 - deferment)"),'Input Data'!$BG$6,IF($G59="H (Apprentice under 25)",'Input Data'!$BG$7,'Input Data'!$BG$8))),0)*VLOOKUP($G59,'Input Data'!$BI$3:$BL$10,4,FALSE))))</f>
        <v>0</v>
      </c>
      <c r="AO59" s="56">
        <f>IF($G59="",0,IF(NOT(OR($G59="A - All employees not in groups B, C, J, H, M or Z",$G59="B - Married women and widows entitled to reduced NI",$G59="C - Over the State Pension age",$G59="H - Apprentice under 25",$G59="J – Deferment",$G59="M - Under 21",$G59="Z - Deferment (Under 21)",$G59="Please Enter The NI Cont. in ££££")),$G59,SUM(MAX(MIN(AG59-'Input Data'!$BG$3,'Input Data'!$BG$5-'Input Data'!$BG$3),0)*VLOOKUP($G59,'Input Data'!$BI$3:$BL$10,2,FALSE),MAX(MIN(AG59-'Input Data'!$BG$5,IF(OR($G59="M (under 21)",$G59="Z (under 21 - deferment)"),'Input Data'!$BG$6,IF($G59="H (Apprentice under 25)",'Input Data'!$BG$7,'Input Data'!$BG$8))-'Input Data'!$BG$5),0)*VLOOKUP($G59,'Input Data'!$BI$3:$BL$10,3,FALSE),MAX((AG59-IF(OR($G59="M (under 21)",$G59="Z (under 21 - deferment)"),'Input Data'!$BG$6,IF($G59="H (Apprentice under 25)",'Input Data'!$BG$7,'Input Data'!$BG$8))),0)*VLOOKUP($G59,'Input Data'!$BI$3:$BL$10,4,FALSE))))</f>
        <v>0</v>
      </c>
      <c r="AP59" s="56">
        <f>IF($G59="",0,IF(NOT(OR($G59="A - All employees not in groups B, C, J, H, M or Z",$G59="B - Married women and widows entitled to reduced NI",$G59="C - Over the State Pension age",$G59="H - Apprentice under 25",$G59="J – Deferment",$G59="M - Under 21",$G59="Z - Deferment (Under 21)",$G59="Please Enter The NI Cont. in ££££")),$G59,SUM(MAX(MIN(AH59-'Input Data'!$BG$3,'Input Data'!$BG$5-'Input Data'!$BG$3),0)*VLOOKUP($G59,'Input Data'!$BI$3:$BL$10,2,FALSE),MAX(MIN(AH59-'Input Data'!$BG$5,IF(OR($G59="M (under 21)",$G59="Z (under 21 - deferment)"),'Input Data'!$BG$6,IF($G59="H (Apprentice under 25)",'Input Data'!$BG$7,'Input Data'!$BG$8))-'Input Data'!$BG$5),0)*VLOOKUP($G59,'Input Data'!$BI$3:$BL$10,3,FALSE),MAX((AH59-IF(OR($G59="M (under 21)",$G59="Z (under 21 - deferment)"),'Input Data'!$BG$6,IF($G59="H (Apprentice under 25)",'Input Data'!$BG$7,'Input Data'!$BG$8))),0)*VLOOKUP($G59,'Input Data'!$BI$3:$BL$10,4,FALSE))))</f>
        <v>0</v>
      </c>
      <c r="AQ59" s="56">
        <f>IF($G59="",0,IF(NOT(OR($G59="A - All employees not in groups B, C, J, H, M or Z",$G59="B - Married women and widows entitled to reduced NI",$G59="C - Over the State Pension age",$G59="H - Apprentice under 25",$G59="J – Deferment",$G59="M - Under 21",$G59="Z - Deferment (Under 21)",$G59="Please Enter The NI Cont. in ££££")),$G59,SUM(MAX(MIN(AI59-'Input Data'!$BG$3,'Input Data'!$BG$5-'Input Data'!$BG$3),0)*VLOOKUP($G59,'Input Data'!$BI$3:$BL$10,2,FALSE),MAX(MIN(AI59-'Input Data'!$BG$5,IF(OR($G59="M (under 21)",$G59="Z (under 21 - deferment)"),'Input Data'!$BG$6,IF($G59="H (Apprentice under 25)",'Input Data'!$BG$7,'Input Data'!$BG$8))-'Input Data'!$BG$5),0)*VLOOKUP($G59,'Input Data'!$BI$3:$BL$10,3,FALSE),MAX((AI59-IF(OR($G59="M (under 21)",$G59="Z (under 21 - deferment)"),'Input Data'!$BG$6,IF($G59="H (Apprentice under 25)",'Input Data'!$BG$7,'Input Data'!$BG$8))),0)*VLOOKUP($G59,'Input Data'!$BI$3:$BL$10,4,FALSE))))</f>
        <v>0</v>
      </c>
      <c r="AR59" s="56">
        <f>IF($G59="",0,IF(NOT(OR($G59="A - All employees not in groups B, C, J, H, M or Z",$G59="B - Married women and widows entitled to reduced NI",$G59="C - Over the State Pension age",$G59="H - Apprentice under 25",$G59="J – Deferment",$G59="M - Under 21",$G59="Z - Deferment (Under 21)",$G59="Please Enter The NI Cont. in ££££")),$G59,SUM(MAX(MIN(AJ59-'Input Data'!$BG$3,'Input Data'!$BG$5-'Input Data'!$BG$3),0)*VLOOKUP($G59,'Input Data'!$BI$3:$BL$10,2,FALSE),MAX(MIN(AJ59-'Input Data'!$BG$5,IF(OR($G59="M (under 21)",$G59="Z (under 21 - deferment)"),'Input Data'!$BG$6,IF($G59="H (Apprentice under 25)",'Input Data'!$BG$7,'Input Data'!$BG$8))-'Input Data'!$BG$5),0)*VLOOKUP($G59,'Input Data'!$BI$3:$BL$10,3,FALSE),MAX((AJ59-IF(OR($G59="M (under 21)",$G59="Z (under 21 - deferment)"),'Input Data'!$BG$6,IF($G59="H (Apprentice under 25)",'Input Data'!$BG$7,'Input Data'!$BG$8))),0)*VLOOKUP($G59,'Input Data'!$BI$3:$BL$10,4,FALSE))))</f>
        <v>0</v>
      </c>
      <c r="AS59" s="56">
        <f>AC59*$F59</f>
        <v>0</v>
      </c>
      <c r="AT59" s="56">
        <f>AD59*$F59</f>
        <v>0</v>
      </c>
      <c r="AU59" s="56">
        <f>AE59*$F59</f>
        <v>0</v>
      </c>
      <c r="AV59" s="56">
        <f>AF59*$F59</f>
        <v>0</v>
      </c>
      <c r="AW59" s="56">
        <f>AG59*$F59</f>
        <v>0</v>
      </c>
      <c r="AX59" s="56">
        <f>AH59*$F59</f>
        <v>0</v>
      </c>
      <c r="AY59" s="56">
        <f>AI59*$F59</f>
        <v>0</v>
      </c>
      <c r="AZ59" s="56">
        <f>AJ59*$F59</f>
        <v>0</v>
      </c>
    </row>
    <row r="60" spans="2:52" ht="25.5">
      <c r="B60" s="60"/>
      <c r="C60" s="57" t="s">
        <v>94</v>
      </c>
      <c r="D60" s="58"/>
      <c r="E60" s="58"/>
      <c r="F60" s="535"/>
      <c r="G60" s="693" t="s">
        <v>1149</v>
      </c>
      <c r="H60" s="65"/>
      <c r="I60" s="65"/>
      <c r="J60" s="65"/>
      <c r="K60" s="65"/>
      <c r="L60" s="65"/>
      <c r="M60" s="65"/>
      <c r="N60" s="65"/>
      <c r="O60" s="65"/>
      <c r="P60" s="29"/>
      <c r="Q60" s="597"/>
      <c r="R60" s="61"/>
      <c r="T60" s="43">
        <f>SUM(AC60,AK60,AS60)</f>
        <v>0</v>
      </c>
      <c r="U60" s="43">
        <f>SUM(AD60,AL60,AT60)</f>
        <v>0</v>
      </c>
      <c r="V60" s="43">
        <f>SUM(AE60,AM60,AU60)</f>
        <v>0</v>
      </c>
      <c r="W60" s="43">
        <f>SUM(AF60,AN60,AV60)</f>
        <v>0</v>
      </c>
      <c r="X60" s="43">
        <f>SUM(AG60,AO60,AW60)</f>
        <v>0</v>
      </c>
      <c r="Y60" s="43">
        <f>SUM(AH60,AP60,AX60)</f>
        <v>0</v>
      </c>
      <c r="Z60" s="43">
        <f>SUM(AI60,AQ60,AY60)</f>
        <v>0</v>
      </c>
      <c r="AA60" s="43">
        <f>SUM(AJ60,AR60,AZ60)</f>
        <v>0</v>
      </c>
      <c r="AC60" s="631">
        <f>SUM($D60:$E60)*H60</f>
        <v>0</v>
      </c>
      <c r="AD60" s="631">
        <f>SUM($D60:$E60)*I60</f>
        <v>0</v>
      </c>
      <c r="AE60" s="631">
        <f>SUM($D60:$E60)*J60</f>
        <v>0</v>
      </c>
      <c r="AF60" s="631">
        <f>SUM($D60:$E60)*K60</f>
        <v>0</v>
      </c>
      <c r="AG60" s="631">
        <f>SUM($D60:$E60)*L60</f>
        <v>0</v>
      </c>
      <c r="AH60" s="631">
        <f>SUM($D60:$E60)*M60</f>
        <v>0</v>
      </c>
      <c r="AI60" s="631">
        <f>SUM($D60:$E60)*N60</f>
        <v>0</v>
      </c>
      <c r="AJ60" s="631">
        <f>SUM($D60:$E60)*O60</f>
        <v>0</v>
      </c>
      <c r="AK60" s="56">
        <f>IF($G60="",0,IF(NOT(OR($G60="A - All employees not in groups B, C, J, H, M or Z",$G60="B - Married women and widows entitled to reduced NI",$G60="C - Over the State Pension age",$G60="H - Apprentice under 25",$G60="J – Deferment",$G60="M - Under 21",$G60="Z - Deferment (Under 21)",$G60="Please Enter The NI Cont. in ££££")),$G60,SUM(MAX(MIN(AC60-'Input Data'!$BG$3,'Input Data'!$BG$5-'Input Data'!$BG$3),0)*VLOOKUP($G60,'Input Data'!$BI$3:$BL$10,2,FALSE),MAX(MIN(AC60-'Input Data'!$BG$5,IF(OR($G60="M (under 21)",$G60="Z (under 21 - deferment)"),'Input Data'!$BG$6,IF($G60="H (Apprentice under 25)",'Input Data'!$BG$7,'Input Data'!$BG$8))-'Input Data'!$BG$5),0)*VLOOKUP($G60,'Input Data'!$BI$3:$BL$10,3,FALSE),MAX((AC60-IF(OR($G60="M (under 21)",$G60="Z (under 21 - deferment)"),'Input Data'!$BG$6,IF($G60="H (Apprentice under 25)",'Input Data'!$BG$7,'Input Data'!$BG$8))),0)*VLOOKUP($G60,'Input Data'!$BI$3:$BL$10,4,FALSE))))</f>
        <v>0</v>
      </c>
      <c r="AL60" s="56">
        <f>IF($G60="",0,IF(NOT(OR($G60="A - All employees not in groups B, C, J, H, M or Z",$G60="B - Married women and widows entitled to reduced NI",$G60="C - Over the State Pension age",$G60="H - Apprentice under 25",$G60="J – Deferment",$G60="M - Under 21",$G60="Z - Deferment (Under 21)",$G60="Please Enter The NI Cont. in ££££")),$G60,SUM(MAX(MIN(AD60-'Input Data'!$BG$3,'Input Data'!$BG$5-'Input Data'!$BG$3),0)*VLOOKUP($G60,'Input Data'!$BI$3:$BL$10,2,FALSE),MAX(MIN(AD60-'Input Data'!$BG$5,IF(OR($G60="M (under 21)",$G60="Z (under 21 - deferment)"),'Input Data'!$BG$6,IF($G60="H (Apprentice under 25)",'Input Data'!$BG$7,'Input Data'!$BG$8))-'Input Data'!$BG$5),0)*VLOOKUP($G60,'Input Data'!$BI$3:$BL$10,3,FALSE),MAX((AD60-IF(OR($G60="M (under 21)",$G60="Z (under 21 - deferment)"),'Input Data'!$BG$6,IF($G60="H (Apprentice under 25)",'Input Data'!$BG$7,'Input Data'!$BG$8))),0)*VLOOKUP($G60,'Input Data'!$BI$3:$BL$10,4,FALSE))))</f>
        <v>0</v>
      </c>
      <c r="AM60" s="56">
        <f>IF($G60="",0,IF(NOT(OR($G60="A - All employees not in groups B, C, J, H, M or Z",$G60="B - Married women and widows entitled to reduced NI",$G60="C - Over the State Pension age",$G60="H - Apprentice under 25",$G60="J – Deferment",$G60="M - Under 21",$G60="Z - Deferment (Under 21)",$G60="Please Enter The NI Cont. in ££££")),$G60,SUM(MAX(MIN(AE60-'Input Data'!$BG$3,'Input Data'!$BG$5-'Input Data'!$BG$3),0)*VLOOKUP($G60,'Input Data'!$BI$3:$BL$10,2,FALSE),MAX(MIN(AE60-'Input Data'!$BG$5,IF(OR($G60="M (under 21)",$G60="Z (under 21 - deferment)"),'Input Data'!$BG$6,IF($G60="H (Apprentice under 25)",'Input Data'!$BG$7,'Input Data'!$BG$8))-'Input Data'!$BG$5),0)*VLOOKUP($G60,'Input Data'!$BI$3:$BL$10,3,FALSE),MAX((AE60-IF(OR($G60="M (under 21)",$G60="Z (under 21 - deferment)"),'Input Data'!$BG$6,IF($G60="H (Apprentice under 25)",'Input Data'!$BG$7,'Input Data'!$BG$8))),0)*VLOOKUP($G60,'Input Data'!$BI$3:$BL$10,4,FALSE))))</f>
        <v>0</v>
      </c>
      <c r="AN60" s="56">
        <f>IF($G60="",0,IF(NOT(OR($G60="A - All employees not in groups B, C, J, H, M or Z",$G60="B - Married women and widows entitled to reduced NI",$G60="C - Over the State Pension age",$G60="H - Apprentice under 25",$G60="J – Deferment",$G60="M - Under 21",$G60="Z - Deferment (Under 21)",$G60="Please Enter The NI Cont. in ££££")),$G60,SUM(MAX(MIN(AF60-'Input Data'!$BG$3,'Input Data'!$BG$5-'Input Data'!$BG$3),0)*VLOOKUP($G60,'Input Data'!$BI$3:$BL$10,2,FALSE),MAX(MIN(AF60-'Input Data'!$BG$5,IF(OR($G60="M (under 21)",$G60="Z (under 21 - deferment)"),'Input Data'!$BG$6,IF($G60="H (Apprentice under 25)",'Input Data'!$BG$7,'Input Data'!$BG$8))-'Input Data'!$BG$5),0)*VLOOKUP($G60,'Input Data'!$BI$3:$BL$10,3,FALSE),MAX((AF60-IF(OR($G60="M (under 21)",$G60="Z (under 21 - deferment)"),'Input Data'!$BG$6,IF($G60="H (Apprentice under 25)",'Input Data'!$BG$7,'Input Data'!$BG$8))),0)*VLOOKUP($G60,'Input Data'!$BI$3:$BL$10,4,FALSE))))</f>
        <v>0</v>
      </c>
      <c r="AO60" s="56">
        <f>IF($G60="",0,IF(NOT(OR($G60="A - All employees not in groups B, C, J, H, M or Z",$G60="B - Married women and widows entitled to reduced NI",$G60="C - Over the State Pension age",$G60="H - Apprentice under 25",$G60="J – Deferment",$G60="M - Under 21",$G60="Z - Deferment (Under 21)",$G60="Please Enter The NI Cont. in ££££")),$G60,SUM(MAX(MIN(AG60-'Input Data'!$BG$3,'Input Data'!$BG$5-'Input Data'!$BG$3),0)*VLOOKUP($G60,'Input Data'!$BI$3:$BL$10,2,FALSE),MAX(MIN(AG60-'Input Data'!$BG$5,IF(OR($G60="M (under 21)",$G60="Z (under 21 - deferment)"),'Input Data'!$BG$6,IF($G60="H (Apprentice under 25)",'Input Data'!$BG$7,'Input Data'!$BG$8))-'Input Data'!$BG$5),0)*VLOOKUP($G60,'Input Data'!$BI$3:$BL$10,3,FALSE),MAX((AG60-IF(OR($G60="M (under 21)",$G60="Z (under 21 - deferment)"),'Input Data'!$BG$6,IF($G60="H (Apprentice under 25)",'Input Data'!$BG$7,'Input Data'!$BG$8))),0)*VLOOKUP($G60,'Input Data'!$BI$3:$BL$10,4,FALSE))))</f>
        <v>0</v>
      </c>
      <c r="AP60" s="56">
        <f>IF($G60="",0,IF(NOT(OR($G60="A - All employees not in groups B, C, J, H, M or Z",$G60="B - Married women and widows entitled to reduced NI",$G60="C - Over the State Pension age",$G60="H - Apprentice under 25",$G60="J – Deferment",$G60="M - Under 21",$G60="Z - Deferment (Under 21)",$G60="Please Enter The NI Cont. in ££££")),$G60,SUM(MAX(MIN(AH60-'Input Data'!$BG$3,'Input Data'!$BG$5-'Input Data'!$BG$3),0)*VLOOKUP($G60,'Input Data'!$BI$3:$BL$10,2,FALSE),MAX(MIN(AH60-'Input Data'!$BG$5,IF(OR($G60="M (under 21)",$G60="Z (under 21 - deferment)"),'Input Data'!$BG$6,IF($G60="H (Apprentice under 25)",'Input Data'!$BG$7,'Input Data'!$BG$8))-'Input Data'!$BG$5),0)*VLOOKUP($G60,'Input Data'!$BI$3:$BL$10,3,FALSE),MAX((AH60-IF(OR($G60="M (under 21)",$G60="Z (under 21 - deferment)"),'Input Data'!$BG$6,IF($G60="H (Apprentice under 25)",'Input Data'!$BG$7,'Input Data'!$BG$8))),0)*VLOOKUP($G60,'Input Data'!$BI$3:$BL$10,4,FALSE))))</f>
        <v>0</v>
      </c>
      <c r="AQ60" s="56">
        <f>IF($G60="",0,IF(NOT(OR($G60="A - All employees not in groups B, C, J, H, M or Z",$G60="B - Married women and widows entitled to reduced NI",$G60="C - Over the State Pension age",$G60="H - Apprentice under 25",$G60="J – Deferment",$G60="M - Under 21",$G60="Z - Deferment (Under 21)",$G60="Please Enter The NI Cont. in ££££")),$G60,SUM(MAX(MIN(AI60-'Input Data'!$BG$3,'Input Data'!$BG$5-'Input Data'!$BG$3),0)*VLOOKUP($G60,'Input Data'!$BI$3:$BL$10,2,FALSE),MAX(MIN(AI60-'Input Data'!$BG$5,IF(OR($G60="M (under 21)",$G60="Z (under 21 - deferment)"),'Input Data'!$BG$6,IF($G60="H (Apprentice under 25)",'Input Data'!$BG$7,'Input Data'!$BG$8))-'Input Data'!$BG$5),0)*VLOOKUP($G60,'Input Data'!$BI$3:$BL$10,3,FALSE),MAX((AI60-IF(OR($G60="M (under 21)",$G60="Z (under 21 - deferment)"),'Input Data'!$BG$6,IF($G60="H (Apprentice under 25)",'Input Data'!$BG$7,'Input Data'!$BG$8))),0)*VLOOKUP($G60,'Input Data'!$BI$3:$BL$10,4,FALSE))))</f>
        <v>0</v>
      </c>
      <c r="AR60" s="56">
        <f>IF($G60="",0,IF(NOT(OR($G60="A - All employees not in groups B, C, J, H, M or Z",$G60="B - Married women and widows entitled to reduced NI",$G60="C - Over the State Pension age",$G60="H - Apprentice under 25",$G60="J – Deferment",$G60="M - Under 21",$G60="Z - Deferment (Under 21)",$G60="Please Enter The NI Cont. in ££££")),$G60,SUM(MAX(MIN(AJ60-'Input Data'!$BG$3,'Input Data'!$BG$5-'Input Data'!$BG$3),0)*VLOOKUP($G60,'Input Data'!$BI$3:$BL$10,2,FALSE),MAX(MIN(AJ60-'Input Data'!$BG$5,IF(OR($G60="M (under 21)",$G60="Z (under 21 - deferment)"),'Input Data'!$BG$6,IF($G60="H (Apprentice under 25)",'Input Data'!$BG$7,'Input Data'!$BG$8))-'Input Data'!$BG$5),0)*VLOOKUP($G60,'Input Data'!$BI$3:$BL$10,3,FALSE),MAX((AJ60-IF(OR($G60="M (under 21)",$G60="Z (under 21 - deferment)"),'Input Data'!$BG$6,IF($G60="H (Apprentice under 25)",'Input Data'!$BG$7,'Input Data'!$BG$8))),0)*VLOOKUP($G60,'Input Data'!$BI$3:$BL$10,4,FALSE))))</f>
        <v>0</v>
      </c>
      <c r="AS60" s="56">
        <f>AC60*$F60</f>
        <v>0</v>
      </c>
      <c r="AT60" s="56">
        <f>AD60*$F60</f>
        <v>0</v>
      </c>
      <c r="AU60" s="56">
        <f>AE60*$F60</f>
        <v>0</v>
      </c>
      <c r="AV60" s="56">
        <f>AF60*$F60</f>
        <v>0</v>
      </c>
      <c r="AW60" s="56">
        <f>AG60*$F60</f>
        <v>0</v>
      </c>
      <c r="AX60" s="56">
        <f>AH60*$F60</f>
        <v>0</v>
      </c>
      <c r="AY60" s="56">
        <f>AI60*$F60</f>
        <v>0</v>
      </c>
      <c r="AZ60" s="56">
        <f>AJ60*$F60</f>
        <v>0</v>
      </c>
    </row>
    <row r="61" spans="2:52" ht="25.5">
      <c r="B61" s="60"/>
      <c r="C61" s="57" t="s">
        <v>95</v>
      </c>
      <c r="D61" s="58"/>
      <c r="E61" s="58"/>
      <c r="F61" s="535"/>
      <c r="G61" s="693" t="s">
        <v>1149</v>
      </c>
      <c r="H61" s="65"/>
      <c r="I61" s="65"/>
      <c r="J61" s="65"/>
      <c r="K61" s="65"/>
      <c r="L61" s="65"/>
      <c r="M61" s="65"/>
      <c r="N61" s="65"/>
      <c r="O61" s="65"/>
      <c r="P61" s="29"/>
      <c r="Q61" s="597"/>
      <c r="R61" s="61"/>
      <c r="T61" s="43">
        <f>SUM(AC61,AK61,AS61)</f>
        <v>0</v>
      </c>
      <c r="U61" s="43">
        <f>SUM(AD61,AL61,AT61)</f>
        <v>0</v>
      </c>
      <c r="V61" s="43">
        <f>SUM(AE61,AM61,AU61)</f>
        <v>0</v>
      </c>
      <c r="W61" s="43">
        <f>SUM(AF61,AN61,AV61)</f>
        <v>0</v>
      </c>
      <c r="X61" s="43">
        <f>SUM(AG61,AO61,AW61)</f>
        <v>0</v>
      </c>
      <c r="Y61" s="43">
        <f>SUM(AH61,AP61,AX61)</f>
        <v>0</v>
      </c>
      <c r="Z61" s="43">
        <f>SUM(AI61,AQ61,AY61)</f>
        <v>0</v>
      </c>
      <c r="AA61" s="43">
        <f>SUM(AJ61,AR61,AZ61)</f>
        <v>0</v>
      </c>
      <c r="AC61" s="631">
        <f>SUM($D61:$E61)*H61</f>
        <v>0</v>
      </c>
      <c r="AD61" s="631">
        <f>SUM($D61:$E61)*I61</f>
        <v>0</v>
      </c>
      <c r="AE61" s="631">
        <f>SUM($D61:$E61)*J61</f>
        <v>0</v>
      </c>
      <c r="AF61" s="631">
        <f>SUM($D61:$E61)*K61</f>
        <v>0</v>
      </c>
      <c r="AG61" s="631">
        <f>SUM($D61:$E61)*L61</f>
        <v>0</v>
      </c>
      <c r="AH61" s="631">
        <f>SUM($D61:$E61)*M61</f>
        <v>0</v>
      </c>
      <c r="AI61" s="631">
        <f>SUM($D61:$E61)*N61</f>
        <v>0</v>
      </c>
      <c r="AJ61" s="631">
        <f>SUM($D61:$E61)*O61</f>
        <v>0</v>
      </c>
      <c r="AK61" s="56">
        <f>IF($G61="",0,IF(NOT(OR($G61="A - All employees not in groups B, C, J, H, M or Z",$G61="B - Married women and widows entitled to reduced NI",$G61="C - Over the State Pension age",$G61="H - Apprentice under 25",$G61="J – Deferment",$G61="M - Under 21",$G61="Z - Deferment (Under 21)",$G61="Please Enter The NI Cont. in ££££")),$G61,SUM(MAX(MIN(AC61-'Input Data'!$BG$3,'Input Data'!$BG$5-'Input Data'!$BG$3),0)*VLOOKUP($G61,'Input Data'!$BI$3:$BL$10,2,FALSE),MAX(MIN(AC61-'Input Data'!$BG$5,IF(OR($G61="M (under 21)",$G61="Z (under 21 - deferment)"),'Input Data'!$BG$6,IF($G61="H (Apprentice under 25)",'Input Data'!$BG$7,'Input Data'!$BG$8))-'Input Data'!$BG$5),0)*VLOOKUP($G61,'Input Data'!$BI$3:$BL$10,3,FALSE),MAX((AC61-IF(OR($G61="M (under 21)",$G61="Z (under 21 - deferment)"),'Input Data'!$BG$6,IF($G61="H (Apprentice under 25)",'Input Data'!$BG$7,'Input Data'!$BG$8))),0)*VLOOKUP($G61,'Input Data'!$BI$3:$BL$10,4,FALSE))))</f>
        <v>0</v>
      </c>
      <c r="AL61" s="56">
        <f>IF($G61="",0,IF(NOT(OR($G61="A - All employees not in groups B, C, J, H, M or Z",$G61="B - Married women and widows entitled to reduced NI",$G61="C - Over the State Pension age",$G61="H - Apprentice under 25",$G61="J – Deferment",$G61="M - Under 21",$G61="Z - Deferment (Under 21)",$G61="Please Enter The NI Cont. in ££££")),$G61,SUM(MAX(MIN(AD61-'Input Data'!$BG$3,'Input Data'!$BG$5-'Input Data'!$BG$3),0)*VLOOKUP($G61,'Input Data'!$BI$3:$BL$10,2,FALSE),MAX(MIN(AD61-'Input Data'!$BG$5,IF(OR($G61="M (under 21)",$G61="Z (under 21 - deferment)"),'Input Data'!$BG$6,IF($G61="H (Apprentice under 25)",'Input Data'!$BG$7,'Input Data'!$BG$8))-'Input Data'!$BG$5),0)*VLOOKUP($G61,'Input Data'!$BI$3:$BL$10,3,FALSE),MAX((AD61-IF(OR($G61="M (under 21)",$G61="Z (under 21 - deferment)"),'Input Data'!$BG$6,IF($G61="H (Apprentice under 25)",'Input Data'!$BG$7,'Input Data'!$BG$8))),0)*VLOOKUP($G61,'Input Data'!$BI$3:$BL$10,4,FALSE))))</f>
        <v>0</v>
      </c>
      <c r="AM61" s="56">
        <f>IF($G61="",0,IF(NOT(OR($G61="A - All employees not in groups B, C, J, H, M or Z",$G61="B - Married women and widows entitled to reduced NI",$G61="C - Over the State Pension age",$G61="H - Apprentice under 25",$G61="J – Deferment",$G61="M - Under 21",$G61="Z - Deferment (Under 21)",$G61="Please Enter The NI Cont. in ££££")),$G61,SUM(MAX(MIN(AE61-'Input Data'!$BG$3,'Input Data'!$BG$5-'Input Data'!$BG$3),0)*VLOOKUP($G61,'Input Data'!$BI$3:$BL$10,2,FALSE),MAX(MIN(AE61-'Input Data'!$BG$5,IF(OR($G61="M (under 21)",$G61="Z (under 21 - deferment)"),'Input Data'!$BG$6,IF($G61="H (Apprentice under 25)",'Input Data'!$BG$7,'Input Data'!$BG$8))-'Input Data'!$BG$5),0)*VLOOKUP($G61,'Input Data'!$BI$3:$BL$10,3,FALSE),MAX((AE61-IF(OR($G61="M (under 21)",$G61="Z (under 21 - deferment)"),'Input Data'!$BG$6,IF($G61="H (Apprentice under 25)",'Input Data'!$BG$7,'Input Data'!$BG$8))),0)*VLOOKUP($G61,'Input Data'!$BI$3:$BL$10,4,FALSE))))</f>
        <v>0</v>
      </c>
      <c r="AN61" s="56">
        <f>IF($G61="",0,IF(NOT(OR($G61="A - All employees not in groups B, C, J, H, M or Z",$G61="B - Married women and widows entitled to reduced NI",$G61="C - Over the State Pension age",$G61="H - Apprentice under 25",$G61="J – Deferment",$G61="M - Under 21",$G61="Z - Deferment (Under 21)",$G61="Please Enter The NI Cont. in ££££")),$G61,SUM(MAX(MIN(AF61-'Input Data'!$BG$3,'Input Data'!$BG$5-'Input Data'!$BG$3),0)*VLOOKUP($G61,'Input Data'!$BI$3:$BL$10,2,FALSE),MAX(MIN(AF61-'Input Data'!$BG$5,IF(OR($G61="M (under 21)",$G61="Z (under 21 - deferment)"),'Input Data'!$BG$6,IF($G61="H (Apprentice under 25)",'Input Data'!$BG$7,'Input Data'!$BG$8))-'Input Data'!$BG$5),0)*VLOOKUP($G61,'Input Data'!$BI$3:$BL$10,3,FALSE),MAX((AF61-IF(OR($G61="M (under 21)",$G61="Z (under 21 - deferment)"),'Input Data'!$BG$6,IF($G61="H (Apprentice under 25)",'Input Data'!$BG$7,'Input Data'!$BG$8))),0)*VLOOKUP($G61,'Input Data'!$BI$3:$BL$10,4,FALSE))))</f>
        <v>0</v>
      </c>
      <c r="AO61" s="56">
        <f>IF($G61="",0,IF(NOT(OR($G61="A - All employees not in groups B, C, J, H, M or Z",$G61="B - Married women and widows entitled to reduced NI",$G61="C - Over the State Pension age",$G61="H - Apprentice under 25",$G61="J – Deferment",$G61="M - Under 21",$G61="Z - Deferment (Under 21)",$G61="Please Enter The NI Cont. in ££££")),$G61,SUM(MAX(MIN(AG61-'Input Data'!$BG$3,'Input Data'!$BG$5-'Input Data'!$BG$3),0)*VLOOKUP($G61,'Input Data'!$BI$3:$BL$10,2,FALSE),MAX(MIN(AG61-'Input Data'!$BG$5,IF(OR($G61="M (under 21)",$G61="Z (under 21 - deferment)"),'Input Data'!$BG$6,IF($G61="H (Apprentice under 25)",'Input Data'!$BG$7,'Input Data'!$BG$8))-'Input Data'!$BG$5),0)*VLOOKUP($G61,'Input Data'!$BI$3:$BL$10,3,FALSE),MAX((AG61-IF(OR($G61="M (under 21)",$G61="Z (under 21 - deferment)"),'Input Data'!$BG$6,IF($G61="H (Apprentice under 25)",'Input Data'!$BG$7,'Input Data'!$BG$8))),0)*VLOOKUP($G61,'Input Data'!$BI$3:$BL$10,4,FALSE))))</f>
        <v>0</v>
      </c>
      <c r="AP61" s="56">
        <f>IF($G61="",0,IF(NOT(OR($G61="A - All employees not in groups B, C, J, H, M or Z",$G61="B - Married women and widows entitled to reduced NI",$G61="C - Over the State Pension age",$G61="H - Apprentice under 25",$G61="J – Deferment",$G61="M - Under 21",$G61="Z - Deferment (Under 21)",$G61="Please Enter The NI Cont. in ££££")),$G61,SUM(MAX(MIN(AH61-'Input Data'!$BG$3,'Input Data'!$BG$5-'Input Data'!$BG$3),0)*VLOOKUP($G61,'Input Data'!$BI$3:$BL$10,2,FALSE),MAX(MIN(AH61-'Input Data'!$BG$5,IF(OR($G61="M (under 21)",$G61="Z (under 21 - deferment)"),'Input Data'!$BG$6,IF($G61="H (Apprentice under 25)",'Input Data'!$BG$7,'Input Data'!$BG$8))-'Input Data'!$BG$5),0)*VLOOKUP($G61,'Input Data'!$BI$3:$BL$10,3,FALSE),MAX((AH61-IF(OR($G61="M (under 21)",$G61="Z (under 21 - deferment)"),'Input Data'!$BG$6,IF($G61="H (Apprentice under 25)",'Input Data'!$BG$7,'Input Data'!$BG$8))),0)*VLOOKUP($G61,'Input Data'!$BI$3:$BL$10,4,FALSE))))</f>
        <v>0</v>
      </c>
      <c r="AQ61" s="56">
        <f>IF($G61="",0,IF(NOT(OR($G61="A - All employees not in groups B, C, J, H, M or Z",$G61="B - Married women and widows entitled to reduced NI",$G61="C - Over the State Pension age",$G61="H - Apprentice under 25",$G61="J – Deferment",$G61="M - Under 21",$G61="Z - Deferment (Under 21)",$G61="Please Enter The NI Cont. in ££££")),$G61,SUM(MAX(MIN(AI61-'Input Data'!$BG$3,'Input Data'!$BG$5-'Input Data'!$BG$3),0)*VLOOKUP($G61,'Input Data'!$BI$3:$BL$10,2,FALSE),MAX(MIN(AI61-'Input Data'!$BG$5,IF(OR($G61="M (under 21)",$G61="Z (under 21 - deferment)"),'Input Data'!$BG$6,IF($G61="H (Apprentice under 25)",'Input Data'!$BG$7,'Input Data'!$BG$8))-'Input Data'!$BG$5),0)*VLOOKUP($G61,'Input Data'!$BI$3:$BL$10,3,FALSE),MAX((AI61-IF(OR($G61="M (under 21)",$G61="Z (under 21 - deferment)"),'Input Data'!$BG$6,IF($G61="H (Apprentice under 25)",'Input Data'!$BG$7,'Input Data'!$BG$8))),0)*VLOOKUP($G61,'Input Data'!$BI$3:$BL$10,4,FALSE))))</f>
        <v>0</v>
      </c>
      <c r="AR61" s="56">
        <f>IF($G61="",0,IF(NOT(OR($G61="A - All employees not in groups B, C, J, H, M or Z",$G61="B - Married women and widows entitled to reduced NI",$G61="C - Over the State Pension age",$G61="H - Apprentice under 25",$G61="J – Deferment",$G61="M - Under 21",$G61="Z - Deferment (Under 21)",$G61="Please Enter The NI Cont. in ££££")),$G61,SUM(MAX(MIN(AJ61-'Input Data'!$BG$3,'Input Data'!$BG$5-'Input Data'!$BG$3),0)*VLOOKUP($G61,'Input Data'!$BI$3:$BL$10,2,FALSE),MAX(MIN(AJ61-'Input Data'!$BG$5,IF(OR($G61="M (under 21)",$G61="Z (under 21 - deferment)"),'Input Data'!$BG$6,IF($G61="H (Apprentice under 25)",'Input Data'!$BG$7,'Input Data'!$BG$8))-'Input Data'!$BG$5),0)*VLOOKUP($G61,'Input Data'!$BI$3:$BL$10,3,FALSE),MAX((AJ61-IF(OR($G61="M (under 21)",$G61="Z (under 21 - deferment)"),'Input Data'!$BG$6,IF($G61="H (Apprentice under 25)",'Input Data'!$BG$7,'Input Data'!$BG$8))),0)*VLOOKUP($G61,'Input Data'!$BI$3:$BL$10,4,FALSE))))</f>
        <v>0</v>
      </c>
      <c r="AS61" s="56">
        <f>AC61*$F61</f>
        <v>0</v>
      </c>
      <c r="AT61" s="56">
        <f>AD61*$F61</f>
        <v>0</v>
      </c>
      <c r="AU61" s="56">
        <f>AE61*$F61</f>
        <v>0</v>
      </c>
      <c r="AV61" s="56">
        <f>AF61*$F61</f>
        <v>0</v>
      </c>
      <c r="AW61" s="56">
        <f>AG61*$F61</f>
        <v>0</v>
      </c>
      <c r="AX61" s="56">
        <f>AH61*$F61</f>
        <v>0</v>
      </c>
      <c r="AY61" s="56">
        <f>AI61*$F61</f>
        <v>0</v>
      </c>
      <c r="AZ61" s="56">
        <f>AJ61*$F61</f>
        <v>0</v>
      </c>
    </row>
    <row r="62" spans="2:52" ht="25.5">
      <c r="B62" s="60"/>
      <c r="C62" s="57" t="s">
        <v>96</v>
      </c>
      <c r="D62" s="58"/>
      <c r="E62" s="58"/>
      <c r="F62" s="535"/>
      <c r="G62" s="693" t="s">
        <v>1149</v>
      </c>
      <c r="H62" s="65"/>
      <c r="I62" s="65"/>
      <c r="J62" s="65"/>
      <c r="K62" s="65"/>
      <c r="L62" s="65"/>
      <c r="M62" s="65"/>
      <c r="N62" s="65"/>
      <c r="O62" s="65"/>
      <c r="P62" s="29"/>
      <c r="Q62" s="597"/>
      <c r="R62" s="61"/>
      <c r="T62" s="43">
        <f>SUM(AC62,AK62,AS62)</f>
        <v>0</v>
      </c>
      <c r="U62" s="43">
        <f>SUM(AD62,AL62,AT62)</f>
        <v>0</v>
      </c>
      <c r="V62" s="43">
        <f>SUM(AE62,AM62,AU62)</f>
        <v>0</v>
      </c>
      <c r="W62" s="43">
        <f>SUM(AF62,AN62,AV62)</f>
        <v>0</v>
      </c>
      <c r="X62" s="43">
        <f>SUM(AG62,AO62,AW62)</f>
        <v>0</v>
      </c>
      <c r="Y62" s="43">
        <f>SUM(AH62,AP62,AX62)</f>
        <v>0</v>
      </c>
      <c r="Z62" s="43">
        <f>SUM(AI62,AQ62,AY62)</f>
        <v>0</v>
      </c>
      <c r="AA62" s="43">
        <f>SUM(AJ62,AR62,AZ62)</f>
        <v>0</v>
      </c>
      <c r="AC62" s="631">
        <f>SUM($D62:$E62)*H62</f>
        <v>0</v>
      </c>
      <c r="AD62" s="631">
        <f>SUM($D62:$E62)*I62</f>
        <v>0</v>
      </c>
      <c r="AE62" s="631">
        <f>SUM($D62:$E62)*J62</f>
        <v>0</v>
      </c>
      <c r="AF62" s="631">
        <f>SUM($D62:$E62)*K62</f>
        <v>0</v>
      </c>
      <c r="AG62" s="631">
        <f>SUM($D62:$E62)*L62</f>
        <v>0</v>
      </c>
      <c r="AH62" s="631">
        <f>SUM($D62:$E62)*M62</f>
        <v>0</v>
      </c>
      <c r="AI62" s="631">
        <f>SUM($D62:$E62)*N62</f>
        <v>0</v>
      </c>
      <c r="AJ62" s="631">
        <f>SUM($D62:$E62)*O62</f>
        <v>0</v>
      </c>
      <c r="AK62" s="56">
        <f>IF($G62="",0,IF(NOT(OR($G62="A - All employees not in groups B, C, J, H, M or Z",$G62="B - Married women and widows entitled to reduced NI",$G62="C - Over the State Pension age",$G62="H - Apprentice under 25",$G62="J – Deferment",$G62="M - Under 21",$G62="Z - Deferment (Under 21)",$G62="Please Enter The NI Cont. in ££££")),$G62,SUM(MAX(MIN(AC62-'Input Data'!$BG$3,'Input Data'!$BG$5-'Input Data'!$BG$3),0)*VLOOKUP($G62,'Input Data'!$BI$3:$BL$10,2,FALSE),MAX(MIN(AC62-'Input Data'!$BG$5,IF(OR($G62="M (under 21)",$G62="Z (under 21 - deferment)"),'Input Data'!$BG$6,IF($G62="H (Apprentice under 25)",'Input Data'!$BG$7,'Input Data'!$BG$8))-'Input Data'!$BG$5),0)*VLOOKUP($G62,'Input Data'!$BI$3:$BL$10,3,FALSE),MAX((AC62-IF(OR($G62="M (under 21)",$G62="Z (under 21 - deferment)"),'Input Data'!$BG$6,IF($G62="H (Apprentice under 25)",'Input Data'!$BG$7,'Input Data'!$BG$8))),0)*VLOOKUP($G62,'Input Data'!$BI$3:$BL$10,4,FALSE))))</f>
        <v>0</v>
      </c>
      <c r="AL62" s="56">
        <f>IF($G62="",0,IF(NOT(OR($G62="A - All employees not in groups B, C, J, H, M or Z",$G62="B - Married women and widows entitled to reduced NI",$G62="C - Over the State Pension age",$G62="H - Apprentice under 25",$G62="J – Deferment",$G62="M - Under 21",$G62="Z - Deferment (Under 21)",$G62="Please Enter The NI Cont. in ££££")),$G62,SUM(MAX(MIN(AD62-'Input Data'!$BG$3,'Input Data'!$BG$5-'Input Data'!$BG$3),0)*VLOOKUP($G62,'Input Data'!$BI$3:$BL$10,2,FALSE),MAX(MIN(AD62-'Input Data'!$BG$5,IF(OR($G62="M (under 21)",$G62="Z (under 21 - deferment)"),'Input Data'!$BG$6,IF($G62="H (Apprentice under 25)",'Input Data'!$BG$7,'Input Data'!$BG$8))-'Input Data'!$BG$5),0)*VLOOKUP($G62,'Input Data'!$BI$3:$BL$10,3,FALSE),MAX((AD62-IF(OR($G62="M (under 21)",$G62="Z (under 21 - deferment)"),'Input Data'!$BG$6,IF($G62="H (Apprentice under 25)",'Input Data'!$BG$7,'Input Data'!$BG$8))),0)*VLOOKUP($G62,'Input Data'!$BI$3:$BL$10,4,FALSE))))</f>
        <v>0</v>
      </c>
      <c r="AM62" s="56">
        <f>IF($G62="",0,IF(NOT(OR($G62="A - All employees not in groups B, C, J, H, M or Z",$G62="B - Married women and widows entitled to reduced NI",$G62="C - Over the State Pension age",$G62="H - Apprentice under 25",$G62="J – Deferment",$G62="M - Under 21",$G62="Z - Deferment (Under 21)",$G62="Please Enter The NI Cont. in ££££")),$G62,SUM(MAX(MIN(AE62-'Input Data'!$BG$3,'Input Data'!$BG$5-'Input Data'!$BG$3),0)*VLOOKUP($G62,'Input Data'!$BI$3:$BL$10,2,FALSE),MAX(MIN(AE62-'Input Data'!$BG$5,IF(OR($G62="M (under 21)",$G62="Z (under 21 - deferment)"),'Input Data'!$BG$6,IF($G62="H (Apprentice under 25)",'Input Data'!$BG$7,'Input Data'!$BG$8))-'Input Data'!$BG$5),0)*VLOOKUP($G62,'Input Data'!$BI$3:$BL$10,3,FALSE),MAX((AE62-IF(OR($G62="M (under 21)",$G62="Z (under 21 - deferment)"),'Input Data'!$BG$6,IF($G62="H (Apprentice under 25)",'Input Data'!$BG$7,'Input Data'!$BG$8))),0)*VLOOKUP($G62,'Input Data'!$BI$3:$BL$10,4,FALSE))))</f>
        <v>0</v>
      </c>
      <c r="AN62" s="56">
        <f>IF($G62="",0,IF(NOT(OR($G62="A - All employees not in groups B, C, J, H, M or Z",$G62="B - Married women and widows entitled to reduced NI",$G62="C - Over the State Pension age",$G62="H - Apprentice under 25",$G62="J – Deferment",$G62="M - Under 21",$G62="Z - Deferment (Under 21)",$G62="Please Enter The NI Cont. in ££££")),$G62,SUM(MAX(MIN(AF62-'Input Data'!$BG$3,'Input Data'!$BG$5-'Input Data'!$BG$3),0)*VLOOKUP($G62,'Input Data'!$BI$3:$BL$10,2,FALSE),MAX(MIN(AF62-'Input Data'!$BG$5,IF(OR($G62="M (under 21)",$G62="Z (under 21 - deferment)"),'Input Data'!$BG$6,IF($G62="H (Apprentice under 25)",'Input Data'!$BG$7,'Input Data'!$BG$8))-'Input Data'!$BG$5),0)*VLOOKUP($G62,'Input Data'!$BI$3:$BL$10,3,FALSE),MAX((AF62-IF(OR($G62="M (under 21)",$G62="Z (under 21 - deferment)"),'Input Data'!$BG$6,IF($G62="H (Apprentice under 25)",'Input Data'!$BG$7,'Input Data'!$BG$8))),0)*VLOOKUP($G62,'Input Data'!$BI$3:$BL$10,4,FALSE))))</f>
        <v>0</v>
      </c>
      <c r="AO62" s="56">
        <f>IF($G62="",0,IF(NOT(OR($G62="A - All employees not in groups B, C, J, H, M or Z",$G62="B - Married women and widows entitled to reduced NI",$G62="C - Over the State Pension age",$G62="H - Apprentice under 25",$G62="J – Deferment",$G62="M - Under 21",$G62="Z - Deferment (Under 21)",$G62="Please Enter The NI Cont. in ££££")),$G62,SUM(MAX(MIN(AG62-'Input Data'!$BG$3,'Input Data'!$BG$5-'Input Data'!$BG$3),0)*VLOOKUP($G62,'Input Data'!$BI$3:$BL$10,2,FALSE),MAX(MIN(AG62-'Input Data'!$BG$5,IF(OR($G62="M (under 21)",$G62="Z (under 21 - deferment)"),'Input Data'!$BG$6,IF($G62="H (Apprentice under 25)",'Input Data'!$BG$7,'Input Data'!$BG$8))-'Input Data'!$BG$5),0)*VLOOKUP($G62,'Input Data'!$BI$3:$BL$10,3,FALSE),MAX((AG62-IF(OR($G62="M (under 21)",$G62="Z (under 21 - deferment)"),'Input Data'!$BG$6,IF($G62="H (Apprentice under 25)",'Input Data'!$BG$7,'Input Data'!$BG$8))),0)*VLOOKUP($G62,'Input Data'!$BI$3:$BL$10,4,FALSE))))</f>
        <v>0</v>
      </c>
      <c r="AP62" s="56">
        <f>IF($G62="",0,IF(NOT(OR($G62="A - All employees not in groups B, C, J, H, M or Z",$G62="B - Married women and widows entitled to reduced NI",$G62="C - Over the State Pension age",$G62="H - Apprentice under 25",$G62="J – Deferment",$G62="M - Under 21",$G62="Z - Deferment (Under 21)",$G62="Please Enter The NI Cont. in ££££")),$G62,SUM(MAX(MIN(AH62-'Input Data'!$BG$3,'Input Data'!$BG$5-'Input Data'!$BG$3),0)*VLOOKUP($G62,'Input Data'!$BI$3:$BL$10,2,FALSE),MAX(MIN(AH62-'Input Data'!$BG$5,IF(OR($G62="M (under 21)",$G62="Z (under 21 - deferment)"),'Input Data'!$BG$6,IF($G62="H (Apprentice under 25)",'Input Data'!$BG$7,'Input Data'!$BG$8))-'Input Data'!$BG$5),0)*VLOOKUP($G62,'Input Data'!$BI$3:$BL$10,3,FALSE),MAX((AH62-IF(OR($G62="M (under 21)",$G62="Z (under 21 - deferment)"),'Input Data'!$BG$6,IF($G62="H (Apprentice under 25)",'Input Data'!$BG$7,'Input Data'!$BG$8))),0)*VLOOKUP($G62,'Input Data'!$BI$3:$BL$10,4,FALSE))))</f>
        <v>0</v>
      </c>
      <c r="AQ62" s="56">
        <f>IF($G62="",0,IF(NOT(OR($G62="A - All employees not in groups B, C, J, H, M or Z",$G62="B - Married women and widows entitled to reduced NI",$G62="C - Over the State Pension age",$G62="H - Apprentice under 25",$G62="J – Deferment",$G62="M - Under 21",$G62="Z - Deferment (Under 21)",$G62="Please Enter The NI Cont. in ££££")),$G62,SUM(MAX(MIN(AI62-'Input Data'!$BG$3,'Input Data'!$BG$5-'Input Data'!$BG$3),0)*VLOOKUP($G62,'Input Data'!$BI$3:$BL$10,2,FALSE),MAX(MIN(AI62-'Input Data'!$BG$5,IF(OR($G62="M (under 21)",$G62="Z (under 21 - deferment)"),'Input Data'!$BG$6,IF($G62="H (Apprentice under 25)",'Input Data'!$BG$7,'Input Data'!$BG$8))-'Input Data'!$BG$5),0)*VLOOKUP($G62,'Input Data'!$BI$3:$BL$10,3,FALSE),MAX((AI62-IF(OR($G62="M (under 21)",$G62="Z (under 21 - deferment)"),'Input Data'!$BG$6,IF($G62="H (Apprentice under 25)",'Input Data'!$BG$7,'Input Data'!$BG$8))),0)*VLOOKUP($G62,'Input Data'!$BI$3:$BL$10,4,FALSE))))</f>
        <v>0</v>
      </c>
      <c r="AR62" s="56">
        <f>IF($G62="",0,IF(NOT(OR($G62="A - All employees not in groups B, C, J, H, M or Z",$G62="B - Married women and widows entitled to reduced NI",$G62="C - Over the State Pension age",$G62="H - Apprentice under 25",$G62="J – Deferment",$G62="M - Under 21",$G62="Z - Deferment (Under 21)",$G62="Please Enter The NI Cont. in ££££")),$G62,SUM(MAX(MIN(AJ62-'Input Data'!$BG$3,'Input Data'!$BG$5-'Input Data'!$BG$3),0)*VLOOKUP($G62,'Input Data'!$BI$3:$BL$10,2,FALSE),MAX(MIN(AJ62-'Input Data'!$BG$5,IF(OR($G62="M (under 21)",$G62="Z (under 21 - deferment)"),'Input Data'!$BG$6,IF($G62="H (Apprentice under 25)",'Input Data'!$BG$7,'Input Data'!$BG$8))-'Input Data'!$BG$5),0)*VLOOKUP($G62,'Input Data'!$BI$3:$BL$10,3,FALSE),MAX((AJ62-IF(OR($G62="M (under 21)",$G62="Z (under 21 - deferment)"),'Input Data'!$BG$6,IF($G62="H (Apprentice under 25)",'Input Data'!$BG$7,'Input Data'!$BG$8))),0)*VLOOKUP($G62,'Input Data'!$BI$3:$BL$10,4,FALSE))))</f>
        <v>0</v>
      </c>
      <c r="AS62" s="56">
        <f>AC62*$F62</f>
        <v>0</v>
      </c>
      <c r="AT62" s="56">
        <f>AD62*$F62</f>
        <v>0</v>
      </c>
      <c r="AU62" s="56">
        <f>AE62*$F62</f>
        <v>0</v>
      </c>
      <c r="AV62" s="56">
        <f>AF62*$F62</f>
        <v>0</v>
      </c>
      <c r="AW62" s="56">
        <f>AG62*$F62</f>
        <v>0</v>
      </c>
      <c r="AX62" s="56">
        <f>AH62*$F62</f>
        <v>0</v>
      </c>
      <c r="AY62" s="56">
        <f>AI62*$F62</f>
        <v>0</v>
      </c>
      <c r="AZ62" s="56">
        <f>AJ62*$F62</f>
        <v>0</v>
      </c>
    </row>
    <row r="63" spans="2:52" ht="25.5">
      <c r="B63" s="60"/>
      <c r="C63" s="57" t="s">
        <v>97</v>
      </c>
      <c r="D63" s="58"/>
      <c r="E63" s="58"/>
      <c r="F63" s="535"/>
      <c r="G63" s="693" t="s">
        <v>1149</v>
      </c>
      <c r="H63" s="65"/>
      <c r="I63" s="65"/>
      <c r="J63" s="65"/>
      <c r="K63" s="65"/>
      <c r="L63" s="65"/>
      <c r="M63" s="65"/>
      <c r="N63" s="65"/>
      <c r="O63" s="65"/>
      <c r="P63" s="29"/>
      <c r="Q63" s="597"/>
      <c r="R63" s="61"/>
      <c r="T63" s="43">
        <f>SUM(AC63,AK63,AS63)</f>
        <v>0</v>
      </c>
      <c r="U63" s="43">
        <f>SUM(AD63,AL63,AT63)</f>
        <v>0</v>
      </c>
      <c r="V63" s="43">
        <f>SUM(AE63,AM63,AU63)</f>
        <v>0</v>
      </c>
      <c r="W63" s="43">
        <f>SUM(AF63,AN63,AV63)</f>
        <v>0</v>
      </c>
      <c r="X63" s="43">
        <f>SUM(AG63,AO63,AW63)</f>
        <v>0</v>
      </c>
      <c r="Y63" s="43">
        <f>SUM(AH63,AP63,AX63)</f>
        <v>0</v>
      </c>
      <c r="Z63" s="43">
        <f>SUM(AI63,AQ63,AY63)</f>
        <v>0</v>
      </c>
      <c r="AA63" s="43">
        <f>SUM(AJ63,AR63,AZ63)</f>
        <v>0</v>
      </c>
      <c r="AC63" s="631">
        <f>SUM($D63:$E63)*H63</f>
        <v>0</v>
      </c>
      <c r="AD63" s="631">
        <f>SUM($D63:$E63)*I63</f>
        <v>0</v>
      </c>
      <c r="AE63" s="631">
        <f>SUM($D63:$E63)*J63</f>
        <v>0</v>
      </c>
      <c r="AF63" s="631">
        <f>SUM($D63:$E63)*K63</f>
        <v>0</v>
      </c>
      <c r="AG63" s="631">
        <f>SUM($D63:$E63)*L63</f>
        <v>0</v>
      </c>
      <c r="AH63" s="631">
        <f>SUM($D63:$E63)*M63</f>
        <v>0</v>
      </c>
      <c r="AI63" s="631">
        <f>SUM($D63:$E63)*N63</f>
        <v>0</v>
      </c>
      <c r="AJ63" s="631">
        <f>SUM($D63:$E63)*O63</f>
        <v>0</v>
      </c>
      <c r="AK63" s="56">
        <f>IF($G63="",0,IF(NOT(OR($G63="A - All employees not in groups B, C, J, H, M or Z",$G63="B - Married women and widows entitled to reduced NI",$G63="C - Over the State Pension age",$G63="H - Apprentice under 25",$G63="J – Deferment",$G63="M - Under 21",$G63="Z - Deferment (Under 21)",$G63="Please Enter The NI Cont. in ££££")),$G63,SUM(MAX(MIN(AC63-'Input Data'!$BG$3,'Input Data'!$BG$5-'Input Data'!$BG$3),0)*VLOOKUP($G63,'Input Data'!$BI$3:$BL$10,2,FALSE),MAX(MIN(AC63-'Input Data'!$BG$5,IF(OR($G63="M (under 21)",$G63="Z (under 21 - deferment)"),'Input Data'!$BG$6,IF($G63="H (Apprentice under 25)",'Input Data'!$BG$7,'Input Data'!$BG$8))-'Input Data'!$BG$5),0)*VLOOKUP($G63,'Input Data'!$BI$3:$BL$10,3,FALSE),MAX((AC63-IF(OR($G63="M (under 21)",$G63="Z (under 21 - deferment)"),'Input Data'!$BG$6,IF($G63="H (Apprentice under 25)",'Input Data'!$BG$7,'Input Data'!$BG$8))),0)*VLOOKUP($G63,'Input Data'!$BI$3:$BL$10,4,FALSE))))</f>
        <v>0</v>
      </c>
      <c r="AL63" s="56">
        <f>IF($G63="",0,IF(NOT(OR($G63="A - All employees not in groups B, C, J, H, M or Z",$G63="B - Married women and widows entitled to reduced NI",$G63="C - Over the State Pension age",$G63="H - Apprentice under 25",$G63="J – Deferment",$G63="M - Under 21",$G63="Z - Deferment (Under 21)",$G63="Please Enter The NI Cont. in ££££")),$G63,SUM(MAX(MIN(AD63-'Input Data'!$BG$3,'Input Data'!$BG$5-'Input Data'!$BG$3),0)*VLOOKUP($G63,'Input Data'!$BI$3:$BL$10,2,FALSE),MAX(MIN(AD63-'Input Data'!$BG$5,IF(OR($G63="M (under 21)",$G63="Z (under 21 - deferment)"),'Input Data'!$BG$6,IF($G63="H (Apprentice under 25)",'Input Data'!$BG$7,'Input Data'!$BG$8))-'Input Data'!$BG$5),0)*VLOOKUP($G63,'Input Data'!$BI$3:$BL$10,3,FALSE),MAX((AD63-IF(OR($G63="M (under 21)",$G63="Z (under 21 - deferment)"),'Input Data'!$BG$6,IF($G63="H (Apprentice under 25)",'Input Data'!$BG$7,'Input Data'!$BG$8))),0)*VLOOKUP($G63,'Input Data'!$BI$3:$BL$10,4,FALSE))))</f>
        <v>0</v>
      </c>
      <c r="AM63" s="56">
        <f>IF($G63="",0,IF(NOT(OR($G63="A - All employees not in groups B, C, J, H, M or Z",$G63="B - Married women and widows entitled to reduced NI",$G63="C - Over the State Pension age",$G63="H - Apprentice under 25",$G63="J – Deferment",$G63="M - Under 21",$G63="Z - Deferment (Under 21)",$G63="Please Enter The NI Cont. in ££££")),$G63,SUM(MAX(MIN(AE63-'Input Data'!$BG$3,'Input Data'!$BG$5-'Input Data'!$BG$3),0)*VLOOKUP($G63,'Input Data'!$BI$3:$BL$10,2,FALSE),MAX(MIN(AE63-'Input Data'!$BG$5,IF(OR($G63="M (under 21)",$G63="Z (under 21 - deferment)"),'Input Data'!$BG$6,IF($G63="H (Apprentice under 25)",'Input Data'!$BG$7,'Input Data'!$BG$8))-'Input Data'!$BG$5),0)*VLOOKUP($G63,'Input Data'!$BI$3:$BL$10,3,FALSE),MAX((AE63-IF(OR($G63="M (under 21)",$G63="Z (under 21 - deferment)"),'Input Data'!$BG$6,IF($G63="H (Apprentice under 25)",'Input Data'!$BG$7,'Input Data'!$BG$8))),0)*VLOOKUP($G63,'Input Data'!$BI$3:$BL$10,4,FALSE))))</f>
        <v>0</v>
      </c>
      <c r="AN63" s="56">
        <f>IF($G63="",0,IF(NOT(OR($G63="A - All employees not in groups B, C, J, H, M or Z",$G63="B - Married women and widows entitled to reduced NI",$G63="C - Over the State Pension age",$G63="H - Apprentice under 25",$G63="J – Deferment",$G63="M - Under 21",$G63="Z - Deferment (Under 21)",$G63="Please Enter The NI Cont. in ££££")),$G63,SUM(MAX(MIN(AF63-'Input Data'!$BG$3,'Input Data'!$BG$5-'Input Data'!$BG$3),0)*VLOOKUP($G63,'Input Data'!$BI$3:$BL$10,2,FALSE),MAX(MIN(AF63-'Input Data'!$BG$5,IF(OR($G63="M (under 21)",$G63="Z (under 21 - deferment)"),'Input Data'!$BG$6,IF($G63="H (Apprentice under 25)",'Input Data'!$BG$7,'Input Data'!$BG$8))-'Input Data'!$BG$5),0)*VLOOKUP($G63,'Input Data'!$BI$3:$BL$10,3,FALSE),MAX((AF63-IF(OR($G63="M (under 21)",$G63="Z (under 21 - deferment)"),'Input Data'!$BG$6,IF($G63="H (Apprentice under 25)",'Input Data'!$BG$7,'Input Data'!$BG$8))),0)*VLOOKUP($G63,'Input Data'!$BI$3:$BL$10,4,FALSE))))</f>
        <v>0</v>
      </c>
      <c r="AO63" s="56">
        <f>IF($G63="",0,IF(NOT(OR($G63="A - All employees not in groups B, C, J, H, M or Z",$G63="B - Married women and widows entitled to reduced NI",$G63="C - Over the State Pension age",$G63="H - Apprentice under 25",$G63="J – Deferment",$G63="M - Under 21",$G63="Z - Deferment (Under 21)",$G63="Please Enter The NI Cont. in ££££")),$G63,SUM(MAX(MIN(AG63-'Input Data'!$BG$3,'Input Data'!$BG$5-'Input Data'!$BG$3),0)*VLOOKUP($G63,'Input Data'!$BI$3:$BL$10,2,FALSE),MAX(MIN(AG63-'Input Data'!$BG$5,IF(OR($G63="M (under 21)",$G63="Z (under 21 - deferment)"),'Input Data'!$BG$6,IF($G63="H (Apprentice under 25)",'Input Data'!$BG$7,'Input Data'!$BG$8))-'Input Data'!$BG$5),0)*VLOOKUP($G63,'Input Data'!$BI$3:$BL$10,3,FALSE),MAX((AG63-IF(OR($G63="M (under 21)",$G63="Z (under 21 - deferment)"),'Input Data'!$BG$6,IF($G63="H (Apprentice under 25)",'Input Data'!$BG$7,'Input Data'!$BG$8))),0)*VLOOKUP($G63,'Input Data'!$BI$3:$BL$10,4,FALSE))))</f>
        <v>0</v>
      </c>
      <c r="AP63" s="56">
        <f>IF($G63="",0,IF(NOT(OR($G63="A - All employees not in groups B, C, J, H, M or Z",$G63="B - Married women and widows entitled to reduced NI",$G63="C - Over the State Pension age",$G63="H - Apprentice under 25",$G63="J – Deferment",$G63="M - Under 21",$G63="Z - Deferment (Under 21)",$G63="Please Enter The NI Cont. in ££££")),$G63,SUM(MAX(MIN(AH63-'Input Data'!$BG$3,'Input Data'!$BG$5-'Input Data'!$BG$3),0)*VLOOKUP($G63,'Input Data'!$BI$3:$BL$10,2,FALSE),MAX(MIN(AH63-'Input Data'!$BG$5,IF(OR($G63="M (under 21)",$G63="Z (under 21 - deferment)"),'Input Data'!$BG$6,IF($G63="H (Apprentice under 25)",'Input Data'!$BG$7,'Input Data'!$BG$8))-'Input Data'!$BG$5),0)*VLOOKUP($G63,'Input Data'!$BI$3:$BL$10,3,FALSE),MAX((AH63-IF(OR($G63="M (under 21)",$G63="Z (under 21 - deferment)"),'Input Data'!$BG$6,IF($G63="H (Apprentice under 25)",'Input Data'!$BG$7,'Input Data'!$BG$8))),0)*VLOOKUP($G63,'Input Data'!$BI$3:$BL$10,4,FALSE))))</f>
        <v>0</v>
      </c>
      <c r="AQ63" s="56">
        <f>IF($G63="",0,IF(NOT(OR($G63="A - All employees not in groups B, C, J, H, M or Z",$G63="B - Married women and widows entitled to reduced NI",$G63="C - Over the State Pension age",$G63="H - Apprentice under 25",$G63="J – Deferment",$G63="M - Under 21",$G63="Z - Deferment (Under 21)",$G63="Please Enter The NI Cont. in ££££")),$G63,SUM(MAX(MIN(AI63-'Input Data'!$BG$3,'Input Data'!$BG$5-'Input Data'!$BG$3),0)*VLOOKUP($G63,'Input Data'!$BI$3:$BL$10,2,FALSE),MAX(MIN(AI63-'Input Data'!$BG$5,IF(OR($G63="M (under 21)",$G63="Z (under 21 - deferment)"),'Input Data'!$BG$6,IF($G63="H (Apprentice under 25)",'Input Data'!$BG$7,'Input Data'!$BG$8))-'Input Data'!$BG$5),0)*VLOOKUP($G63,'Input Data'!$BI$3:$BL$10,3,FALSE),MAX((AI63-IF(OR($G63="M (under 21)",$G63="Z (under 21 - deferment)"),'Input Data'!$BG$6,IF($G63="H (Apprentice under 25)",'Input Data'!$BG$7,'Input Data'!$BG$8))),0)*VLOOKUP($G63,'Input Data'!$BI$3:$BL$10,4,FALSE))))</f>
        <v>0</v>
      </c>
      <c r="AR63" s="56">
        <f>IF($G63="",0,IF(NOT(OR($G63="A - All employees not in groups B, C, J, H, M or Z",$G63="B - Married women and widows entitled to reduced NI",$G63="C - Over the State Pension age",$G63="H - Apprentice under 25",$G63="J – Deferment",$G63="M - Under 21",$G63="Z - Deferment (Under 21)",$G63="Please Enter The NI Cont. in ££££")),$G63,SUM(MAX(MIN(AJ63-'Input Data'!$BG$3,'Input Data'!$BG$5-'Input Data'!$BG$3),0)*VLOOKUP($G63,'Input Data'!$BI$3:$BL$10,2,FALSE),MAX(MIN(AJ63-'Input Data'!$BG$5,IF(OR($G63="M (under 21)",$G63="Z (under 21 - deferment)"),'Input Data'!$BG$6,IF($G63="H (Apprentice under 25)",'Input Data'!$BG$7,'Input Data'!$BG$8))-'Input Data'!$BG$5),0)*VLOOKUP($G63,'Input Data'!$BI$3:$BL$10,3,FALSE),MAX((AJ63-IF(OR($G63="M (under 21)",$G63="Z (under 21 - deferment)"),'Input Data'!$BG$6,IF($G63="H (Apprentice under 25)",'Input Data'!$BG$7,'Input Data'!$BG$8))),0)*VLOOKUP($G63,'Input Data'!$BI$3:$BL$10,4,FALSE))))</f>
        <v>0</v>
      </c>
      <c r="AS63" s="56">
        <f>AC63*$F63</f>
        <v>0</v>
      </c>
      <c r="AT63" s="56">
        <f>AD63*$F63</f>
        <v>0</v>
      </c>
      <c r="AU63" s="56">
        <f>AE63*$F63</f>
        <v>0</v>
      </c>
      <c r="AV63" s="56">
        <f>AF63*$F63</f>
        <v>0</v>
      </c>
      <c r="AW63" s="56">
        <f>AG63*$F63</f>
        <v>0</v>
      </c>
      <c r="AX63" s="56">
        <f>AH63*$F63</f>
        <v>0</v>
      </c>
      <c r="AY63" s="56">
        <f>AI63*$F63</f>
        <v>0</v>
      </c>
      <c r="AZ63" s="56">
        <f>AJ63*$F63</f>
        <v>0</v>
      </c>
    </row>
    <row r="64" spans="2:52" ht="25.5">
      <c r="B64" s="60"/>
      <c r="C64" s="57" t="s">
        <v>98</v>
      </c>
      <c r="D64" s="58"/>
      <c r="E64" s="58"/>
      <c r="F64" s="535"/>
      <c r="G64" s="693" t="s">
        <v>1149</v>
      </c>
      <c r="H64" s="65"/>
      <c r="I64" s="65"/>
      <c r="J64" s="65"/>
      <c r="K64" s="65"/>
      <c r="L64" s="65"/>
      <c r="M64" s="65"/>
      <c r="N64" s="65"/>
      <c r="O64" s="65"/>
      <c r="P64" s="29"/>
      <c r="Q64" s="597"/>
      <c r="R64" s="61"/>
      <c r="T64" s="43">
        <f>SUM(AC64,AK64,AS64)</f>
        <v>0</v>
      </c>
      <c r="U64" s="43">
        <f>SUM(AD64,AL64,AT64)</f>
        <v>0</v>
      </c>
      <c r="V64" s="43">
        <f>SUM(AE64,AM64,AU64)</f>
        <v>0</v>
      </c>
      <c r="W64" s="43">
        <f>SUM(AF64,AN64,AV64)</f>
        <v>0</v>
      </c>
      <c r="X64" s="43">
        <f>SUM(AG64,AO64,AW64)</f>
        <v>0</v>
      </c>
      <c r="Y64" s="43">
        <f>SUM(AH64,AP64,AX64)</f>
        <v>0</v>
      </c>
      <c r="Z64" s="43">
        <f>SUM(AI64,AQ64,AY64)</f>
        <v>0</v>
      </c>
      <c r="AA64" s="43">
        <f>SUM(AJ64,AR64,AZ64)</f>
        <v>0</v>
      </c>
      <c r="AC64" s="631">
        <f>SUM($D64:$E64)*H64</f>
        <v>0</v>
      </c>
      <c r="AD64" s="631">
        <f>SUM($D64:$E64)*I64</f>
        <v>0</v>
      </c>
      <c r="AE64" s="631">
        <f>SUM($D64:$E64)*J64</f>
        <v>0</v>
      </c>
      <c r="AF64" s="631">
        <f>SUM($D64:$E64)*K64</f>
        <v>0</v>
      </c>
      <c r="AG64" s="631">
        <f>SUM($D64:$E64)*L64</f>
        <v>0</v>
      </c>
      <c r="AH64" s="631">
        <f>SUM($D64:$E64)*M64</f>
        <v>0</v>
      </c>
      <c r="AI64" s="631">
        <f>SUM($D64:$E64)*N64</f>
        <v>0</v>
      </c>
      <c r="AJ64" s="631">
        <f>SUM($D64:$E64)*O64</f>
        <v>0</v>
      </c>
      <c r="AK64" s="56">
        <f>IF($G64="",0,IF(NOT(OR($G64="A - All employees not in groups B, C, J, H, M or Z",$G64="B - Married women and widows entitled to reduced NI",$G64="C - Over the State Pension age",$G64="H - Apprentice under 25",$G64="J – Deferment",$G64="M - Under 21",$G64="Z - Deferment (Under 21)",$G64="Please Enter The NI Cont. in ££££")),$G64,SUM(MAX(MIN(AC64-'Input Data'!$BG$3,'Input Data'!$BG$5-'Input Data'!$BG$3),0)*VLOOKUP($G64,'Input Data'!$BI$3:$BL$10,2,FALSE),MAX(MIN(AC64-'Input Data'!$BG$5,IF(OR($G64="M (under 21)",$G64="Z (under 21 - deferment)"),'Input Data'!$BG$6,IF($G64="H (Apprentice under 25)",'Input Data'!$BG$7,'Input Data'!$BG$8))-'Input Data'!$BG$5),0)*VLOOKUP($G64,'Input Data'!$BI$3:$BL$10,3,FALSE),MAX((AC64-IF(OR($G64="M (under 21)",$G64="Z (under 21 - deferment)"),'Input Data'!$BG$6,IF($G64="H (Apprentice under 25)",'Input Data'!$BG$7,'Input Data'!$BG$8))),0)*VLOOKUP($G64,'Input Data'!$BI$3:$BL$10,4,FALSE))))</f>
        <v>0</v>
      </c>
      <c r="AL64" s="56">
        <f>IF($G64="",0,IF(NOT(OR($G64="A - All employees not in groups B, C, J, H, M or Z",$G64="B - Married women and widows entitled to reduced NI",$G64="C - Over the State Pension age",$G64="H - Apprentice under 25",$G64="J – Deferment",$G64="M - Under 21",$G64="Z - Deferment (Under 21)",$G64="Please Enter The NI Cont. in ££££")),$G64,SUM(MAX(MIN(AD64-'Input Data'!$BG$3,'Input Data'!$BG$5-'Input Data'!$BG$3),0)*VLOOKUP($G64,'Input Data'!$BI$3:$BL$10,2,FALSE),MAX(MIN(AD64-'Input Data'!$BG$5,IF(OR($G64="M (under 21)",$G64="Z (under 21 - deferment)"),'Input Data'!$BG$6,IF($G64="H (Apprentice under 25)",'Input Data'!$BG$7,'Input Data'!$BG$8))-'Input Data'!$BG$5),0)*VLOOKUP($G64,'Input Data'!$BI$3:$BL$10,3,FALSE),MAX((AD64-IF(OR($G64="M (under 21)",$G64="Z (under 21 - deferment)"),'Input Data'!$BG$6,IF($G64="H (Apprentice under 25)",'Input Data'!$BG$7,'Input Data'!$BG$8))),0)*VLOOKUP($G64,'Input Data'!$BI$3:$BL$10,4,FALSE))))</f>
        <v>0</v>
      </c>
      <c r="AM64" s="56">
        <f>IF($G64="",0,IF(NOT(OR($G64="A - All employees not in groups B, C, J, H, M or Z",$G64="B - Married women and widows entitled to reduced NI",$G64="C - Over the State Pension age",$G64="H - Apprentice under 25",$G64="J – Deferment",$G64="M - Under 21",$G64="Z - Deferment (Under 21)",$G64="Please Enter The NI Cont. in ££££")),$G64,SUM(MAX(MIN(AE64-'Input Data'!$BG$3,'Input Data'!$BG$5-'Input Data'!$BG$3),0)*VLOOKUP($G64,'Input Data'!$BI$3:$BL$10,2,FALSE),MAX(MIN(AE64-'Input Data'!$BG$5,IF(OR($G64="M (under 21)",$G64="Z (under 21 - deferment)"),'Input Data'!$BG$6,IF($G64="H (Apprentice under 25)",'Input Data'!$BG$7,'Input Data'!$BG$8))-'Input Data'!$BG$5),0)*VLOOKUP($G64,'Input Data'!$BI$3:$BL$10,3,FALSE),MAX((AE64-IF(OR($G64="M (under 21)",$G64="Z (under 21 - deferment)"),'Input Data'!$BG$6,IF($G64="H (Apprentice under 25)",'Input Data'!$BG$7,'Input Data'!$BG$8))),0)*VLOOKUP($G64,'Input Data'!$BI$3:$BL$10,4,FALSE))))</f>
        <v>0</v>
      </c>
      <c r="AN64" s="56">
        <f>IF($G64="",0,IF(NOT(OR($G64="A - All employees not in groups B, C, J, H, M or Z",$G64="B - Married women and widows entitled to reduced NI",$G64="C - Over the State Pension age",$G64="H - Apprentice under 25",$G64="J – Deferment",$G64="M - Under 21",$G64="Z - Deferment (Under 21)",$G64="Please Enter The NI Cont. in ££££")),$G64,SUM(MAX(MIN(AF64-'Input Data'!$BG$3,'Input Data'!$BG$5-'Input Data'!$BG$3),0)*VLOOKUP($G64,'Input Data'!$BI$3:$BL$10,2,FALSE),MAX(MIN(AF64-'Input Data'!$BG$5,IF(OR($G64="M (under 21)",$G64="Z (under 21 - deferment)"),'Input Data'!$BG$6,IF($G64="H (Apprentice under 25)",'Input Data'!$BG$7,'Input Data'!$BG$8))-'Input Data'!$BG$5),0)*VLOOKUP($G64,'Input Data'!$BI$3:$BL$10,3,FALSE),MAX((AF64-IF(OR($G64="M (under 21)",$G64="Z (under 21 - deferment)"),'Input Data'!$BG$6,IF($G64="H (Apprentice under 25)",'Input Data'!$BG$7,'Input Data'!$BG$8))),0)*VLOOKUP($G64,'Input Data'!$BI$3:$BL$10,4,FALSE))))</f>
        <v>0</v>
      </c>
      <c r="AO64" s="56">
        <f>IF($G64="",0,IF(NOT(OR($G64="A - All employees not in groups B, C, J, H, M or Z",$G64="B - Married women and widows entitled to reduced NI",$G64="C - Over the State Pension age",$G64="H - Apprentice under 25",$G64="J – Deferment",$G64="M - Under 21",$G64="Z - Deferment (Under 21)",$G64="Please Enter The NI Cont. in ££££")),$G64,SUM(MAX(MIN(AG64-'Input Data'!$BG$3,'Input Data'!$BG$5-'Input Data'!$BG$3),0)*VLOOKUP($G64,'Input Data'!$BI$3:$BL$10,2,FALSE),MAX(MIN(AG64-'Input Data'!$BG$5,IF(OR($G64="M (under 21)",$G64="Z (under 21 - deferment)"),'Input Data'!$BG$6,IF($G64="H (Apprentice under 25)",'Input Data'!$BG$7,'Input Data'!$BG$8))-'Input Data'!$BG$5),0)*VLOOKUP($G64,'Input Data'!$BI$3:$BL$10,3,FALSE),MAX((AG64-IF(OR($G64="M (under 21)",$G64="Z (under 21 - deferment)"),'Input Data'!$BG$6,IF($G64="H (Apprentice under 25)",'Input Data'!$BG$7,'Input Data'!$BG$8))),0)*VLOOKUP($G64,'Input Data'!$BI$3:$BL$10,4,FALSE))))</f>
        <v>0</v>
      </c>
      <c r="AP64" s="56">
        <f>IF($G64="",0,IF(NOT(OR($G64="A - All employees not in groups B, C, J, H, M or Z",$G64="B - Married women and widows entitled to reduced NI",$G64="C - Over the State Pension age",$G64="H - Apprentice under 25",$G64="J – Deferment",$G64="M - Under 21",$G64="Z - Deferment (Under 21)",$G64="Please Enter The NI Cont. in ££££")),$G64,SUM(MAX(MIN(AH64-'Input Data'!$BG$3,'Input Data'!$BG$5-'Input Data'!$BG$3),0)*VLOOKUP($G64,'Input Data'!$BI$3:$BL$10,2,FALSE),MAX(MIN(AH64-'Input Data'!$BG$5,IF(OR($G64="M (under 21)",$G64="Z (under 21 - deferment)"),'Input Data'!$BG$6,IF($G64="H (Apprentice under 25)",'Input Data'!$BG$7,'Input Data'!$BG$8))-'Input Data'!$BG$5),0)*VLOOKUP($G64,'Input Data'!$BI$3:$BL$10,3,FALSE),MAX((AH64-IF(OR($G64="M (under 21)",$G64="Z (under 21 - deferment)"),'Input Data'!$BG$6,IF($G64="H (Apprentice under 25)",'Input Data'!$BG$7,'Input Data'!$BG$8))),0)*VLOOKUP($G64,'Input Data'!$BI$3:$BL$10,4,FALSE))))</f>
        <v>0</v>
      </c>
      <c r="AQ64" s="56">
        <f>IF($G64="",0,IF(NOT(OR($G64="A - All employees not in groups B, C, J, H, M or Z",$G64="B - Married women and widows entitled to reduced NI",$G64="C - Over the State Pension age",$G64="H - Apprentice under 25",$G64="J – Deferment",$G64="M - Under 21",$G64="Z - Deferment (Under 21)",$G64="Please Enter The NI Cont. in ££££")),$G64,SUM(MAX(MIN(AI64-'Input Data'!$BG$3,'Input Data'!$BG$5-'Input Data'!$BG$3),0)*VLOOKUP($G64,'Input Data'!$BI$3:$BL$10,2,FALSE),MAX(MIN(AI64-'Input Data'!$BG$5,IF(OR($G64="M (under 21)",$G64="Z (under 21 - deferment)"),'Input Data'!$BG$6,IF($G64="H (Apprentice under 25)",'Input Data'!$BG$7,'Input Data'!$BG$8))-'Input Data'!$BG$5),0)*VLOOKUP($G64,'Input Data'!$BI$3:$BL$10,3,FALSE),MAX((AI64-IF(OR($G64="M (under 21)",$G64="Z (under 21 - deferment)"),'Input Data'!$BG$6,IF($G64="H (Apprentice under 25)",'Input Data'!$BG$7,'Input Data'!$BG$8))),0)*VLOOKUP($G64,'Input Data'!$BI$3:$BL$10,4,FALSE))))</f>
        <v>0</v>
      </c>
      <c r="AR64" s="56">
        <f>IF($G64="",0,IF(NOT(OR($G64="A - All employees not in groups B, C, J, H, M or Z",$G64="B - Married women and widows entitled to reduced NI",$G64="C - Over the State Pension age",$G64="H - Apprentice under 25",$G64="J – Deferment",$G64="M - Under 21",$G64="Z - Deferment (Under 21)",$G64="Please Enter The NI Cont. in ££££")),$G64,SUM(MAX(MIN(AJ64-'Input Data'!$BG$3,'Input Data'!$BG$5-'Input Data'!$BG$3),0)*VLOOKUP($G64,'Input Data'!$BI$3:$BL$10,2,FALSE),MAX(MIN(AJ64-'Input Data'!$BG$5,IF(OR($G64="M (under 21)",$G64="Z (under 21 - deferment)"),'Input Data'!$BG$6,IF($G64="H (Apprentice under 25)",'Input Data'!$BG$7,'Input Data'!$BG$8))-'Input Data'!$BG$5),0)*VLOOKUP($G64,'Input Data'!$BI$3:$BL$10,3,FALSE),MAX((AJ64-IF(OR($G64="M (under 21)",$G64="Z (under 21 - deferment)"),'Input Data'!$BG$6,IF($G64="H (Apprentice under 25)",'Input Data'!$BG$7,'Input Data'!$BG$8))),0)*VLOOKUP($G64,'Input Data'!$BI$3:$BL$10,4,FALSE))))</f>
        <v>0</v>
      </c>
      <c r="AS64" s="56">
        <f>AC64*$F64</f>
        <v>0</v>
      </c>
      <c r="AT64" s="56">
        <f>AD64*$F64</f>
        <v>0</v>
      </c>
      <c r="AU64" s="56">
        <f>AE64*$F64</f>
        <v>0</v>
      </c>
      <c r="AV64" s="56">
        <f>AF64*$F64</f>
        <v>0</v>
      </c>
      <c r="AW64" s="56">
        <f>AG64*$F64</f>
        <v>0</v>
      </c>
      <c r="AX64" s="56">
        <f>AH64*$F64</f>
        <v>0</v>
      </c>
      <c r="AY64" s="56">
        <f>AI64*$F64</f>
        <v>0</v>
      </c>
      <c r="AZ64" s="56">
        <f>AJ64*$F64</f>
        <v>0</v>
      </c>
    </row>
    <row r="65" spans="2:52" ht="25.5">
      <c r="B65" s="60"/>
      <c r="C65" s="57" t="s">
        <v>99</v>
      </c>
      <c r="D65" s="58"/>
      <c r="E65" s="58"/>
      <c r="F65" s="535"/>
      <c r="G65" s="693" t="s">
        <v>1149</v>
      </c>
      <c r="H65" s="65"/>
      <c r="I65" s="65"/>
      <c r="J65" s="65"/>
      <c r="K65" s="65"/>
      <c r="L65" s="65"/>
      <c r="M65" s="65"/>
      <c r="N65" s="65"/>
      <c r="O65" s="65"/>
      <c r="P65" s="29"/>
      <c r="Q65" s="597"/>
      <c r="R65" s="61"/>
      <c r="T65" s="43">
        <f>SUM(AC65,AK65,AS65)</f>
        <v>0</v>
      </c>
      <c r="U65" s="43">
        <f>SUM(AD65,AL65,AT65)</f>
        <v>0</v>
      </c>
      <c r="V65" s="43">
        <f>SUM(AE65,AM65,AU65)</f>
        <v>0</v>
      </c>
      <c r="W65" s="43">
        <f>SUM(AF65,AN65,AV65)</f>
        <v>0</v>
      </c>
      <c r="X65" s="43">
        <f>SUM(AG65,AO65,AW65)</f>
        <v>0</v>
      </c>
      <c r="Y65" s="43">
        <f>SUM(AH65,AP65,AX65)</f>
        <v>0</v>
      </c>
      <c r="Z65" s="43">
        <f>SUM(AI65,AQ65,AY65)</f>
        <v>0</v>
      </c>
      <c r="AA65" s="43">
        <f>SUM(AJ65,AR65,AZ65)</f>
        <v>0</v>
      </c>
      <c r="AC65" s="631">
        <f>SUM($D65:$E65)*H65</f>
        <v>0</v>
      </c>
      <c r="AD65" s="631">
        <f>SUM($D65:$E65)*I65</f>
        <v>0</v>
      </c>
      <c r="AE65" s="631">
        <f>SUM($D65:$E65)*J65</f>
        <v>0</v>
      </c>
      <c r="AF65" s="631">
        <f>SUM($D65:$E65)*K65</f>
        <v>0</v>
      </c>
      <c r="AG65" s="631">
        <f>SUM($D65:$E65)*L65</f>
        <v>0</v>
      </c>
      <c r="AH65" s="631">
        <f>SUM($D65:$E65)*M65</f>
        <v>0</v>
      </c>
      <c r="AI65" s="631">
        <f>SUM($D65:$E65)*N65</f>
        <v>0</v>
      </c>
      <c r="AJ65" s="631">
        <f>SUM($D65:$E65)*O65</f>
        <v>0</v>
      </c>
      <c r="AK65" s="56">
        <f>IF($G65="",0,IF(NOT(OR($G65="A - All employees not in groups B, C, J, H, M or Z",$G65="B - Married women and widows entitled to reduced NI",$G65="C - Over the State Pension age",$G65="H - Apprentice under 25",$G65="J – Deferment",$G65="M - Under 21",$G65="Z - Deferment (Under 21)",$G65="Please Enter The NI Cont. in ££££")),$G65,SUM(MAX(MIN(AC65-'Input Data'!$BG$3,'Input Data'!$BG$5-'Input Data'!$BG$3),0)*VLOOKUP($G65,'Input Data'!$BI$3:$BL$10,2,FALSE),MAX(MIN(AC65-'Input Data'!$BG$5,IF(OR($G65="M (under 21)",$G65="Z (under 21 - deferment)"),'Input Data'!$BG$6,IF($G65="H (Apprentice under 25)",'Input Data'!$BG$7,'Input Data'!$BG$8))-'Input Data'!$BG$5),0)*VLOOKUP($G65,'Input Data'!$BI$3:$BL$10,3,FALSE),MAX((AC65-IF(OR($G65="M (under 21)",$G65="Z (under 21 - deferment)"),'Input Data'!$BG$6,IF($G65="H (Apprentice under 25)",'Input Data'!$BG$7,'Input Data'!$BG$8))),0)*VLOOKUP($G65,'Input Data'!$BI$3:$BL$10,4,FALSE))))</f>
        <v>0</v>
      </c>
      <c r="AL65" s="56">
        <f>IF($G65="",0,IF(NOT(OR($G65="A - All employees not in groups B, C, J, H, M or Z",$G65="B - Married women and widows entitled to reduced NI",$G65="C - Over the State Pension age",$G65="H - Apprentice under 25",$G65="J – Deferment",$G65="M - Under 21",$G65="Z - Deferment (Under 21)",$G65="Please Enter The NI Cont. in ££££")),$G65,SUM(MAX(MIN(AD65-'Input Data'!$BG$3,'Input Data'!$BG$5-'Input Data'!$BG$3),0)*VLOOKUP($G65,'Input Data'!$BI$3:$BL$10,2,FALSE),MAX(MIN(AD65-'Input Data'!$BG$5,IF(OR($G65="M (under 21)",$G65="Z (under 21 - deferment)"),'Input Data'!$BG$6,IF($G65="H (Apprentice under 25)",'Input Data'!$BG$7,'Input Data'!$BG$8))-'Input Data'!$BG$5),0)*VLOOKUP($G65,'Input Data'!$BI$3:$BL$10,3,FALSE),MAX((AD65-IF(OR($G65="M (under 21)",$G65="Z (under 21 - deferment)"),'Input Data'!$BG$6,IF($G65="H (Apprentice under 25)",'Input Data'!$BG$7,'Input Data'!$BG$8))),0)*VLOOKUP($G65,'Input Data'!$BI$3:$BL$10,4,FALSE))))</f>
        <v>0</v>
      </c>
      <c r="AM65" s="56">
        <f>IF($G65="",0,IF(NOT(OR($G65="A - All employees not in groups B, C, J, H, M or Z",$G65="B - Married women and widows entitled to reduced NI",$G65="C - Over the State Pension age",$G65="H - Apprentice under 25",$G65="J – Deferment",$G65="M - Under 21",$G65="Z - Deferment (Under 21)",$G65="Please Enter The NI Cont. in ££££")),$G65,SUM(MAX(MIN(AE65-'Input Data'!$BG$3,'Input Data'!$BG$5-'Input Data'!$BG$3),0)*VLOOKUP($G65,'Input Data'!$BI$3:$BL$10,2,FALSE),MAX(MIN(AE65-'Input Data'!$BG$5,IF(OR($G65="M (under 21)",$G65="Z (under 21 - deferment)"),'Input Data'!$BG$6,IF($G65="H (Apprentice under 25)",'Input Data'!$BG$7,'Input Data'!$BG$8))-'Input Data'!$BG$5),0)*VLOOKUP($G65,'Input Data'!$BI$3:$BL$10,3,FALSE),MAX((AE65-IF(OR($G65="M (under 21)",$G65="Z (under 21 - deferment)"),'Input Data'!$BG$6,IF($G65="H (Apprentice under 25)",'Input Data'!$BG$7,'Input Data'!$BG$8))),0)*VLOOKUP($G65,'Input Data'!$BI$3:$BL$10,4,FALSE))))</f>
        <v>0</v>
      </c>
      <c r="AN65" s="56">
        <f>IF($G65="",0,IF(NOT(OR($G65="A - All employees not in groups B, C, J, H, M or Z",$G65="B - Married women and widows entitled to reduced NI",$G65="C - Over the State Pension age",$G65="H - Apprentice under 25",$G65="J – Deferment",$G65="M - Under 21",$G65="Z - Deferment (Under 21)",$G65="Please Enter The NI Cont. in ££££")),$G65,SUM(MAX(MIN(AF65-'Input Data'!$BG$3,'Input Data'!$BG$5-'Input Data'!$BG$3),0)*VLOOKUP($G65,'Input Data'!$BI$3:$BL$10,2,FALSE),MAX(MIN(AF65-'Input Data'!$BG$5,IF(OR($G65="M (under 21)",$G65="Z (under 21 - deferment)"),'Input Data'!$BG$6,IF($G65="H (Apprentice under 25)",'Input Data'!$BG$7,'Input Data'!$BG$8))-'Input Data'!$BG$5),0)*VLOOKUP($G65,'Input Data'!$BI$3:$BL$10,3,FALSE),MAX((AF65-IF(OR($G65="M (under 21)",$G65="Z (under 21 - deferment)"),'Input Data'!$BG$6,IF($G65="H (Apprentice under 25)",'Input Data'!$BG$7,'Input Data'!$BG$8))),0)*VLOOKUP($G65,'Input Data'!$BI$3:$BL$10,4,FALSE))))</f>
        <v>0</v>
      </c>
      <c r="AO65" s="56">
        <f>IF($G65="",0,IF(NOT(OR($G65="A - All employees not in groups B, C, J, H, M or Z",$G65="B - Married women and widows entitled to reduced NI",$G65="C - Over the State Pension age",$G65="H - Apprentice under 25",$G65="J – Deferment",$G65="M - Under 21",$G65="Z - Deferment (Under 21)",$G65="Please Enter The NI Cont. in ££££")),$G65,SUM(MAX(MIN(AG65-'Input Data'!$BG$3,'Input Data'!$BG$5-'Input Data'!$BG$3),0)*VLOOKUP($G65,'Input Data'!$BI$3:$BL$10,2,FALSE),MAX(MIN(AG65-'Input Data'!$BG$5,IF(OR($G65="M (under 21)",$G65="Z (under 21 - deferment)"),'Input Data'!$BG$6,IF($G65="H (Apprentice under 25)",'Input Data'!$BG$7,'Input Data'!$BG$8))-'Input Data'!$BG$5),0)*VLOOKUP($G65,'Input Data'!$BI$3:$BL$10,3,FALSE),MAX((AG65-IF(OR($G65="M (under 21)",$G65="Z (under 21 - deferment)"),'Input Data'!$BG$6,IF($G65="H (Apprentice under 25)",'Input Data'!$BG$7,'Input Data'!$BG$8))),0)*VLOOKUP($G65,'Input Data'!$BI$3:$BL$10,4,FALSE))))</f>
        <v>0</v>
      </c>
      <c r="AP65" s="56">
        <f>IF($G65="",0,IF(NOT(OR($G65="A - All employees not in groups B, C, J, H, M or Z",$G65="B - Married women and widows entitled to reduced NI",$G65="C - Over the State Pension age",$G65="H - Apprentice under 25",$G65="J – Deferment",$G65="M - Under 21",$G65="Z - Deferment (Under 21)",$G65="Please Enter The NI Cont. in ££££")),$G65,SUM(MAX(MIN(AH65-'Input Data'!$BG$3,'Input Data'!$BG$5-'Input Data'!$BG$3),0)*VLOOKUP($G65,'Input Data'!$BI$3:$BL$10,2,FALSE),MAX(MIN(AH65-'Input Data'!$BG$5,IF(OR($G65="M (under 21)",$G65="Z (under 21 - deferment)"),'Input Data'!$BG$6,IF($G65="H (Apprentice under 25)",'Input Data'!$BG$7,'Input Data'!$BG$8))-'Input Data'!$BG$5),0)*VLOOKUP($G65,'Input Data'!$BI$3:$BL$10,3,FALSE),MAX((AH65-IF(OR($G65="M (under 21)",$G65="Z (under 21 - deferment)"),'Input Data'!$BG$6,IF($G65="H (Apprentice under 25)",'Input Data'!$BG$7,'Input Data'!$BG$8))),0)*VLOOKUP($G65,'Input Data'!$BI$3:$BL$10,4,FALSE))))</f>
        <v>0</v>
      </c>
      <c r="AQ65" s="56">
        <f>IF($G65="",0,IF(NOT(OR($G65="A - All employees not in groups B, C, J, H, M or Z",$G65="B - Married women and widows entitled to reduced NI",$G65="C - Over the State Pension age",$G65="H - Apprentice under 25",$G65="J – Deferment",$G65="M - Under 21",$G65="Z - Deferment (Under 21)",$G65="Please Enter The NI Cont. in ££££")),$G65,SUM(MAX(MIN(AI65-'Input Data'!$BG$3,'Input Data'!$BG$5-'Input Data'!$BG$3),0)*VLOOKUP($G65,'Input Data'!$BI$3:$BL$10,2,FALSE),MAX(MIN(AI65-'Input Data'!$BG$5,IF(OR($G65="M (under 21)",$G65="Z (under 21 - deferment)"),'Input Data'!$BG$6,IF($G65="H (Apprentice under 25)",'Input Data'!$BG$7,'Input Data'!$BG$8))-'Input Data'!$BG$5),0)*VLOOKUP($G65,'Input Data'!$BI$3:$BL$10,3,FALSE),MAX((AI65-IF(OR($G65="M (under 21)",$G65="Z (under 21 - deferment)"),'Input Data'!$BG$6,IF($G65="H (Apprentice under 25)",'Input Data'!$BG$7,'Input Data'!$BG$8))),0)*VLOOKUP($G65,'Input Data'!$BI$3:$BL$10,4,FALSE))))</f>
        <v>0</v>
      </c>
      <c r="AR65" s="56">
        <f>IF($G65="",0,IF(NOT(OR($G65="A - All employees not in groups B, C, J, H, M or Z",$G65="B - Married women and widows entitled to reduced NI",$G65="C - Over the State Pension age",$G65="H - Apprentice under 25",$G65="J – Deferment",$G65="M - Under 21",$G65="Z - Deferment (Under 21)",$G65="Please Enter The NI Cont. in ££££")),$G65,SUM(MAX(MIN(AJ65-'Input Data'!$BG$3,'Input Data'!$BG$5-'Input Data'!$BG$3),0)*VLOOKUP($G65,'Input Data'!$BI$3:$BL$10,2,FALSE),MAX(MIN(AJ65-'Input Data'!$BG$5,IF(OR($G65="M (under 21)",$G65="Z (under 21 - deferment)"),'Input Data'!$BG$6,IF($G65="H (Apprentice under 25)",'Input Data'!$BG$7,'Input Data'!$BG$8))-'Input Data'!$BG$5),0)*VLOOKUP($G65,'Input Data'!$BI$3:$BL$10,3,FALSE),MAX((AJ65-IF(OR($G65="M (under 21)",$G65="Z (under 21 - deferment)"),'Input Data'!$BG$6,IF($G65="H (Apprentice under 25)",'Input Data'!$BG$7,'Input Data'!$BG$8))),0)*VLOOKUP($G65,'Input Data'!$BI$3:$BL$10,4,FALSE))))</f>
        <v>0</v>
      </c>
      <c r="AS65" s="56">
        <f>AC65*$F65</f>
        <v>0</v>
      </c>
      <c r="AT65" s="56">
        <f>AD65*$F65</f>
        <v>0</v>
      </c>
      <c r="AU65" s="56">
        <f>AE65*$F65</f>
        <v>0</v>
      </c>
      <c r="AV65" s="56">
        <f>AF65*$F65</f>
        <v>0</v>
      </c>
      <c r="AW65" s="56">
        <f>AG65*$F65</f>
        <v>0</v>
      </c>
      <c r="AX65" s="56">
        <f>AH65*$F65</f>
        <v>0</v>
      </c>
      <c r="AY65" s="56">
        <f>AI65*$F65</f>
        <v>0</v>
      </c>
      <c r="AZ65" s="56">
        <f>AJ65*$F65</f>
        <v>0</v>
      </c>
    </row>
    <row r="66" spans="2:52" ht="25.5">
      <c r="B66" s="60"/>
      <c r="C66" s="57" t="s">
        <v>100</v>
      </c>
      <c r="D66" s="58"/>
      <c r="E66" s="58"/>
      <c r="F66" s="535"/>
      <c r="G66" s="693" t="s">
        <v>1149</v>
      </c>
      <c r="H66" s="65"/>
      <c r="I66" s="65"/>
      <c r="J66" s="65"/>
      <c r="K66" s="65"/>
      <c r="L66" s="65"/>
      <c r="M66" s="65"/>
      <c r="N66" s="65"/>
      <c r="O66" s="65"/>
      <c r="P66" s="29"/>
      <c r="Q66" s="597"/>
      <c r="R66" s="61"/>
      <c r="T66" s="43">
        <f>SUM(AC66,AK66,AS66)</f>
        <v>0</v>
      </c>
      <c r="U66" s="43">
        <f>SUM(AD66,AL66,AT66)</f>
        <v>0</v>
      </c>
      <c r="V66" s="43">
        <f>SUM(AE66,AM66,AU66)</f>
        <v>0</v>
      </c>
      <c r="W66" s="43">
        <f>SUM(AF66,AN66,AV66)</f>
        <v>0</v>
      </c>
      <c r="X66" s="43">
        <f>SUM(AG66,AO66,AW66)</f>
        <v>0</v>
      </c>
      <c r="Y66" s="43">
        <f>SUM(AH66,AP66,AX66)</f>
        <v>0</v>
      </c>
      <c r="Z66" s="43">
        <f>SUM(AI66,AQ66,AY66)</f>
        <v>0</v>
      </c>
      <c r="AA66" s="43">
        <f>SUM(AJ66,AR66,AZ66)</f>
        <v>0</v>
      </c>
      <c r="AC66" s="631">
        <f>SUM($D66:$E66)*H66</f>
        <v>0</v>
      </c>
      <c r="AD66" s="631">
        <f>SUM($D66:$E66)*I66</f>
        <v>0</v>
      </c>
      <c r="AE66" s="631">
        <f>SUM($D66:$E66)*J66</f>
        <v>0</v>
      </c>
      <c r="AF66" s="631">
        <f>SUM($D66:$E66)*K66</f>
        <v>0</v>
      </c>
      <c r="AG66" s="631">
        <f>SUM($D66:$E66)*L66</f>
        <v>0</v>
      </c>
      <c r="AH66" s="631">
        <f>SUM($D66:$E66)*M66</f>
        <v>0</v>
      </c>
      <c r="AI66" s="631">
        <f>SUM($D66:$E66)*N66</f>
        <v>0</v>
      </c>
      <c r="AJ66" s="631">
        <f>SUM($D66:$E66)*O66</f>
        <v>0</v>
      </c>
      <c r="AK66" s="56">
        <f>IF($G66="",0,IF(NOT(OR($G66="A - All employees not in groups B, C, J, H, M or Z",$G66="B - Married women and widows entitled to reduced NI",$G66="C - Over the State Pension age",$G66="H - Apprentice under 25",$G66="J – Deferment",$G66="M - Under 21",$G66="Z - Deferment (Under 21)",$G66="Please Enter The NI Cont. in ££££")),$G66,SUM(MAX(MIN(AC66-'Input Data'!$BG$3,'Input Data'!$BG$5-'Input Data'!$BG$3),0)*VLOOKUP($G66,'Input Data'!$BI$3:$BL$10,2,FALSE),MAX(MIN(AC66-'Input Data'!$BG$5,IF(OR($G66="M (under 21)",$G66="Z (under 21 - deferment)"),'Input Data'!$BG$6,IF($G66="H (Apprentice under 25)",'Input Data'!$BG$7,'Input Data'!$BG$8))-'Input Data'!$BG$5),0)*VLOOKUP($G66,'Input Data'!$BI$3:$BL$10,3,FALSE),MAX((AC66-IF(OR($G66="M (under 21)",$G66="Z (under 21 - deferment)"),'Input Data'!$BG$6,IF($G66="H (Apprentice under 25)",'Input Data'!$BG$7,'Input Data'!$BG$8))),0)*VLOOKUP($G66,'Input Data'!$BI$3:$BL$10,4,FALSE))))</f>
        <v>0</v>
      </c>
      <c r="AL66" s="56">
        <f>IF($G66="",0,IF(NOT(OR($G66="A - All employees not in groups B, C, J, H, M or Z",$G66="B - Married women and widows entitled to reduced NI",$G66="C - Over the State Pension age",$G66="H - Apprentice under 25",$G66="J – Deferment",$G66="M - Under 21",$G66="Z - Deferment (Under 21)",$G66="Please Enter The NI Cont. in ££££")),$G66,SUM(MAX(MIN(AD66-'Input Data'!$BG$3,'Input Data'!$BG$5-'Input Data'!$BG$3),0)*VLOOKUP($G66,'Input Data'!$BI$3:$BL$10,2,FALSE),MAX(MIN(AD66-'Input Data'!$BG$5,IF(OR($G66="M (under 21)",$G66="Z (under 21 - deferment)"),'Input Data'!$BG$6,IF($G66="H (Apprentice under 25)",'Input Data'!$BG$7,'Input Data'!$BG$8))-'Input Data'!$BG$5),0)*VLOOKUP($G66,'Input Data'!$BI$3:$BL$10,3,FALSE),MAX((AD66-IF(OR($G66="M (under 21)",$G66="Z (under 21 - deferment)"),'Input Data'!$BG$6,IF($G66="H (Apprentice under 25)",'Input Data'!$BG$7,'Input Data'!$BG$8))),0)*VLOOKUP($G66,'Input Data'!$BI$3:$BL$10,4,FALSE))))</f>
        <v>0</v>
      </c>
      <c r="AM66" s="56">
        <f>IF($G66="",0,IF(NOT(OR($G66="A - All employees not in groups B, C, J, H, M or Z",$G66="B - Married women and widows entitled to reduced NI",$G66="C - Over the State Pension age",$G66="H - Apprentice under 25",$G66="J – Deferment",$G66="M - Under 21",$G66="Z - Deferment (Under 21)",$G66="Please Enter The NI Cont. in ££££")),$G66,SUM(MAX(MIN(AE66-'Input Data'!$BG$3,'Input Data'!$BG$5-'Input Data'!$BG$3),0)*VLOOKUP($G66,'Input Data'!$BI$3:$BL$10,2,FALSE),MAX(MIN(AE66-'Input Data'!$BG$5,IF(OR($G66="M (under 21)",$G66="Z (under 21 - deferment)"),'Input Data'!$BG$6,IF($G66="H (Apprentice under 25)",'Input Data'!$BG$7,'Input Data'!$BG$8))-'Input Data'!$BG$5),0)*VLOOKUP($G66,'Input Data'!$BI$3:$BL$10,3,FALSE),MAX((AE66-IF(OR($G66="M (under 21)",$G66="Z (under 21 - deferment)"),'Input Data'!$BG$6,IF($G66="H (Apprentice under 25)",'Input Data'!$BG$7,'Input Data'!$BG$8))),0)*VLOOKUP($G66,'Input Data'!$BI$3:$BL$10,4,FALSE))))</f>
        <v>0</v>
      </c>
      <c r="AN66" s="56">
        <f>IF($G66="",0,IF(NOT(OR($G66="A - All employees not in groups B, C, J, H, M or Z",$G66="B - Married women and widows entitled to reduced NI",$G66="C - Over the State Pension age",$G66="H - Apprentice under 25",$G66="J – Deferment",$G66="M - Under 21",$G66="Z - Deferment (Under 21)",$G66="Please Enter The NI Cont. in ££££")),$G66,SUM(MAX(MIN(AF66-'Input Data'!$BG$3,'Input Data'!$BG$5-'Input Data'!$BG$3),0)*VLOOKUP($G66,'Input Data'!$BI$3:$BL$10,2,FALSE),MAX(MIN(AF66-'Input Data'!$BG$5,IF(OR($G66="M (under 21)",$G66="Z (under 21 - deferment)"),'Input Data'!$BG$6,IF($G66="H (Apprentice under 25)",'Input Data'!$BG$7,'Input Data'!$BG$8))-'Input Data'!$BG$5),0)*VLOOKUP($G66,'Input Data'!$BI$3:$BL$10,3,FALSE),MAX((AF66-IF(OR($G66="M (under 21)",$G66="Z (under 21 - deferment)"),'Input Data'!$BG$6,IF($G66="H (Apprentice under 25)",'Input Data'!$BG$7,'Input Data'!$BG$8))),0)*VLOOKUP($G66,'Input Data'!$BI$3:$BL$10,4,FALSE))))</f>
        <v>0</v>
      </c>
      <c r="AO66" s="56">
        <f>IF($G66="",0,IF(NOT(OR($G66="A - All employees not in groups B, C, J, H, M or Z",$G66="B - Married women and widows entitled to reduced NI",$G66="C - Over the State Pension age",$G66="H - Apprentice under 25",$G66="J – Deferment",$G66="M - Under 21",$G66="Z - Deferment (Under 21)",$G66="Please Enter The NI Cont. in ££££")),$G66,SUM(MAX(MIN(AG66-'Input Data'!$BG$3,'Input Data'!$BG$5-'Input Data'!$BG$3),0)*VLOOKUP($G66,'Input Data'!$BI$3:$BL$10,2,FALSE),MAX(MIN(AG66-'Input Data'!$BG$5,IF(OR($G66="M (under 21)",$G66="Z (under 21 - deferment)"),'Input Data'!$BG$6,IF($G66="H (Apprentice under 25)",'Input Data'!$BG$7,'Input Data'!$BG$8))-'Input Data'!$BG$5),0)*VLOOKUP($G66,'Input Data'!$BI$3:$BL$10,3,FALSE),MAX((AG66-IF(OR($G66="M (under 21)",$G66="Z (under 21 - deferment)"),'Input Data'!$BG$6,IF($G66="H (Apprentice under 25)",'Input Data'!$BG$7,'Input Data'!$BG$8))),0)*VLOOKUP($G66,'Input Data'!$BI$3:$BL$10,4,FALSE))))</f>
        <v>0</v>
      </c>
      <c r="AP66" s="56">
        <f>IF($G66="",0,IF(NOT(OR($G66="A - All employees not in groups B, C, J, H, M or Z",$G66="B - Married women and widows entitled to reduced NI",$G66="C - Over the State Pension age",$G66="H - Apprentice under 25",$G66="J – Deferment",$G66="M - Under 21",$G66="Z - Deferment (Under 21)",$G66="Please Enter The NI Cont. in ££££")),$G66,SUM(MAX(MIN(AH66-'Input Data'!$BG$3,'Input Data'!$BG$5-'Input Data'!$BG$3),0)*VLOOKUP($G66,'Input Data'!$BI$3:$BL$10,2,FALSE),MAX(MIN(AH66-'Input Data'!$BG$5,IF(OR($G66="M (under 21)",$G66="Z (under 21 - deferment)"),'Input Data'!$BG$6,IF($G66="H (Apprentice under 25)",'Input Data'!$BG$7,'Input Data'!$BG$8))-'Input Data'!$BG$5),0)*VLOOKUP($G66,'Input Data'!$BI$3:$BL$10,3,FALSE),MAX((AH66-IF(OR($G66="M (under 21)",$G66="Z (under 21 - deferment)"),'Input Data'!$BG$6,IF($G66="H (Apprentice under 25)",'Input Data'!$BG$7,'Input Data'!$BG$8))),0)*VLOOKUP($G66,'Input Data'!$BI$3:$BL$10,4,FALSE))))</f>
        <v>0</v>
      </c>
      <c r="AQ66" s="56">
        <f>IF($G66="",0,IF(NOT(OR($G66="A - All employees not in groups B, C, J, H, M or Z",$G66="B - Married women and widows entitled to reduced NI",$G66="C - Over the State Pension age",$G66="H - Apprentice under 25",$G66="J – Deferment",$G66="M - Under 21",$G66="Z - Deferment (Under 21)",$G66="Please Enter The NI Cont. in ££££")),$G66,SUM(MAX(MIN(AI66-'Input Data'!$BG$3,'Input Data'!$BG$5-'Input Data'!$BG$3),0)*VLOOKUP($G66,'Input Data'!$BI$3:$BL$10,2,FALSE),MAX(MIN(AI66-'Input Data'!$BG$5,IF(OR($G66="M (under 21)",$G66="Z (under 21 - deferment)"),'Input Data'!$BG$6,IF($G66="H (Apprentice under 25)",'Input Data'!$BG$7,'Input Data'!$BG$8))-'Input Data'!$BG$5),0)*VLOOKUP($G66,'Input Data'!$BI$3:$BL$10,3,FALSE),MAX((AI66-IF(OR($G66="M (under 21)",$G66="Z (under 21 - deferment)"),'Input Data'!$BG$6,IF($G66="H (Apprentice under 25)",'Input Data'!$BG$7,'Input Data'!$BG$8))),0)*VLOOKUP($G66,'Input Data'!$BI$3:$BL$10,4,FALSE))))</f>
        <v>0</v>
      </c>
      <c r="AR66" s="56">
        <f>IF($G66="",0,IF(NOT(OR($G66="A - All employees not in groups B, C, J, H, M or Z",$G66="B - Married women and widows entitled to reduced NI",$G66="C - Over the State Pension age",$G66="H - Apprentice under 25",$G66="J – Deferment",$G66="M - Under 21",$G66="Z - Deferment (Under 21)",$G66="Please Enter The NI Cont. in ££££")),$G66,SUM(MAX(MIN(AJ66-'Input Data'!$BG$3,'Input Data'!$BG$5-'Input Data'!$BG$3),0)*VLOOKUP($G66,'Input Data'!$BI$3:$BL$10,2,FALSE),MAX(MIN(AJ66-'Input Data'!$BG$5,IF(OR($G66="M (under 21)",$G66="Z (under 21 - deferment)"),'Input Data'!$BG$6,IF($G66="H (Apprentice under 25)",'Input Data'!$BG$7,'Input Data'!$BG$8))-'Input Data'!$BG$5),0)*VLOOKUP($G66,'Input Data'!$BI$3:$BL$10,3,FALSE),MAX((AJ66-IF(OR($G66="M (under 21)",$G66="Z (under 21 - deferment)"),'Input Data'!$BG$6,IF($G66="H (Apprentice under 25)",'Input Data'!$BG$7,'Input Data'!$BG$8))),0)*VLOOKUP($G66,'Input Data'!$BI$3:$BL$10,4,FALSE))))</f>
        <v>0</v>
      </c>
      <c r="AS66" s="56">
        <f>AC66*$F66</f>
        <v>0</v>
      </c>
      <c r="AT66" s="56">
        <f>AD66*$F66</f>
        <v>0</v>
      </c>
      <c r="AU66" s="56">
        <f>AE66*$F66</f>
        <v>0</v>
      </c>
      <c r="AV66" s="56">
        <f>AF66*$F66</f>
        <v>0</v>
      </c>
      <c r="AW66" s="56">
        <f>AG66*$F66</f>
        <v>0</v>
      </c>
      <c r="AX66" s="56">
        <f>AH66*$F66</f>
        <v>0</v>
      </c>
      <c r="AY66" s="56">
        <f>AI66*$F66</f>
        <v>0</v>
      </c>
      <c r="AZ66" s="56">
        <f>AJ66*$F66</f>
        <v>0</v>
      </c>
    </row>
    <row r="67" spans="2:52" ht="25.5">
      <c r="B67" s="60"/>
      <c r="C67" s="57" t="s">
        <v>101</v>
      </c>
      <c r="D67" s="58"/>
      <c r="E67" s="58"/>
      <c r="F67" s="535"/>
      <c r="G67" s="693" t="s">
        <v>1149</v>
      </c>
      <c r="H67" s="65"/>
      <c r="I67" s="65"/>
      <c r="J67" s="65"/>
      <c r="K67" s="65"/>
      <c r="L67" s="65"/>
      <c r="M67" s="65"/>
      <c r="N67" s="65"/>
      <c r="O67" s="65"/>
      <c r="P67" s="29"/>
      <c r="Q67" s="597"/>
      <c r="R67" s="61"/>
      <c r="T67" s="43">
        <f>SUM(AC67,AK67,AS67)</f>
        <v>0</v>
      </c>
      <c r="U67" s="43">
        <f>SUM(AD67,AL67,AT67)</f>
        <v>0</v>
      </c>
      <c r="V67" s="43">
        <f>SUM(AE67,AM67,AU67)</f>
        <v>0</v>
      </c>
      <c r="W67" s="43">
        <f>SUM(AF67,AN67,AV67)</f>
        <v>0</v>
      </c>
      <c r="X67" s="43">
        <f>SUM(AG67,AO67,AW67)</f>
        <v>0</v>
      </c>
      <c r="Y67" s="43">
        <f>SUM(AH67,AP67,AX67)</f>
        <v>0</v>
      </c>
      <c r="Z67" s="43">
        <f>SUM(AI67,AQ67,AY67)</f>
        <v>0</v>
      </c>
      <c r="AA67" s="43">
        <f>SUM(AJ67,AR67,AZ67)</f>
        <v>0</v>
      </c>
      <c r="AC67" s="631">
        <f>SUM($D67:$E67)*H67</f>
        <v>0</v>
      </c>
      <c r="AD67" s="631">
        <f>SUM($D67:$E67)*I67</f>
        <v>0</v>
      </c>
      <c r="AE67" s="631">
        <f>SUM($D67:$E67)*J67</f>
        <v>0</v>
      </c>
      <c r="AF67" s="631">
        <f>SUM($D67:$E67)*K67</f>
        <v>0</v>
      </c>
      <c r="AG67" s="631">
        <f>SUM($D67:$E67)*L67</f>
        <v>0</v>
      </c>
      <c r="AH67" s="631">
        <f>SUM($D67:$E67)*M67</f>
        <v>0</v>
      </c>
      <c r="AI67" s="631">
        <f>SUM($D67:$E67)*N67</f>
        <v>0</v>
      </c>
      <c r="AJ67" s="631">
        <f>SUM($D67:$E67)*O67</f>
        <v>0</v>
      </c>
      <c r="AK67" s="56">
        <f>IF($G67="",0,IF(NOT(OR($G67="A - All employees not in groups B, C, J, H, M or Z",$G67="B - Married women and widows entitled to reduced NI",$G67="C - Over the State Pension age",$G67="H - Apprentice under 25",$G67="J – Deferment",$G67="M - Under 21",$G67="Z - Deferment (Under 21)",$G67="Please Enter The NI Cont. in ££££")),$G67,SUM(MAX(MIN(AC67-'Input Data'!$BG$3,'Input Data'!$BG$5-'Input Data'!$BG$3),0)*VLOOKUP($G67,'Input Data'!$BI$3:$BL$10,2,FALSE),MAX(MIN(AC67-'Input Data'!$BG$5,IF(OR($G67="M (under 21)",$G67="Z (under 21 - deferment)"),'Input Data'!$BG$6,IF($G67="H (Apprentice under 25)",'Input Data'!$BG$7,'Input Data'!$BG$8))-'Input Data'!$BG$5),0)*VLOOKUP($G67,'Input Data'!$BI$3:$BL$10,3,FALSE),MAX((AC67-IF(OR($G67="M (under 21)",$G67="Z (under 21 - deferment)"),'Input Data'!$BG$6,IF($G67="H (Apprentice under 25)",'Input Data'!$BG$7,'Input Data'!$BG$8))),0)*VLOOKUP($G67,'Input Data'!$BI$3:$BL$10,4,FALSE))))</f>
        <v>0</v>
      </c>
      <c r="AL67" s="56">
        <f>IF($G67="",0,IF(NOT(OR($G67="A - All employees not in groups B, C, J, H, M or Z",$G67="B - Married women and widows entitled to reduced NI",$G67="C - Over the State Pension age",$G67="H - Apprentice under 25",$G67="J – Deferment",$G67="M - Under 21",$G67="Z - Deferment (Under 21)",$G67="Please Enter The NI Cont. in ££££")),$G67,SUM(MAX(MIN(AD67-'Input Data'!$BG$3,'Input Data'!$BG$5-'Input Data'!$BG$3),0)*VLOOKUP($G67,'Input Data'!$BI$3:$BL$10,2,FALSE),MAX(MIN(AD67-'Input Data'!$BG$5,IF(OR($G67="M (under 21)",$G67="Z (under 21 - deferment)"),'Input Data'!$BG$6,IF($G67="H (Apprentice under 25)",'Input Data'!$BG$7,'Input Data'!$BG$8))-'Input Data'!$BG$5),0)*VLOOKUP($G67,'Input Data'!$BI$3:$BL$10,3,FALSE),MAX((AD67-IF(OR($G67="M (under 21)",$G67="Z (under 21 - deferment)"),'Input Data'!$BG$6,IF($G67="H (Apprentice under 25)",'Input Data'!$BG$7,'Input Data'!$BG$8))),0)*VLOOKUP($G67,'Input Data'!$BI$3:$BL$10,4,FALSE))))</f>
        <v>0</v>
      </c>
      <c r="AM67" s="56">
        <f>IF($G67="",0,IF(NOT(OR($G67="A - All employees not in groups B, C, J, H, M or Z",$G67="B - Married women and widows entitled to reduced NI",$G67="C - Over the State Pension age",$G67="H - Apprentice under 25",$G67="J – Deferment",$G67="M - Under 21",$G67="Z - Deferment (Under 21)",$G67="Please Enter The NI Cont. in ££££")),$G67,SUM(MAX(MIN(AE67-'Input Data'!$BG$3,'Input Data'!$BG$5-'Input Data'!$BG$3),0)*VLOOKUP($G67,'Input Data'!$BI$3:$BL$10,2,FALSE),MAX(MIN(AE67-'Input Data'!$BG$5,IF(OR($G67="M (under 21)",$G67="Z (under 21 - deferment)"),'Input Data'!$BG$6,IF($G67="H (Apprentice under 25)",'Input Data'!$BG$7,'Input Data'!$BG$8))-'Input Data'!$BG$5),0)*VLOOKUP($G67,'Input Data'!$BI$3:$BL$10,3,FALSE),MAX((AE67-IF(OR($G67="M (under 21)",$G67="Z (under 21 - deferment)"),'Input Data'!$BG$6,IF($G67="H (Apprentice under 25)",'Input Data'!$BG$7,'Input Data'!$BG$8))),0)*VLOOKUP($G67,'Input Data'!$BI$3:$BL$10,4,FALSE))))</f>
        <v>0</v>
      </c>
      <c r="AN67" s="56">
        <f>IF($G67="",0,IF(NOT(OR($G67="A - All employees not in groups B, C, J, H, M or Z",$G67="B - Married women and widows entitled to reduced NI",$G67="C - Over the State Pension age",$G67="H - Apprentice under 25",$G67="J – Deferment",$G67="M - Under 21",$G67="Z - Deferment (Under 21)",$G67="Please Enter The NI Cont. in ££££")),$G67,SUM(MAX(MIN(AF67-'Input Data'!$BG$3,'Input Data'!$BG$5-'Input Data'!$BG$3),0)*VLOOKUP($G67,'Input Data'!$BI$3:$BL$10,2,FALSE),MAX(MIN(AF67-'Input Data'!$BG$5,IF(OR($G67="M (under 21)",$G67="Z (under 21 - deferment)"),'Input Data'!$BG$6,IF($G67="H (Apprentice under 25)",'Input Data'!$BG$7,'Input Data'!$BG$8))-'Input Data'!$BG$5),0)*VLOOKUP($G67,'Input Data'!$BI$3:$BL$10,3,FALSE),MAX((AF67-IF(OR($G67="M (under 21)",$G67="Z (under 21 - deferment)"),'Input Data'!$BG$6,IF($G67="H (Apprentice under 25)",'Input Data'!$BG$7,'Input Data'!$BG$8))),0)*VLOOKUP($G67,'Input Data'!$BI$3:$BL$10,4,FALSE))))</f>
        <v>0</v>
      </c>
      <c r="AO67" s="56">
        <f>IF($G67="",0,IF(NOT(OR($G67="A - All employees not in groups B, C, J, H, M or Z",$G67="B - Married women and widows entitled to reduced NI",$G67="C - Over the State Pension age",$G67="H - Apprentice under 25",$G67="J – Deferment",$G67="M - Under 21",$G67="Z - Deferment (Under 21)",$G67="Please Enter The NI Cont. in ££££")),$G67,SUM(MAX(MIN(AG67-'Input Data'!$BG$3,'Input Data'!$BG$5-'Input Data'!$BG$3),0)*VLOOKUP($G67,'Input Data'!$BI$3:$BL$10,2,FALSE),MAX(MIN(AG67-'Input Data'!$BG$5,IF(OR($G67="M (under 21)",$G67="Z (under 21 - deferment)"),'Input Data'!$BG$6,IF($G67="H (Apprentice under 25)",'Input Data'!$BG$7,'Input Data'!$BG$8))-'Input Data'!$BG$5),0)*VLOOKUP($G67,'Input Data'!$BI$3:$BL$10,3,FALSE),MAX((AG67-IF(OR($G67="M (under 21)",$G67="Z (under 21 - deferment)"),'Input Data'!$BG$6,IF($G67="H (Apprentice under 25)",'Input Data'!$BG$7,'Input Data'!$BG$8))),0)*VLOOKUP($G67,'Input Data'!$BI$3:$BL$10,4,FALSE))))</f>
        <v>0</v>
      </c>
      <c r="AP67" s="56">
        <f>IF($G67="",0,IF(NOT(OR($G67="A - All employees not in groups B, C, J, H, M or Z",$G67="B - Married women and widows entitled to reduced NI",$G67="C - Over the State Pension age",$G67="H - Apprentice under 25",$G67="J – Deferment",$G67="M - Under 21",$G67="Z - Deferment (Under 21)",$G67="Please Enter The NI Cont. in ££££")),$G67,SUM(MAX(MIN(AH67-'Input Data'!$BG$3,'Input Data'!$BG$5-'Input Data'!$BG$3),0)*VLOOKUP($G67,'Input Data'!$BI$3:$BL$10,2,FALSE),MAX(MIN(AH67-'Input Data'!$BG$5,IF(OR($G67="M (under 21)",$G67="Z (under 21 - deferment)"),'Input Data'!$BG$6,IF($G67="H (Apprentice under 25)",'Input Data'!$BG$7,'Input Data'!$BG$8))-'Input Data'!$BG$5),0)*VLOOKUP($G67,'Input Data'!$BI$3:$BL$10,3,FALSE),MAX((AH67-IF(OR($G67="M (under 21)",$G67="Z (under 21 - deferment)"),'Input Data'!$BG$6,IF($G67="H (Apprentice under 25)",'Input Data'!$BG$7,'Input Data'!$BG$8))),0)*VLOOKUP($G67,'Input Data'!$BI$3:$BL$10,4,FALSE))))</f>
        <v>0</v>
      </c>
      <c r="AQ67" s="56">
        <f>IF($G67="",0,IF(NOT(OR($G67="A - All employees not in groups B, C, J, H, M or Z",$G67="B - Married women and widows entitled to reduced NI",$G67="C - Over the State Pension age",$G67="H - Apprentice under 25",$G67="J – Deferment",$G67="M - Under 21",$G67="Z - Deferment (Under 21)",$G67="Please Enter The NI Cont. in ££££")),$G67,SUM(MAX(MIN(AI67-'Input Data'!$BG$3,'Input Data'!$BG$5-'Input Data'!$BG$3),0)*VLOOKUP($G67,'Input Data'!$BI$3:$BL$10,2,FALSE),MAX(MIN(AI67-'Input Data'!$BG$5,IF(OR($G67="M (under 21)",$G67="Z (under 21 - deferment)"),'Input Data'!$BG$6,IF($G67="H (Apprentice under 25)",'Input Data'!$BG$7,'Input Data'!$BG$8))-'Input Data'!$BG$5),0)*VLOOKUP($G67,'Input Data'!$BI$3:$BL$10,3,FALSE),MAX((AI67-IF(OR($G67="M (under 21)",$G67="Z (under 21 - deferment)"),'Input Data'!$BG$6,IF($G67="H (Apprentice under 25)",'Input Data'!$BG$7,'Input Data'!$BG$8))),0)*VLOOKUP($G67,'Input Data'!$BI$3:$BL$10,4,FALSE))))</f>
        <v>0</v>
      </c>
      <c r="AR67" s="56">
        <f>IF($G67="",0,IF(NOT(OR($G67="A - All employees not in groups B, C, J, H, M or Z",$G67="B - Married women and widows entitled to reduced NI",$G67="C - Over the State Pension age",$G67="H - Apprentice under 25",$G67="J – Deferment",$G67="M - Under 21",$G67="Z - Deferment (Under 21)",$G67="Please Enter The NI Cont. in ££££")),$G67,SUM(MAX(MIN(AJ67-'Input Data'!$BG$3,'Input Data'!$BG$5-'Input Data'!$BG$3),0)*VLOOKUP($G67,'Input Data'!$BI$3:$BL$10,2,FALSE),MAX(MIN(AJ67-'Input Data'!$BG$5,IF(OR($G67="M (under 21)",$G67="Z (under 21 - deferment)"),'Input Data'!$BG$6,IF($G67="H (Apprentice under 25)",'Input Data'!$BG$7,'Input Data'!$BG$8))-'Input Data'!$BG$5),0)*VLOOKUP($G67,'Input Data'!$BI$3:$BL$10,3,FALSE),MAX((AJ67-IF(OR($G67="M (under 21)",$G67="Z (under 21 - deferment)"),'Input Data'!$BG$6,IF($G67="H (Apprentice under 25)",'Input Data'!$BG$7,'Input Data'!$BG$8))),0)*VLOOKUP($G67,'Input Data'!$BI$3:$BL$10,4,FALSE))))</f>
        <v>0</v>
      </c>
      <c r="AS67" s="56">
        <f>AC67*$F67</f>
        <v>0</v>
      </c>
      <c r="AT67" s="56">
        <f>AD67*$F67</f>
        <v>0</v>
      </c>
      <c r="AU67" s="56">
        <f>AE67*$F67</f>
        <v>0</v>
      </c>
      <c r="AV67" s="56">
        <f>AF67*$F67</f>
        <v>0</v>
      </c>
      <c r="AW67" s="56">
        <f>AG67*$F67</f>
        <v>0</v>
      </c>
      <c r="AX67" s="56">
        <f>AH67*$F67</f>
        <v>0</v>
      </c>
      <c r="AY67" s="56">
        <f>AI67*$F67</f>
        <v>0</v>
      </c>
      <c r="AZ67" s="56">
        <f>AJ67*$F67</f>
        <v>0</v>
      </c>
    </row>
    <row r="68" spans="2:52" ht="25.5">
      <c r="B68" s="60"/>
      <c r="C68" s="57" t="s">
        <v>102</v>
      </c>
      <c r="D68" s="58"/>
      <c r="E68" s="58"/>
      <c r="F68" s="535"/>
      <c r="G68" s="693" t="s">
        <v>1149</v>
      </c>
      <c r="H68" s="65"/>
      <c r="I68" s="65"/>
      <c r="J68" s="65"/>
      <c r="K68" s="65"/>
      <c r="L68" s="65"/>
      <c r="M68" s="65"/>
      <c r="N68" s="65"/>
      <c r="O68" s="65"/>
      <c r="P68" s="29"/>
      <c r="Q68" s="597"/>
      <c r="R68" s="61"/>
      <c r="T68" s="43">
        <f>SUM(AC68,AK68,AS68)</f>
        <v>0</v>
      </c>
      <c r="U68" s="43">
        <f>SUM(AD68,AL68,AT68)</f>
        <v>0</v>
      </c>
      <c r="V68" s="43">
        <f>SUM(AE68,AM68,AU68)</f>
        <v>0</v>
      </c>
      <c r="W68" s="43">
        <f>SUM(AF68,AN68,AV68)</f>
        <v>0</v>
      </c>
      <c r="X68" s="43">
        <f>SUM(AG68,AO68,AW68)</f>
        <v>0</v>
      </c>
      <c r="Y68" s="43">
        <f>SUM(AH68,AP68,AX68)</f>
        <v>0</v>
      </c>
      <c r="Z68" s="43">
        <f>SUM(AI68,AQ68,AY68)</f>
        <v>0</v>
      </c>
      <c r="AA68" s="43">
        <f>SUM(AJ68,AR68,AZ68)</f>
        <v>0</v>
      </c>
      <c r="AC68" s="631">
        <f>SUM($D68:$E68)*H68</f>
        <v>0</v>
      </c>
      <c r="AD68" s="631">
        <f>SUM($D68:$E68)*I68</f>
        <v>0</v>
      </c>
      <c r="AE68" s="631">
        <f>SUM($D68:$E68)*J68</f>
        <v>0</v>
      </c>
      <c r="AF68" s="631">
        <f>SUM($D68:$E68)*K68</f>
        <v>0</v>
      </c>
      <c r="AG68" s="631">
        <f>SUM($D68:$E68)*L68</f>
        <v>0</v>
      </c>
      <c r="AH68" s="631">
        <f>SUM($D68:$E68)*M68</f>
        <v>0</v>
      </c>
      <c r="AI68" s="631">
        <f>SUM($D68:$E68)*N68</f>
        <v>0</v>
      </c>
      <c r="AJ68" s="631">
        <f>SUM($D68:$E68)*O68</f>
        <v>0</v>
      </c>
      <c r="AK68" s="56">
        <f>IF($G68="",0,IF(NOT(OR($G68="A - All employees not in groups B, C, J, H, M or Z",$G68="B - Married women and widows entitled to reduced NI",$G68="C - Over the State Pension age",$G68="H - Apprentice under 25",$G68="J – Deferment",$G68="M - Under 21",$G68="Z - Deferment (Under 21)",$G68="Please Enter The NI Cont. in ££££")),$G68,SUM(MAX(MIN(AC68-'Input Data'!$BG$3,'Input Data'!$BG$5-'Input Data'!$BG$3),0)*VLOOKUP($G68,'Input Data'!$BI$3:$BL$10,2,FALSE),MAX(MIN(AC68-'Input Data'!$BG$5,IF(OR($G68="M (under 21)",$G68="Z (under 21 - deferment)"),'Input Data'!$BG$6,IF($G68="H (Apprentice under 25)",'Input Data'!$BG$7,'Input Data'!$BG$8))-'Input Data'!$BG$5),0)*VLOOKUP($G68,'Input Data'!$BI$3:$BL$10,3,FALSE),MAX((AC68-IF(OR($G68="M (under 21)",$G68="Z (under 21 - deferment)"),'Input Data'!$BG$6,IF($G68="H (Apprentice under 25)",'Input Data'!$BG$7,'Input Data'!$BG$8))),0)*VLOOKUP($G68,'Input Data'!$BI$3:$BL$10,4,FALSE))))</f>
        <v>0</v>
      </c>
      <c r="AL68" s="56">
        <f>IF($G68="",0,IF(NOT(OR($G68="A - All employees not in groups B, C, J, H, M or Z",$G68="B - Married women and widows entitled to reduced NI",$G68="C - Over the State Pension age",$G68="H - Apprentice under 25",$G68="J – Deferment",$G68="M - Under 21",$G68="Z - Deferment (Under 21)",$G68="Please Enter The NI Cont. in ££££")),$G68,SUM(MAX(MIN(AD68-'Input Data'!$BG$3,'Input Data'!$BG$5-'Input Data'!$BG$3),0)*VLOOKUP($G68,'Input Data'!$BI$3:$BL$10,2,FALSE),MAX(MIN(AD68-'Input Data'!$BG$5,IF(OR($G68="M (under 21)",$G68="Z (under 21 - deferment)"),'Input Data'!$BG$6,IF($G68="H (Apprentice under 25)",'Input Data'!$BG$7,'Input Data'!$BG$8))-'Input Data'!$BG$5),0)*VLOOKUP($G68,'Input Data'!$BI$3:$BL$10,3,FALSE),MAX((AD68-IF(OR($G68="M (under 21)",$G68="Z (under 21 - deferment)"),'Input Data'!$BG$6,IF($G68="H (Apprentice under 25)",'Input Data'!$BG$7,'Input Data'!$BG$8))),0)*VLOOKUP($G68,'Input Data'!$BI$3:$BL$10,4,FALSE))))</f>
        <v>0</v>
      </c>
      <c r="AM68" s="56">
        <f>IF($G68="",0,IF(NOT(OR($G68="A - All employees not in groups B, C, J, H, M or Z",$G68="B - Married women and widows entitled to reduced NI",$G68="C - Over the State Pension age",$G68="H - Apprentice under 25",$G68="J – Deferment",$G68="M - Under 21",$G68="Z - Deferment (Under 21)",$G68="Please Enter The NI Cont. in ££££")),$G68,SUM(MAX(MIN(AE68-'Input Data'!$BG$3,'Input Data'!$BG$5-'Input Data'!$BG$3),0)*VLOOKUP($G68,'Input Data'!$BI$3:$BL$10,2,FALSE),MAX(MIN(AE68-'Input Data'!$BG$5,IF(OR($G68="M (under 21)",$G68="Z (under 21 - deferment)"),'Input Data'!$BG$6,IF($G68="H (Apprentice under 25)",'Input Data'!$BG$7,'Input Data'!$BG$8))-'Input Data'!$BG$5),0)*VLOOKUP($G68,'Input Data'!$BI$3:$BL$10,3,FALSE),MAX((AE68-IF(OR($G68="M (under 21)",$G68="Z (under 21 - deferment)"),'Input Data'!$BG$6,IF($G68="H (Apprentice under 25)",'Input Data'!$BG$7,'Input Data'!$BG$8))),0)*VLOOKUP($G68,'Input Data'!$BI$3:$BL$10,4,FALSE))))</f>
        <v>0</v>
      </c>
      <c r="AN68" s="56">
        <f>IF($G68="",0,IF(NOT(OR($G68="A - All employees not in groups B, C, J, H, M or Z",$G68="B - Married women and widows entitled to reduced NI",$G68="C - Over the State Pension age",$G68="H - Apprentice under 25",$G68="J – Deferment",$G68="M - Under 21",$G68="Z - Deferment (Under 21)",$G68="Please Enter The NI Cont. in ££££")),$G68,SUM(MAX(MIN(AF68-'Input Data'!$BG$3,'Input Data'!$BG$5-'Input Data'!$BG$3),0)*VLOOKUP($G68,'Input Data'!$BI$3:$BL$10,2,FALSE),MAX(MIN(AF68-'Input Data'!$BG$5,IF(OR($G68="M (under 21)",$G68="Z (under 21 - deferment)"),'Input Data'!$BG$6,IF($G68="H (Apprentice under 25)",'Input Data'!$BG$7,'Input Data'!$BG$8))-'Input Data'!$BG$5),0)*VLOOKUP($G68,'Input Data'!$BI$3:$BL$10,3,FALSE),MAX((AF68-IF(OR($G68="M (under 21)",$G68="Z (under 21 - deferment)"),'Input Data'!$BG$6,IF($G68="H (Apprentice under 25)",'Input Data'!$BG$7,'Input Data'!$BG$8))),0)*VLOOKUP($G68,'Input Data'!$BI$3:$BL$10,4,FALSE))))</f>
        <v>0</v>
      </c>
      <c r="AO68" s="56">
        <f>IF($G68="",0,IF(NOT(OR($G68="A - All employees not in groups B, C, J, H, M or Z",$G68="B - Married women and widows entitled to reduced NI",$G68="C - Over the State Pension age",$G68="H - Apprentice under 25",$G68="J – Deferment",$G68="M - Under 21",$G68="Z - Deferment (Under 21)",$G68="Please Enter The NI Cont. in ££££")),$G68,SUM(MAX(MIN(AG68-'Input Data'!$BG$3,'Input Data'!$BG$5-'Input Data'!$BG$3),0)*VLOOKUP($G68,'Input Data'!$BI$3:$BL$10,2,FALSE),MAX(MIN(AG68-'Input Data'!$BG$5,IF(OR($G68="M (under 21)",$G68="Z (under 21 - deferment)"),'Input Data'!$BG$6,IF($G68="H (Apprentice under 25)",'Input Data'!$BG$7,'Input Data'!$BG$8))-'Input Data'!$BG$5),0)*VLOOKUP($G68,'Input Data'!$BI$3:$BL$10,3,FALSE),MAX((AG68-IF(OR($G68="M (under 21)",$G68="Z (under 21 - deferment)"),'Input Data'!$BG$6,IF($G68="H (Apprentice under 25)",'Input Data'!$BG$7,'Input Data'!$BG$8))),0)*VLOOKUP($G68,'Input Data'!$BI$3:$BL$10,4,FALSE))))</f>
        <v>0</v>
      </c>
      <c r="AP68" s="56">
        <f>IF($G68="",0,IF(NOT(OR($G68="A - All employees not in groups B, C, J, H, M or Z",$G68="B - Married women and widows entitled to reduced NI",$G68="C - Over the State Pension age",$G68="H - Apprentice under 25",$G68="J – Deferment",$G68="M - Under 21",$G68="Z - Deferment (Under 21)",$G68="Please Enter The NI Cont. in ££££")),$G68,SUM(MAX(MIN(AH68-'Input Data'!$BG$3,'Input Data'!$BG$5-'Input Data'!$BG$3),0)*VLOOKUP($G68,'Input Data'!$BI$3:$BL$10,2,FALSE),MAX(MIN(AH68-'Input Data'!$BG$5,IF(OR($G68="M (under 21)",$G68="Z (under 21 - deferment)"),'Input Data'!$BG$6,IF($G68="H (Apprentice under 25)",'Input Data'!$BG$7,'Input Data'!$BG$8))-'Input Data'!$BG$5),0)*VLOOKUP($G68,'Input Data'!$BI$3:$BL$10,3,FALSE),MAX((AH68-IF(OR($G68="M (under 21)",$G68="Z (under 21 - deferment)"),'Input Data'!$BG$6,IF($G68="H (Apprentice under 25)",'Input Data'!$BG$7,'Input Data'!$BG$8))),0)*VLOOKUP($G68,'Input Data'!$BI$3:$BL$10,4,FALSE))))</f>
        <v>0</v>
      </c>
      <c r="AQ68" s="56">
        <f>IF($G68="",0,IF(NOT(OR($G68="A - All employees not in groups B, C, J, H, M or Z",$G68="B - Married women and widows entitled to reduced NI",$G68="C - Over the State Pension age",$G68="H - Apprentice under 25",$G68="J – Deferment",$G68="M - Under 21",$G68="Z - Deferment (Under 21)",$G68="Please Enter The NI Cont. in ££££")),$G68,SUM(MAX(MIN(AI68-'Input Data'!$BG$3,'Input Data'!$BG$5-'Input Data'!$BG$3),0)*VLOOKUP($G68,'Input Data'!$BI$3:$BL$10,2,FALSE),MAX(MIN(AI68-'Input Data'!$BG$5,IF(OR($G68="M (under 21)",$G68="Z (under 21 - deferment)"),'Input Data'!$BG$6,IF($G68="H (Apprentice under 25)",'Input Data'!$BG$7,'Input Data'!$BG$8))-'Input Data'!$BG$5),0)*VLOOKUP($G68,'Input Data'!$BI$3:$BL$10,3,FALSE),MAX((AI68-IF(OR($G68="M (under 21)",$G68="Z (under 21 - deferment)"),'Input Data'!$BG$6,IF($G68="H (Apprentice under 25)",'Input Data'!$BG$7,'Input Data'!$BG$8))),0)*VLOOKUP($G68,'Input Data'!$BI$3:$BL$10,4,FALSE))))</f>
        <v>0</v>
      </c>
      <c r="AR68" s="56">
        <f>IF($G68="",0,IF(NOT(OR($G68="A - All employees not in groups B, C, J, H, M or Z",$G68="B - Married women and widows entitled to reduced NI",$G68="C - Over the State Pension age",$G68="H - Apprentice under 25",$G68="J – Deferment",$G68="M - Under 21",$G68="Z - Deferment (Under 21)",$G68="Please Enter The NI Cont. in ££££")),$G68,SUM(MAX(MIN(AJ68-'Input Data'!$BG$3,'Input Data'!$BG$5-'Input Data'!$BG$3),0)*VLOOKUP($G68,'Input Data'!$BI$3:$BL$10,2,FALSE),MAX(MIN(AJ68-'Input Data'!$BG$5,IF(OR($G68="M (under 21)",$G68="Z (under 21 - deferment)"),'Input Data'!$BG$6,IF($G68="H (Apprentice under 25)",'Input Data'!$BG$7,'Input Data'!$BG$8))-'Input Data'!$BG$5),0)*VLOOKUP($G68,'Input Data'!$BI$3:$BL$10,3,FALSE),MAX((AJ68-IF(OR($G68="M (under 21)",$G68="Z (under 21 - deferment)"),'Input Data'!$BG$6,IF($G68="H (Apprentice under 25)",'Input Data'!$BG$7,'Input Data'!$BG$8))),0)*VLOOKUP($G68,'Input Data'!$BI$3:$BL$10,4,FALSE))))</f>
        <v>0</v>
      </c>
      <c r="AS68" s="56">
        <f>AC68*$F68</f>
        <v>0</v>
      </c>
      <c r="AT68" s="56">
        <f>AD68*$F68</f>
        <v>0</v>
      </c>
      <c r="AU68" s="56">
        <f>AE68*$F68</f>
        <v>0</v>
      </c>
      <c r="AV68" s="56">
        <f>AF68*$F68</f>
        <v>0</v>
      </c>
      <c r="AW68" s="56">
        <f>AG68*$F68</f>
        <v>0</v>
      </c>
      <c r="AX68" s="56">
        <f>AH68*$F68</f>
        <v>0</v>
      </c>
      <c r="AY68" s="56">
        <f>AI68*$F68</f>
        <v>0</v>
      </c>
      <c r="AZ68" s="56">
        <f>AJ68*$F68</f>
        <v>0</v>
      </c>
    </row>
    <row r="69" spans="2:52" ht="25.5">
      <c r="B69" s="60"/>
      <c r="C69" s="57" t="s">
        <v>103</v>
      </c>
      <c r="D69" s="58"/>
      <c r="E69" s="58"/>
      <c r="F69" s="535"/>
      <c r="G69" s="693" t="s">
        <v>1149</v>
      </c>
      <c r="H69" s="65"/>
      <c r="I69" s="65"/>
      <c r="J69" s="65"/>
      <c r="K69" s="65"/>
      <c r="L69" s="65"/>
      <c r="M69" s="65"/>
      <c r="N69" s="65"/>
      <c r="O69" s="65"/>
      <c r="P69" s="29"/>
      <c r="Q69" s="597"/>
      <c r="R69" s="61"/>
      <c r="T69" s="43">
        <f>SUM(AC69,AK69,AS69)</f>
        <v>0</v>
      </c>
      <c r="U69" s="43">
        <f>SUM(AD69,AL69,AT69)</f>
        <v>0</v>
      </c>
      <c r="V69" s="43">
        <f>SUM(AE69,AM69,AU69)</f>
        <v>0</v>
      </c>
      <c r="W69" s="43">
        <f>SUM(AF69,AN69,AV69)</f>
        <v>0</v>
      </c>
      <c r="X69" s="43">
        <f>SUM(AG69,AO69,AW69)</f>
        <v>0</v>
      </c>
      <c r="Y69" s="43">
        <f>SUM(AH69,AP69,AX69)</f>
        <v>0</v>
      </c>
      <c r="Z69" s="43">
        <f>SUM(AI69,AQ69,AY69)</f>
        <v>0</v>
      </c>
      <c r="AA69" s="43">
        <f>SUM(AJ69,AR69,AZ69)</f>
        <v>0</v>
      </c>
      <c r="AC69" s="631">
        <f>SUM($D69:$E69)*H69</f>
        <v>0</v>
      </c>
      <c r="AD69" s="631">
        <f>SUM($D69:$E69)*I69</f>
        <v>0</v>
      </c>
      <c r="AE69" s="631">
        <f>SUM($D69:$E69)*J69</f>
        <v>0</v>
      </c>
      <c r="AF69" s="631">
        <f>SUM($D69:$E69)*K69</f>
        <v>0</v>
      </c>
      <c r="AG69" s="631">
        <f>SUM($D69:$E69)*L69</f>
        <v>0</v>
      </c>
      <c r="AH69" s="631">
        <f>SUM($D69:$E69)*M69</f>
        <v>0</v>
      </c>
      <c r="AI69" s="631">
        <f>SUM($D69:$E69)*N69</f>
        <v>0</v>
      </c>
      <c r="AJ69" s="631">
        <f>SUM($D69:$E69)*O69</f>
        <v>0</v>
      </c>
      <c r="AK69" s="56">
        <f>IF($G69="",0,IF(NOT(OR($G69="A - All employees not in groups B, C, J, H, M or Z",$G69="B - Married women and widows entitled to reduced NI",$G69="C - Over the State Pension age",$G69="H - Apprentice under 25",$G69="J – Deferment",$G69="M - Under 21",$G69="Z - Deferment (Under 21)",$G69="Please Enter The NI Cont. in ££££")),$G69,SUM(MAX(MIN(AC69-'Input Data'!$BG$3,'Input Data'!$BG$5-'Input Data'!$BG$3),0)*VLOOKUP($G69,'Input Data'!$BI$3:$BL$10,2,FALSE),MAX(MIN(AC69-'Input Data'!$BG$5,IF(OR($G69="M (under 21)",$G69="Z (under 21 - deferment)"),'Input Data'!$BG$6,IF($G69="H (Apprentice under 25)",'Input Data'!$BG$7,'Input Data'!$BG$8))-'Input Data'!$BG$5),0)*VLOOKUP($G69,'Input Data'!$BI$3:$BL$10,3,FALSE),MAX((AC69-IF(OR($G69="M (under 21)",$G69="Z (under 21 - deferment)"),'Input Data'!$BG$6,IF($G69="H (Apprentice under 25)",'Input Data'!$BG$7,'Input Data'!$BG$8))),0)*VLOOKUP($G69,'Input Data'!$BI$3:$BL$10,4,FALSE))))</f>
        <v>0</v>
      </c>
      <c r="AL69" s="56">
        <f>IF($G69="",0,IF(NOT(OR($G69="A - All employees not in groups B, C, J, H, M or Z",$G69="B - Married women and widows entitled to reduced NI",$G69="C - Over the State Pension age",$G69="H - Apprentice under 25",$G69="J – Deferment",$G69="M - Under 21",$G69="Z - Deferment (Under 21)",$G69="Please Enter The NI Cont. in ££££")),$G69,SUM(MAX(MIN(AD69-'Input Data'!$BG$3,'Input Data'!$BG$5-'Input Data'!$BG$3),0)*VLOOKUP($G69,'Input Data'!$BI$3:$BL$10,2,FALSE),MAX(MIN(AD69-'Input Data'!$BG$5,IF(OR($G69="M (under 21)",$G69="Z (under 21 - deferment)"),'Input Data'!$BG$6,IF($G69="H (Apprentice under 25)",'Input Data'!$BG$7,'Input Data'!$BG$8))-'Input Data'!$BG$5),0)*VLOOKUP($G69,'Input Data'!$BI$3:$BL$10,3,FALSE),MAX((AD69-IF(OR($G69="M (under 21)",$G69="Z (under 21 - deferment)"),'Input Data'!$BG$6,IF($G69="H (Apprentice under 25)",'Input Data'!$BG$7,'Input Data'!$BG$8))),0)*VLOOKUP($G69,'Input Data'!$BI$3:$BL$10,4,FALSE))))</f>
        <v>0</v>
      </c>
      <c r="AM69" s="56">
        <f>IF($G69="",0,IF(NOT(OR($G69="A - All employees not in groups B, C, J, H, M or Z",$G69="B - Married women and widows entitled to reduced NI",$G69="C - Over the State Pension age",$G69="H - Apprentice under 25",$G69="J – Deferment",$G69="M - Under 21",$G69="Z - Deferment (Under 21)",$G69="Please Enter The NI Cont. in ££££")),$G69,SUM(MAX(MIN(AE69-'Input Data'!$BG$3,'Input Data'!$BG$5-'Input Data'!$BG$3),0)*VLOOKUP($G69,'Input Data'!$BI$3:$BL$10,2,FALSE),MAX(MIN(AE69-'Input Data'!$BG$5,IF(OR($G69="M (under 21)",$G69="Z (under 21 - deferment)"),'Input Data'!$BG$6,IF($G69="H (Apprentice under 25)",'Input Data'!$BG$7,'Input Data'!$BG$8))-'Input Data'!$BG$5),0)*VLOOKUP($G69,'Input Data'!$BI$3:$BL$10,3,FALSE),MAX((AE69-IF(OR($G69="M (under 21)",$G69="Z (under 21 - deferment)"),'Input Data'!$BG$6,IF($G69="H (Apprentice under 25)",'Input Data'!$BG$7,'Input Data'!$BG$8))),0)*VLOOKUP($G69,'Input Data'!$BI$3:$BL$10,4,FALSE))))</f>
        <v>0</v>
      </c>
      <c r="AN69" s="56">
        <f>IF($G69="",0,IF(NOT(OR($G69="A - All employees not in groups B, C, J, H, M or Z",$G69="B - Married women and widows entitled to reduced NI",$G69="C - Over the State Pension age",$G69="H - Apprentice under 25",$G69="J – Deferment",$G69="M - Under 21",$G69="Z - Deferment (Under 21)",$G69="Please Enter The NI Cont. in ££££")),$G69,SUM(MAX(MIN(AF69-'Input Data'!$BG$3,'Input Data'!$BG$5-'Input Data'!$BG$3),0)*VLOOKUP($G69,'Input Data'!$BI$3:$BL$10,2,FALSE),MAX(MIN(AF69-'Input Data'!$BG$5,IF(OR($G69="M (under 21)",$G69="Z (under 21 - deferment)"),'Input Data'!$BG$6,IF($G69="H (Apprentice under 25)",'Input Data'!$BG$7,'Input Data'!$BG$8))-'Input Data'!$BG$5),0)*VLOOKUP($G69,'Input Data'!$BI$3:$BL$10,3,FALSE),MAX((AF69-IF(OR($G69="M (under 21)",$G69="Z (under 21 - deferment)"),'Input Data'!$BG$6,IF($G69="H (Apprentice under 25)",'Input Data'!$BG$7,'Input Data'!$BG$8))),0)*VLOOKUP($G69,'Input Data'!$BI$3:$BL$10,4,FALSE))))</f>
        <v>0</v>
      </c>
      <c r="AO69" s="56">
        <f>IF($G69="",0,IF(NOT(OR($G69="A - All employees not in groups B, C, J, H, M or Z",$G69="B - Married women and widows entitled to reduced NI",$G69="C - Over the State Pension age",$G69="H - Apprentice under 25",$G69="J – Deferment",$G69="M - Under 21",$G69="Z - Deferment (Under 21)",$G69="Please Enter The NI Cont. in ££££")),$G69,SUM(MAX(MIN(AG69-'Input Data'!$BG$3,'Input Data'!$BG$5-'Input Data'!$BG$3),0)*VLOOKUP($G69,'Input Data'!$BI$3:$BL$10,2,FALSE),MAX(MIN(AG69-'Input Data'!$BG$5,IF(OR($G69="M (under 21)",$G69="Z (under 21 - deferment)"),'Input Data'!$BG$6,IF($G69="H (Apprentice under 25)",'Input Data'!$BG$7,'Input Data'!$BG$8))-'Input Data'!$BG$5),0)*VLOOKUP($G69,'Input Data'!$BI$3:$BL$10,3,FALSE),MAX((AG69-IF(OR($G69="M (under 21)",$G69="Z (under 21 - deferment)"),'Input Data'!$BG$6,IF($G69="H (Apprentice under 25)",'Input Data'!$BG$7,'Input Data'!$BG$8))),0)*VLOOKUP($G69,'Input Data'!$BI$3:$BL$10,4,FALSE))))</f>
        <v>0</v>
      </c>
      <c r="AP69" s="56">
        <f>IF($G69="",0,IF(NOT(OR($G69="A - All employees not in groups B, C, J, H, M or Z",$G69="B - Married women and widows entitled to reduced NI",$G69="C - Over the State Pension age",$G69="H - Apprentice under 25",$G69="J – Deferment",$G69="M - Under 21",$G69="Z - Deferment (Under 21)",$G69="Please Enter The NI Cont. in ££££")),$G69,SUM(MAX(MIN(AH69-'Input Data'!$BG$3,'Input Data'!$BG$5-'Input Data'!$BG$3),0)*VLOOKUP($G69,'Input Data'!$BI$3:$BL$10,2,FALSE),MAX(MIN(AH69-'Input Data'!$BG$5,IF(OR($G69="M (under 21)",$G69="Z (under 21 - deferment)"),'Input Data'!$BG$6,IF($G69="H (Apprentice under 25)",'Input Data'!$BG$7,'Input Data'!$BG$8))-'Input Data'!$BG$5),0)*VLOOKUP($G69,'Input Data'!$BI$3:$BL$10,3,FALSE),MAX((AH69-IF(OR($G69="M (under 21)",$G69="Z (under 21 - deferment)"),'Input Data'!$BG$6,IF($G69="H (Apprentice under 25)",'Input Data'!$BG$7,'Input Data'!$BG$8))),0)*VLOOKUP($G69,'Input Data'!$BI$3:$BL$10,4,FALSE))))</f>
        <v>0</v>
      </c>
      <c r="AQ69" s="56">
        <f>IF($G69="",0,IF(NOT(OR($G69="A - All employees not in groups B, C, J, H, M or Z",$G69="B - Married women and widows entitled to reduced NI",$G69="C - Over the State Pension age",$G69="H - Apprentice under 25",$G69="J – Deferment",$G69="M - Under 21",$G69="Z - Deferment (Under 21)",$G69="Please Enter The NI Cont. in ££££")),$G69,SUM(MAX(MIN(AI69-'Input Data'!$BG$3,'Input Data'!$BG$5-'Input Data'!$BG$3),0)*VLOOKUP($G69,'Input Data'!$BI$3:$BL$10,2,FALSE),MAX(MIN(AI69-'Input Data'!$BG$5,IF(OR($G69="M (under 21)",$G69="Z (under 21 - deferment)"),'Input Data'!$BG$6,IF($G69="H (Apprentice under 25)",'Input Data'!$BG$7,'Input Data'!$BG$8))-'Input Data'!$BG$5),0)*VLOOKUP($G69,'Input Data'!$BI$3:$BL$10,3,FALSE),MAX((AI69-IF(OR($G69="M (under 21)",$G69="Z (under 21 - deferment)"),'Input Data'!$BG$6,IF($G69="H (Apprentice under 25)",'Input Data'!$BG$7,'Input Data'!$BG$8))),0)*VLOOKUP($G69,'Input Data'!$BI$3:$BL$10,4,FALSE))))</f>
        <v>0</v>
      </c>
      <c r="AR69" s="56">
        <f>IF($G69="",0,IF(NOT(OR($G69="A - All employees not in groups B, C, J, H, M or Z",$G69="B - Married women and widows entitled to reduced NI",$G69="C - Over the State Pension age",$G69="H - Apprentice under 25",$G69="J – Deferment",$G69="M - Under 21",$G69="Z - Deferment (Under 21)",$G69="Please Enter The NI Cont. in ££££")),$G69,SUM(MAX(MIN(AJ69-'Input Data'!$BG$3,'Input Data'!$BG$5-'Input Data'!$BG$3),0)*VLOOKUP($G69,'Input Data'!$BI$3:$BL$10,2,FALSE),MAX(MIN(AJ69-'Input Data'!$BG$5,IF(OR($G69="M (under 21)",$G69="Z (under 21 - deferment)"),'Input Data'!$BG$6,IF($G69="H (Apprentice under 25)",'Input Data'!$BG$7,'Input Data'!$BG$8))-'Input Data'!$BG$5),0)*VLOOKUP($G69,'Input Data'!$BI$3:$BL$10,3,FALSE),MAX((AJ69-IF(OR($G69="M (under 21)",$G69="Z (under 21 - deferment)"),'Input Data'!$BG$6,IF($G69="H (Apprentice under 25)",'Input Data'!$BG$7,'Input Data'!$BG$8))),0)*VLOOKUP($G69,'Input Data'!$BI$3:$BL$10,4,FALSE))))</f>
        <v>0</v>
      </c>
      <c r="AS69" s="56">
        <f>AC69*$F69</f>
        <v>0</v>
      </c>
      <c r="AT69" s="56">
        <f>AD69*$F69</f>
        <v>0</v>
      </c>
      <c r="AU69" s="56">
        <f>AE69*$F69</f>
        <v>0</v>
      </c>
      <c r="AV69" s="56">
        <f>AF69*$F69</f>
        <v>0</v>
      </c>
      <c r="AW69" s="56">
        <f>AG69*$F69</f>
        <v>0</v>
      </c>
      <c r="AX69" s="56">
        <f>AH69*$F69</f>
        <v>0</v>
      </c>
      <c r="AY69" s="56">
        <f>AI69*$F69</f>
        <v>0</v>
      </c>
      <c r="AZ69" s="56">
        <f>AJ69*$F69</f>
        <v>0</v>
      </c>
    </row>
    <row r="70" spans="2:52" ht="25.5">
      <c r="B70" s="60"/>
      <c r="C70" s="57" t="s">
        <v>104</v>
      </c>
      <c r="D70" s="58"/>
      <c r="E70" s="58"/>
      <c r="F70" s="535"/>
      <c r="G70" s="693" t="s">
        <v>1149</v>
      </c>
      <c r="H70" s="65"/>
      <c r="I70" s="65"/>
      <c r="J70" s="65"/>
      <c r="K70" s="65"/>
      <c r="L70" s="65"/>
      <c r="M70" s="65"/>
      <c r="N70" s="65"/>
      <c r="O70" s="65"/>
      <c r="P70" s="29"/>
      <c r="Q70" s="597"/>
      <c r="R70" s="61"/>
      <c r="T70" s="43">
        <f>SUM(AC70,AK70,AS70)</f>
        <v>0</v>
      </c>
      <c r="U70" s="43">
        <f>SUM(AD70,AL70,AT70)</f>
        <v>0</v>
      </c>
      <c r="V70" s="43">
        <f>SUM(AE70,AM70,AU70)</f>
        <v>0</v>
      </c>
      <c r="W70" s="43">
        <f>SUM(AF70,AN70,AV70)</f>
        <v>0</v>
      </c>
      <c r="X70" s="43">
        <f>SUM(AG70,AO70,AW70)</f>
        <v>0</v>
      </c>
      <c r="Y70" s="43">
        <f>SUM(AH70,AP70,AX70)</f>
        <v>0</v>
      </c>
      <c r="Z70" s="43">
        <f>SUM(AI70,AQ70,AY70)</f>
        <v>0</v>
      </c>
      <c r="AA70" s="43">
        <f>SUM(AJ70,AR70,AZ70)</f>
        <v>0</v>
      </c>
      <c r="AC70" s="631">
        <f>SUM($D70:$E70)*H70</f>
        <v>0</v>
      </c>
      <c r="AD70" s="631">
        <f>SUM($D70:$E70)*I70</f>
        <v>0</v>
      </c>
      <c r="AE70" s="631">
        <f>SUM($D70:$E70)*J70</f>
        <v>0</v>
      </c>
      <c r="AF70" s="631">
        <f>SUM($D70:$E70)*K70</f>
        <v>0</v>
      </c>
      <c r="AG70" s="631">
        <f>SUM($D70:$E70)*L70</f>
        <v>0</v>
      </c>
      <c r="AH70" s="631">
        <f>SUM($D70:$E70)*M70</f>
        <v>0</v>
      </c>
      <c r="AI70" s="631">
        <f>SUM($D70:$E70)*N70</f>
        <v>0</v>
      </c>
      <c r="AJ70" s="631">
        <f>SUM($D70:$E70)*O70</f>
        <v>0</v>
      </c>
      <c r="AK70" s="56">
        <f>IF($G70="",0,IF(NOT(OR($G70="A - All employees not in groups B, C, J, H, M or Z",$G70="B - Married women and widows entitled to reduced NI",$G70="C - Over the State Pension age",$G70="H - Apprentice under 25",$G70="J – Deferment",$G70="M - Under 21",$G70="Z - Deferment (Under 21)",$G70="Please Enter The NI Cont. in ££££")),$G70,SUM(MAX(MIN(AC70-'Input Data'!$BG$3,'Input Data'!$BG$5-'Input Data'!$BG$3),0)*VLOOKUP($G70,'Input Data'!$BI$3:$BL$10,2,FALSE),MAX(MIN(AC70-'Input Data'!$BG$5,IF(OR($G70="M (under 21)",$G70="Z (under 21 - deferment)"),'Input Data'!$BG$6,IF($G70="H (Apprentice under 25)",'Input Data'!$BG$7,'Input Data'!$BG$8))-'Input Data'!$BG$5),0)*VLOOKUP($G70,'Input Data'!$BI$3:$BL$10,3,FALSE),MAX((AC70-IF(OR($G70="M (under 21)",$G70="Z (under 21 - deferment)"),'Input Data'!$BG$6,IF($G70="H (Apprentice under 25)",'Input Data'!$BG$7,'Input Data'!$BG$8))),0)*VLOOKUP($G70,'Input Data'!$BI$3:$BL$10,4,FALSE))))</f>
        <v>0</v>
      </c>
      <c r="AL70" s="56">
        <f>IF($G70="",0,IF(NOT(OR($G70="A - All employees not in groups B, C, J, H, M or Z",$G70="B - Married women and widows entitled to reduced NI",$G70="C - Over the State Pension age",$G70="H - Apprentice under 25",$G70="J – Deferment",$G70="M - Under 21",$G70="Z - Deferment (Under 21)",$G70="Please Enter The NI Cont. in ££££")),$G70,SUM(MAX(MIN(AD70-'Input Data'!$BG$3,'Input Data'!$BG$5-'Input Data'!$BG$3),0)*VLOOKUP($G70,'Input Data'!$BI$3:$BL$10,2,FALSE),MAX(MIN(AD70-'Input Data'!$BG$5,IF(OR($G70="M (under 21)",$G70="Z (under 21 - deferment)"),'Input Data'!$BG$6,IF($G70="H (Apprentice under 25)",'Input Data'!$BG$7,'Input Data'!$BG$8))-'Input Data'!$BG$5),0)*VLOOKUP($G70,'Input Data'!$BI$3:$BL$10,3,FALSE),MAX((AD70-IF(OR($G70="M (under 21)",$G70="Z (under 21 - deferment)"),'Input Data'!$BG$6,IF($G70="H (Apprentice under 25)",'Input Data'!$BG$7,'Input Data'!$BG$8))),0)*VLOOKUP($G70,'Input Data'!$BI$3:$BL$10,4,FALSE))))</f>
        <v>0</v>
      </c>
      <c r="AM70" s="56">
        <f>IF($G70="",0,IF(NOT(OR($G70="A - All employees not in groups B, C, J, H, M or Z",$G70="B - Married women and widows entitled to reduced NI",$G70="C - Over the State Pension age",$G70="H - Apprentice under 25",$G70="J – Deferment",$G70="M - Under 21",$G70="Z - Deferment (Under 21)",$G70="Please Enter The NI Cont. in ££££")),$G70,SUM(MAX(MIN(AE70-'Input Data'!$BG$3,'Input Data'!$BG$5-'Input Data'!$BG$3),0)*VLOOKUP($G70,'Input Data'!$BI$3:$BL$10,2,FALSE),MAX(MIN(AE70-'Input Data'!$BG$5,IF(OR($G70="M (under 21)",$G70="Z (under 21 - deferment)"),'Input Data'!$BG$6,IF($G70="H (Apprentice under 25)",'Input Data'!$BG$7,'Input Data'!$BG$8))-'Input Data'!$BG$5),0)*VLOOKUP($G70,'Input Data'!$BI$3:$BL$10,3,FALSE),MAX((AE70-IF(OR($G70="M (under 21)",$G70="Z (under 21 - deferment)"),'Input Data'!$BG$6,IF($G70="H (Apprentice under 25)",'Input Data'!$BG$7,'Input Data'!$BG$8))),0)*VLOOKUP($G70,'Input Data'!$BI$3:$BL$10,4,FALSE))))</f>
        <v>0</v>
      </c>
      <c r="AN70" s="56">
        <f>IF($G70="",0,IF(NOT(OR($G70="A - All employees not in groups B, C, J, H, M or Z",$G70="B - Married women and widows entitled to reduced NI",$G70="C - Over the State Pension age",$G70="H - Apprentice under 25",$G70="J – Deferment",$G70="M - Under 21",$G70="Z - Deferment (Under 21)",$G70="Please Enter The NI Cont. in ££££")),$G70,SUM(MAX(MIN(AF70-'Input Data'!$BG$3,'Input Data'!$BG$5-'Input Data'!$BG$3),0)*VLOOKUP($G70,'Input Data'!$BI$3:$BL$10,2,FALSE),MAX(MIN(AF70-'Input Data'!$BG$5,IF(OR($G70="M (under 21)",$G70="Z (under 21 - deferment)"),'Input Data'!$BG$6,IF($G70="H (Apprentice under 25)",'Input Data'!$BG$7,'Input Data'!$BG$8))-'Input Data'!$BG$5),0)*VLOOKUP($G70,'Input Data'!$BI$3:$BL$10,3,FALSE),MAX((AF70-IF(OR($G70="M (under 21)",$G70="Z (under 21 - deferment)"),'Input Data'!$BG$6,IF($G70="H (Apprentice under 25)",'Input Data'!$BG$7,'Input Data'!$BG$8))),0)*VLOOKUP($G70,'Input Data'!$BI$3:$BL$10,4,FALSE))))</f>
        <v>0</v>
      </c>
      <c r="AO70" s="56">
        <f>IF($G70="",0,IF(NOT(OR($G70="A - All employees not in groups B, C, J, H, M or Z",$G70="B - Married women and widows entitled to reduced NI",$G70="C - Over the State Pension age",$G70="H - Apprentice under 25",$G70="J – Deferment",$G70="M - Under 21",$G70="Z - Deferment (Under 21)",$G70="Please Enter The NI Cont. in ££££")),$G70,SUM(MAX(MIN(AG70-'Input Data'!$BG$3,'Input Data'!$BG$5-'Input Data'!$BG$3),0)*VLOOKUP($G70,'Input Data'!$BI$3:$BL$10,2,FALSE),MAX(MIN(AG70-'Input Data'!$BG$5,IF(OR($G70="M (under 21)",$G70="Z (under 21 - deferment)"),'Input Data'!$BG$6,IF($G70="H (Apprentice under 25)",'Input Data'!$BG$7,'Input Data'!$BG$8))-'Input Data'!$BG$5),0)*VLOOKUP($G70,'Input Data'!$BI$3:$BL$10,3,FALSE),MAX((AG70-IF(OR($G70="M (under 21)",$G70="Z (under 21 - deferment)"),'Input Data'!$BG$6,IF($G70="H (Apprentice under 25)",'Input Data'!$BG$7,'Input Data'!$BG$8))),0)*VLOOKUP($G70,'Input Data'!$BI$3:$BL$10,4,FALSE))))</f>
        <v>0</v>
      </c>
      <c r="AP70" s="56">
        <f>IF($G70="",0,IF(NOT(OR($G70="A - All employees not in groups B, C, J, H, M or Z",$G70="B - Married women and widows entitled to reduced NI",$G70="C - Over the State Pension age",$G70="H - Apprentice under 25",$G70="J – Deferment",$G70="M - Under 21",$G70="Z - Deferment (Under 21)",$G70="Please Enter The NI Cont. in ££££")),$G70,SUM(MAX(MIN(AH70-'Input Data'!$BG$3,'Input Data'!$BG$5-'Input Data'!$BG$3),0)*VLOOKUP($G70,'Input Data'!$BI$3:$BL$10,2,FALSE),MAX(MIN(AH70-'Input Data'!$BG$5,IF(OR($G70="M (under 21)",$G70="Z (under 21 - deferment)"),'Input Data'!$BG$6,IF($G70="H (Apprentice under 25)",'Input Data'!$BG$7,'Input Data'!$BG$8))-'Input Data'!$BG$5),0)*VLOOKUP($G70,'Input Data'!$BI$3:$BL$10,3,FALSE),MAX((AH70-IF(OR($G70="M (under 21)",$G70="Z (under 21 - deferment)"),'Input Data'!$BG$6,IF($G70="H (Apprentice under 25)",'Input Data'!$BG$7,'Input Data'!$BG$8))),0)*VLOOKUP($G70,'Input Data'!$BI$3:$BL$10,4,FALSE))))</f>
        <v>0</v>
      </c>
      <c r="AQ70" s="56">
        <f>IF($G70="",0,IF(NOT(OR($G70="A - All employees not in groups B, C, J, H, M or Z",$G70="B - Married women and widows entitled to reduced NI",$G70="C - Over the State Pension age",$G70="H - Apprentice under 25",$G70="J – Deferment",$G70="M - Under 21",$G70="Z - Deferment (Under 21)",$G70="Please Enter The NI Cont. in ££££")),$G70,SUM(MAX(MIN(AI70-'Input Data'!$BG$3,'Input Data'!$BG$5-'Input Data'!$BG$3),0)*VLOOKUP($G70,'Input Data'!$BI$3:$BL$10,2,FALSE),MAX(MIN(AI70-'Input Data'!$BG$5,IF(OR($G70="M (under 21)",$G70="Z (under 21 - deferment)"),'Input Data'!$BG$6,IF($G70="H (Apprentice under 25)",'Input Data'!$BG$7,'Input Data'!$BG$8))-'Input Data'!$BG$5),0)*VLOOKUP($G70,'Input Data'!$BI$3:$BL$10,3,FALSE),MAX((AI70-IF(OR($G70="M (under 21)",$G70="Z (under 21 - deferment)"),'Input Data'!$BG$6,IF($G70="H (Apprentice under 25)",'Input Data'!$BG$7,'Input Data'!$BG$8))),0)*VLOOKUP($G70,'Input Data'!$BI$3:$BL$10,4,FALSE))))</f>
        <v>0</v>
      </c>
      <c r="AR70" s="56">
        <f>IF($G70="",0,IF(NOT(OR($G70="A - All employees not in groups B, C, J, H, M or Z",$G70="B - Married women and widows entitled to reduced NI",$G70="C - Over the State Pension age",$G70="H - Apprentice under 25",$G70="J – Deferment",$G70="M - Under 21",$G70="Z - Deferment (Under 21)",$G70="Please Enter The NI Cont. in ££££")),$G70,SUM(MAX(MIN(AJ70-'Input Data'!$BG$3,'Input Data'!$BG$5-'Input Data'!$BG$3),0)*VLOOKUP($G70,'Input Data'!$BI$3:$BL$10,2,FALSE),MAX(MIN(AJ70-'Input Data'!$BG$5,IF(OR($G70="M (under 21)",$G70="Z (under 21 - deferment)"),'Input Data'!$BG$6,IF($G70="H (Apprentice under 25)",'Input Data'!$BG$7,'Input Data'!$BG$8))-'Input Data'!$BG$5),0)*VLOOKUP($G70,'Input Data'!$BI$3:$BL$10,3,FALSE),MAX((AJ70-IF(OR($G70="M (under 21)",$G70="Z (under 21 - deferment)"),'Input Data'!$BG$6,IF($G70="H (Apprentice under 25)",'Input Data'!$BG$7,'Input Data'!$BG$8))),0)*VLOOKUP($G70,'Input Data'!$BI$3:$BL$10,4,FALSE))))</f>
        <v>0</v>
      </c>
      <c r="AS70" s="56">
        <f>AC70*$F70</f>
        <v>0</v>
      </c>
      <c r="AT70" s="56">
        <f>AD70*$F70</f>
        <v>0</v>
      </c>
      <c r="AU70" s="56">
        <f>AE70*$F70</f>
        <v>0</v>
      </c>
      <c r="AV70" s="56">
        <f>AF70*$F70</f>
        <v>0</v>
      </c>
      <c r="AW70" s="56">
        <f>AG70*$F70</f>
        <v>0</v>
      </c>
      <c r="AX70" s="56">
        <f>AH70*$F70</f>
        <v>0</v>
      </c>
      <c r="AY70" s="56">
        <f>AI70*$F70</f>
        <v>0</v>
      </c>
      <c r="AZ70" s="56">
        <f>AJ70*$F70</f>
        <v>0</v>
      </c>
    </row>
    <row r="71" spans="2:52" ht="25.5">
      <c r="B71" s="60"/>
      <c r="C71" s="57" t="s">
        <v>105</v>
      </c>
      <c r="D71" s="58"/>
      <c r="E71" s="58"/>
      <c r="F71" s="535"/>
      <c r="G71" s="693" t="s">
        <v>1149</v>
      </c>
      <c r="H71" s="65"/>
      <c r="I71" s="65"/>
      <c r="J71" s="65"/>
      <c r="K71" s="65"/>
      <c r="L71" s="65"/>
      <c r="M71" s="65"/>
      <c r="N71" s="65"/>
      <c r="O71" s="65"/>
      <c r="P71" s="29"/>
      <c r="Q71" s="597"/>
      <c r="R71" s="61"/>
      <c r="T71" s="43">
        <f>SUM(AC71,AK71,AS71)</f>
        <v>0</v>
      </c>
      <c r="U71" s="43">
        <f>SUM(AD71,AL71,AT71)</f>
        <v>0</v>
      </c>
      <c r="V71" s="43">
        <f>SUM(AE71,AM71,AU71)</f>
        <v>0</v>
      </c>
      <c r="W71" s="43">
        <f>SUM(AF71,AN71,AV71)</f>
        <v>0</v>
      </c>
      <c r="X71" s="43">
        <f>SUM(AG71,AO71,AW71)</f>
        <v>0</v>
      </c>
      <c r="Y71" s="43">
        <f>SUM(AH71,AP71,AX71)</f>
        <v>0</v>
      </c>
      <c r="Z71" s="43">
        <f>SUM(AI71,AQ71,AY71)</f>
        <v>0</v>
      </c>
      <c r="AA71" s="43">
        <f>SUM(AJ71,AR71,AZ71)</f>
        <v>0</v>
      </c>
      <c r="AC71" s="631">
        <f>SUM($D71:$E71)*H71</f>
        <v>0</v>
      </c>
      <c r="AD71" s="631">
        <f>SUM($D71:$E71)*I71</f>
        <v>0</v>
      </c>
      <c r="AE71" s="631">
        <f>SUM($D71:$E71)*J71</f>
        <v>0</v>
      </c>
      <c r="AF71" s="631">
        <f>SUM($D71:$E71)*K71</f>
        <v>0</v>
      </c>
      <c r="AG71" s="631">
        <f>SUM($D71:$E71)*L71</f>
        <v>0</v>
      </c>
      <c r="AH71" s="631">
        <f>SUM($D71:$E71)*M71</f>
        <v>0</v>
      </c>
      <c r="AI71" s="631">
        <f>SUM($D71:$E71)*N71</f>
        <v>0</v>
      </c>
      <c r="AJ71" s="631">
        <f>SUM($D71:$E71)*O71</f>
        <v>0</v>
      </c>
      <c r="AK71" s="56">
        <f>IF($G71="",0,IF(NOT(OR($G71="A - All employees not in groups B, C, J, H, M or Z",$G71="B - Married women and widows entitled to reduced NI",$G71="C - Over the State Pension age",$G71="H - Apprentice under 25",$G71="J – Deferment",$G71="M - Under 21",$G71="Z - Deferment (Under 21)",$G71="Please Enter The NI Cont. in ££££")),$G71,SUM(MAX(MIN(AC71-'Input Data'!$BG$3,'Input Data'!$BG$5-'Input Data'!$BG$3),0)*VLOOKUP($G71,'Input Data'!$BI$3:$BL$10,2,FALSE),MAX(MIN(AC71-'Input Data'!$BG$5,IF(OR($G71="M (under 21)",$G71="Z (under 21 - deferment)"),'Input Data'!$BG$6,IF($G71="H (Apprentice under 25)",'Input Data'!$BG$7,'Input Data'!$BG$8))-'Input Data'!$BG$5),0)*VLOOKUP($G71,'Input Data'!$BI$3:$BL$10,3,FALSE),MAX((AC71-IF(OR($G71="M (under 21)",$G71="Z (under 21 - deferment)"),'Input Data'!$BG$6,IF($G71="H (Apprentice under 25)",'Input Data'!$BG$7,'Input Data'!$BG$8))),0)*VLOOKUP($G71,'Input Data'!$BI$3:$BL$10,4,FALSE))))</f>
        <v>0</v>
      </c>
      <c r="AL71" s="56">
        <f>IF($G71="",0,IF(NOT(OR($G71="A - All employees not in groups B, C, J, H, M or Z",$G71="B - Married women and widows entitled to reduced NI",$G71="C - Over the State Pension age",$G71="H - Apprentice under 25",$G71="J – Deferment",$G71="M - Under 21",$G71="Z - Deferment (Under 21)",$G71="Please Enter The NI Cont. in ££££")),$G71,SUM(MAX(MIN(AD71-'Input Data'!$BG$3,'Input Data'!$BG$5-'Input Data'!$BG$3),0)*VLOOKUP($G71,'Input Data'!$BI$3:$BL$10,2,FALSE),MAX(MIN(AD71-'Input Data'!$BG$5,IF(OR($G71="M (under 21)",$G71="Z (under 21 - deferment)"),'Input Data'!$BG$6,IF($G71="H (Apprentice under 25)",'Input Data'!$BG$7,'Input Data'!$BG$8))-'Input Data'!$BG$5),0)*VLOOKUP($G71,'Input Data'!$BI$3:$BL$10,3,FALSE),MAX((AD71-IF(OR($G71="M (under 21)",$G71="Z (under 21 - deferment)"),'Input Data'!$BG$6,IF($G71="H (Apprentice under 25)",'Input Data'!$BG$7,'Input Data'!$BG$8))),0)*VLOOKUP($G71,'Input Data'!$BI$3:$BL$10,4,FALSE))))</f>
        <v>0</v>
      </c>
      <c r="AM71" s="56">
        <f>IF($G71="",0,IF(NOT(OR($G71="A - All employees not in groups B, C, J, H, M or Z",$G71="B - Married women and widows entitled to reduced NI",$G71="C - Over the State Pension age",$G71="H - Apprentice under 25",$G71="J – Deferment",$G71="M - Under 21",$G71="Z - Deferment (Under 21)",$G71="Please Enter The NI Cont. in ££££")),$G71,SUM(MAX(MIN(AE71-'Input Data'!$BG$3,'Input Data'!$BG$5-'Input Data'!$BG$3),0)*VLOOKUP($G71,'Input Data'!$BI$3:$BL$10,2,FALSE),MAX(MIN(AE71-'Input Data'!$BG$5,IF(OR($G71="M (under 21)",$G71="Z (under 21 - deferment)"),'Input Data'!$BG$6,IF($G71="H (Apprentice under 25)",'Input Data'!$BG$7,'Input Data'!$BG$8))-'Input Data'!$BG$5),0)*VLOOKUP($G71,'Input Data'!$BI$3:$BL$10,3,FALSE),MAX((AE71-IF(OR($G71="M (under 21)",$G71="Z (under 21 - deferment)"),'Input Data'!$BG$6,IF($G71="H (Apprentice under 25)",'Input Data'!$BG$7,'Input Data'!$BG$8))),0)*VLOOKUP($G71,'Input Data'!$BI$3:$BL$10,4,FALSE))))</f>
        <v>0</v>
      </c>
      <c r="AN71" s="56">
        <f>IF($G71="",0,IF(NOT(OR($G71="A - All employees not in groups B, C, J, H, M or Z",$G71="B - Married women and widows entitled to reduced NI",$G71="C - Over the State Pension age",$G71="H - Apprentice under 25",$G71="J – Deferment",$G71="M - Under 21",$G71="Z - Deferment (Under 21)",$G71="Please Enter The NI Cont. in ££££")),$G71,SUM(MAX(MIN(AF71-'Input Data'!$BG$3,'Input Data'!$BG$5-'Input Data'!$BG$3),0)*VLOOKUP($G71,'Input Data'!$BI$3:$BL$10,2,FALSE),MAX(MIN(AF71-'Input Data'!$BG$5,IF(OR($G71="M (under 21)",$G71="Z (under 21 - deferment)"),'Input Data'!$BG$6,IF($G71="H (Apprentice under 25)",'Input Data'!$BG$7,'Input Data'!$BG$8))-'Input Data'!$BG$5),0)*VLOOKUP($G71,'Input Data'!$BI$3:$BL$10,3,FALSE),MAX((AF71-IF(OR($G71="M (under 21)",$G71="Z (under 21 - deferment)"),'Input Data'!$BG$6,IF($G71="H (Apprentice under 25)",'Input Data'!$BG$7,'Input Data'!$BG$8))),0)*VLOOKUP($G71,'Input Data'!$BI$3:$BL$10,4,FALSE))))</f>
        <v>0</v>
      </c>
      <c r="AO71" s="56">
        <f>IF($G71="",0,IF(NOT(OR($G71="A - All employees not in groups B, C, J, H, M or Z",$G71="B - Married women and widows entitled to reduced NI",$G71="C - Over the State Pension age",$G71="H - Apprentice under 25",$G71="J – Deferment",$G71="M - Under 21",$G71="Z - Deferment (Under 21)",$G71="Please Enter The NI Cont. in ££££")),$G71,SUM(MAX(MIN(AG71-'Input Data'!$BG$3,'Input Data'!$BG$5-'Input Data'!$BG$3),0)*VLOOKUP($G71,'Input Data'!$BI$3:$BL$10,2,FALSE),MAX(MIN(AG71-'Input Data'!$BG$5,IF(OR($G71="M (under 21)",$G71="Z (under 21 - deferment)"),'Input Data'!$BG$6,IF($G71="H (Apprentice under 25)",'Input Data'!$BG$7,'Input Data'!$BG$8))-'Input Data'!$BG$5),0)*VLOOKUP($G71,'Input Data'!$BI$3:$BL$10,3,FALSE),MAX((AG71-IF(OR($G71="M (under 21)",$G71="Z (under 21 - deferment)"),'Input Data'!$BG$6,IF($G71="H (Apprentice under 25)",'Input Data'!$BG$7,'Input Data'!$BG$8))),0)*VLOOKUP($G71,'Input Data'!$BI$3:$BL$10,4,FALSE))))</f>
        <v>0</v>
      </c>
      <c r="AP71" s="56">
        <f>IF($G71="",0,IF(NOT(OR($G71="A - All employees not in groups B, C, J, H, M or Z",$G71="B - Married women and widows entitled to reduced NI",$G71="C - Over the State Pension age",$G71="H - Apprentice under 25",$G71="J – Deferment",$G71="M - Under 21",$G71="Z - Deferment (Under 21)",$G71="Please Enter The NI Cont. in ££££")),$G71,SUM(MAX(MIN(AH71-'Input Data'!$BG$3,'Input Data'!$BG$5-'Input Data'!$BG$3),0)*VLOOKUP($G71,'Input Data'!$BI$3:$BL$10,2,FALSE),MAX(MIN(AH71-'Input Data'!$BG$5,IF(OR($G71="M (under 21)",$G71="Z (under 21 - deferment)"),'Input Data'!$BG$6,IF($G71="H (Apprentice under 25)",'Input Data'!$BG$7,'Input Data'!$BG$8))-'Input Data'!$BG$5),0)*VLOOKUP($G71,'Input Data'!$BI$3:$BL$10,3,FALSE),MAX((AH71-IF(OR($G71="M (under 21)",$G71="Z (under 21 - deferment)"),'Input Data'!$BG$6,IF($G71="H (Apprentice under 25)",'Input Data'!$BG$7,'Input Data'!$BG$8))),0)*VLOOKUP($G71,'Input Data'!$BI$3:$BL$10,4,FALSE))))</f>
        <v>0</v>
      </c>
      <c r="AQ71" s="56">
        <f>IF($G71="",0,IF(NOT(OR($G71="A - All employees not in groups B, C, J, H, M or Z",$G71="B - Married women and widows entitled to reduced NI",$G71="C - Over the State Pension age",$G71="H - Apprentice under 25",$G71="J – Deferment",$G71="M - Under 21",$G71="Z - Deferment (Under 21)",$G71="Please Enter The NI Cont. in ££££")),$G71,SUM(MAX(MIN(AI71-'Input Data'!$BG$3,'Input Data'!$BG$5-'Input Data'!$BG$3),0)*VLOOKUP($G71,'Input Data'!$BI$3:$BL$10,2,FALSE),MAX(MIN(AI71-'Input Data'!$BG$5,IF(OR($G71="M (under 21)",$G71="Z (under 21 - deferment)"),'Input Data'!$BG$6,IF($G71="H (Apprentice under 25)",'Input Data'!$BG$7,'Input Data'!$BG$8))-'Input Data'!$BG$5),0)*VLOOKUP($G71,'Input Data'!$BI$3:$BL$10,3,FALSE),MAX((AI71-IF(OR($G71="M (under 21)",$G71="Z (under 21 - deferment)"),'Input Data'!$BG$6,IF($G71="H (Apprentice under 25)",'Input Data'!$BG$7,'Input Data'!$BG$8))),0)*VLOOKUP($G71,'Input Data'!$BI$3:$BL$10,4,FALSE))))</f>
        <v>0</v>
      </c>
      <c r="AR71" s="56">
        <f>IF($G71="",0,IF(NOT(OR($G71="A - All employees not in groups B, C, J, H, M or Z",$G71="B - Married women and widows entitled to reduced NI",$G71="C - Over the State Pension age",$G71="H - Apprentice under 25",$G71="J – Deferment",$G71="M - Under 21",$G71="Z - Deferment (Under 21)",$G71="Please Enter The NI Cont. in ££££")),$G71,SUM(MAX(MIN(AJ71-'Input Data'!$BG$3,'Input Data'!$BG$5-'Input Data'!$BG$3),0)*VLOOKUP($G71,'Input Data'!$BI$3:$BL$10,2,FALSE),MAX(MIN(AJ71-'Input Data'!$BG$5,IF(OR($G71="M (under 21)",$G71="Z (under 21 - deferment)"),'Input Data'!$BG$6,IF($G71="H (Apprentice under 25)",'Input Data'!$BG$7,'Input Data'!$BG$8))-'Input Data'!$BG$5),0)*VLOOKUP($G71,'Input Data'!$BI$3:$BL$10,3,FALSE),MAX((AJ71-IF(OR($G71="M (under 21)",$G71="Z (under 21 - deferment)"),'Input Data'!$BG$6,IF($G71="H (Apprentice under 25)",'Input Data'!$BG$7,'Input Data'!$BG$8))),0)*VLOOKUP($G71,'Input Data'!$BI$3:$BL$10,4,FALSE))))</f>
        <v>0</v>
      </c>
      <c r="AS71" s="56">
        <f>AC71*$F71</f>
        <v>0</v>
      </c>
      <c r="AT71" s="56">
        <f>AD71*$F71</f>
        <v>0</v>
      </c>
      <c r="AU71" s="56">
        <f>AE71*$F71</f>
        <v>0</v>
      </c>
      <c r="AV71" s="56">
        <f>AF71*$F71</f>
        <v>0</v>
      </c>
      <c r="AW71" s="56">
        <f>AG71*$F71</f>
        <v>0</v>
      </c>
      <c r="AX71" s="56">
        <f>AH71*$F71</f>
        <v>0</v>
      </c>
      <c r="AY71" s="56">
        <f>AI71*$F71</f>
        <v>0</v>
      </c>
      <c r="AZ71" s="56">
        <f>AJ71*$F71</f>
        <v>0</v>
      </c>
    </row>
    <row r="72" spans="2:52" ht="25.5">
      <c r="B72" s="60"/>
      <c r="C72" s="57" t="s">
        <v>106</v>
      </c>
      <c r="D72" s="58"/>
      <c r="E72" s="58"/>
      <c r="F72" s="535"/>
      <c r="G72" s="693" t="s">
        <v>1149</v>
      </c>
      <c r="H72" s="65"/>
      <c r="I72" s="65"/>
      <c r="J72" s="65"/>
      <c r="K72" s="65"/>
      <c r="L72" s="65"/>
      <c r="M72" s="65"/>
      <c r="N72" s="65"/>
      <c r="O72" s="65"/>
      <c r="P72" s="29"/>
      <c r="Q72" s="597"/>
      <c r="R72" s="61"/>
      <c r="T72" s="43">
        <f>SUM(AC72,AK72,AS72)</f>
        <v>0</v>
      </c>
      <c r="U72" s="43">
        <f>SUM(AD72,AL72,AT72)</f>
        <v>0</v>
      </c>
      <c r="V72" s="43">
        <f>SUM(AE72,AM72,AU72)</f>
        <v>0</v>
      </c>
      <c r="W72" s="43">
        <f>SUM(AF72,AN72,AV72)</f>
        <v>0</v>
      </c>
      <c r="X72" s="43">
        <f>SUM(AG72,AO72,AW72)</f>
        <v>0</v>
      </c>
      <c r="Y72" s="43">
        <f>SUM(AH72,AP72,AX72)</f>
        <v>0</v>
      </c>
      <c r="Z72" s="43">
        <f>SUM(AI72,AQ72,AY72)</f>
        <v>0</v>
      </c>
      <c r="AA72" s="43">
        <f>SUM(AJ72,AR72,AZ72)</f>
        <v>0</v>
      </c>
      <c r="AC72" s="631">
        <f>SUM($D72:$E72)*H72</f>
        <v>0</v>
      </c>
      <c r="AD72" s="631">
        <f>SUM($D72:$E72)*I72</f>
        <v>0</v>
      </c>
      <c r="AE72" s="631">
        <f>SUM($D72:$E72)*J72</f>
        <v>0</v>
      </c>
      <c r="AF72" s="631">
        <f>SUM($D72:$E72)*K72</f>
        <v>0</v>
      </c>
      <c r="AG72" s="631">
        <f>SUM($D72:$E72)*L72</f>
        <v>0</v>
      </c>
      <c r="AH72" s="631">
        <f>SUM($D72:$E72)*M72</f>
        <v>0</v>
      </c>
      <c r="AI72" s="631">
        <f>SUM($D72:$E72)*N72</f>
        <v>0</v>
      </c>
      <c r="AJ72" s="631">
        <f>SUM($D72:$E72)*O72</f>
        <v>0</v>
      </c>
      <c r="AK72" s="56">
        <f>IF($G72="",0,IF(NOT(OR($G72="A - All employees not in groups B, C, J, H, M or Z",$G72="B - Married women and widows entitled to reduced NI",$G72="C - Over the State Pension age",$G72="H - Apprentice under 25",$G72="J – Deferment",$G72="M - Under 21",$G72="Z - Deferment (Under 21)",$G72="Please Enter The NI Cont. in ££££")),$G72,SUM(MAX(MIN(AC72-'Input Data'!$BG$3,'Input Data'!$BG$5-'Input Data'!$BG$3),0)*VLOOKUP($G72,'Input Data'!$BI$3:$BL$10,2,FALSE),MAX(MIN(AC72-'Input Data'!$BG$5,IF(OR($G72="M (under 21)",$G72="Z (under 21 - deferment)"),'Input Data'!$BG$6,IF($G72="H (Apprentice under 25)",'Input Data'!$BG$7,'Input Data'!$BG$8))-'Input Data'!$BG$5),0)*VLOOKUP($G72,'Input Data'!$BI$3:$BL$10,3,FALSE),MAX((AC72-IF(OR($G72="M (under 21)",$G72="Z (under 21 - deferment)"),'Input Data'!$BG$6,IF($G72="H (Apprentice under 25)",'Input Data'!$BG$7,'Input Data'!$BG$8))),0)*VLOOKUP($G72,'Input Data'!$BI$3:$BL$10,4,FALSE))))</f>
        <v>0</v>
      </c>
      <c r="AL72" s="56">
        <f>IF($G72="",0,IF(NOT(OR($G72="A - All employees not in groups B, C, J, H, M or Z",$G72="B - Married women and widows entitled to reduced NI",$G72="C - Over the State Pension age",$G72="H - Apprentice under 25",$G72="J – Deferment",$G72="M - Under 21",$G72="Z - Deferment (Under 21)",$G72="Please Enter The NI Cont. in ££££")),$G72,SUM(MAX(MIN(AD72-'Input Data'!$BG$3,'Input Data'!$BG$5-'Input Data'!$BG$3),0)*VLOOKUP($G72,'Input Data'!$BI$3:$BL$10,2,FALSE),MAX(MIN(AD72-'Input Data'!$BG$5,IF(OR($G72="M (under 21)",$G72="Z (under 21 - deferment)"),'Input Data'!$BG$6,IF($G72="H (Apprentice under 25)",'Input Data'!$BG$7,'Input Data'!$BG$8))-'Input Data'!$BG$5),0)*VLOOKUP($G72,'Input Data'!$BI$3:$BL$10,3,FALSE),MAX((AD72-IF(OR($G72="M (under 21)",$G72="Z (under 21 - deferment)"),'Input Data'!$BG$6,IF($G72="H (Apprentice under 25)",'Input Data'!$BG$7,'Input Data'!$BG$8))),0)*VLOOKUP($G72,'Input Data'!$BI$3:$BL$10,4,FALSE))))</f>
        <v>0</v>
      </c>
      <c r="AM72" s="56">
        <f>IF($G72="",0,IF(NOT(OR($G72="A - All employees not in groups B, C, J, H, M or Z",$G72="B - Married women and widows entitled to reduced NI",$G72="C - Over the State Pension age",$G72="H - Apprentice under 25",$G72="J – Deferment",$G72="M - Under 21",$G72="Z - Deferment (Under 21)",$G72="Please Enter The NI Cont. in ££££")),$G72,SUM(MAX(MIN(AE72-'Input Data'!$BG$3,'Input Data'!$BG$5-'Input Data'!$BG$3),0)*VLOOKUP($G72,'Input Data'!$BI$3:$BL$10,2,FALSE),MAX(MIN(AE72-'Input Data'!$BG$5,IF(OR($G72="M (under 21)",$G72="Z (under 21 - deferment)"),'Input Data'!$BG$6,IF($G72="H (Apprentice under 25)",'Input Data'!$BG$7,'Input Data'!$BG$8))-'Input Data'!$BG$5),0)*VLOOKUP($G72,'Input Data'!$BI$3:$BL$10,3,FALSE),MAX((AE72-IF(OR($G72="M (under 21)",$G72="Z (under 21 - deferment)"),'Input Data'!$BG$6,IF($G72="H (Apprentice under 25)",'Input Data'!$BG$7,'Input Data'!$BG$8))),0)*VLOOKUP($G72,'Input Data'!$BI$3:$BL$10,4,FALSE))))</f>
        <v>0</v>
      </c>
      <c r="AN72" s="56">
        <f>IF($G72="",0,IF(NOT(OR($G72="A - All employees not in groups B, C, J, H, M or Z",$G72="B - Married women and widows entitled to reduced NI",$G72="C - Over the State Pension age",$G72="H - Apprentice under 25",$G72="J – Deferment",$G72="M - Under 21",$G72="Z - Deferment (Under 21)",$G72="Please Enter The NI Cont. in ££££")),$G72,SUM(MAX(MIN(AF72-'Input Data'!$BG$3,'Input Data'!$BG$5-'Input Data'!$BG$3),0)*VLOOKUP($G72,'Input Data'!$BI$3:$BL$10,2,FALSE),MAX(MIN(AF72-'Input Data'!$BG$5,IF(OR($G72="M (under 21)",$G72="Z (under 21 - deferment)"),'Input Data'!$BG$6,IF($G72="H (Apprentice under 25)",'Input Data'!$BG$7,'Input Data'!$BG$8))-'Input Data'!$BG$5),0)*VLOOKUP($G72,'Input Data'!$BI$3:$BL$10,3,FALSE),MAX((AF72-IF(OR($G72="M (under 21)",$G72="Z (under 21 - deferment)"),'Input Data'!$BG$6,IF($G72="H (Apprentice under 25)",'Input Data'!$BG$7,'Input Data'!$BG$8))),0)*VLOOKUP($G72,'Input Data'!$BI$3:$BL$10,4,FALSE))))</f>
        <v>0</v>
      </c>
      <c r="AO72" s="56">
        <f>IF($G72="",0,IF(NOT(OR($G72="A - All employees not in groups B, C, J, H, M or Z",$G72="B - Married women and widows entitled to reduced NI",$G72="C - Over the State Pension age",$G72="H - Apprentice under 25",$G72="J – Deferment",$G72="M - Under 21",$G72="Z - Deferment (Under 21)",$G72="Please Enter The NI Cont. in ££££")),$G72,SUM(MAX(MIN(AG72-'Input Data'!$BG$3,'Input Data'!$BG$5-'Input Data'!$BG$3),0)*VLOOKUP($G72,'Input Data'!$BI$3:$BL$10,2,FALSE),MAX(MIN(AG72-'Input Data'!$BG$5,IF(OR($G72="M (under 21)",$G72="Z (under 21 - deferment)"),'Input Data'!$BG$6,IF($G72="H (Apprentice under 25)",'Input Data'!$BG$7,'Input Data'!$BG$8))-'Input Data'!$BG$5),0)*VLOOKUP($G72,'Input Data'!$BI$3:$BL$10,3,FALSE),MAX((AG72-IF(OR($G72="M (under 21)",$G72="Z (under 21 - deferment)"),'Input Data'!$BG$6,IF($G72="H (Apprentice under 25)",'Input Data'!$BG$7,'Input Data'!$BG$8))),0)*VLOOKUP($G72,'Input Data'!$BI$3:$BL$10,4,FALSE))))</f>
        <v>0</v>
      </c>
      <c r="AP72" s="56">
        <f>IF($G72="",0,IF(NOT(OR($G72="A - All employees not in groups B, C, J, H, M or Z",$G72="B - Married women and widows entitled to reduced NI",$G72="C - Over the State Pension age",$G72="H - Apprentice under 25",$G72="J – Deferment",$G72="M - Under 21",$G72="Z - Deferment (Under 21)",$G72="Please Enter The NI Cont. in ££££")),$G72,SUM(MAX(MIN(AH72-'Input Data'!$BG$3,'Input Data'!$BG$5-'Input Data'!$BG$3),0)*VLOOKUP($G72,'Input Data'!$BI$3:$BL$10,2,FALSE),MAX(MIN(AH72-'Input Data'!$BG$5,IF(OR($G72="M (under 21)",$G72="Z (under 21 - deferment)"),'Input Data'!$BG$6,IF($G72="H (Apprentice under 25)",'Input Data'!$BG$7,'Input Data'!$BG$8))-'Input Data'!$BG$5),0)*VLOOKUP($G72,'Input Data'!$BI$3:$BL$10,3,FALSE),MAX((AH72-IF(OR($G72="M (under 21)",$G72="Z (under 21 - deferment)"),'Input Data'!$BG$6,IF($G72="H (Apprentice under 25)",'Input Data'!$BG$7,'Input Data'!$BG$8))),0)*VLOOKUP($G72,'Input Data'!$BI$3:$BL$10,4,FALSE))))</f>
        <v>0</v>
      </c>
      <c r="AQ72" s="56">
        <f>IF($G72="",0,IF(NOT(OR($G72="A - All employees not in groups B, C, J, H, M or Z",$G72="B - Married women and widows entitled to reduced NI",$G72="C - Over the State Pension age",$G72="H - Apprentice under 25",$G72="J – Deferment",$G72="M - Under 21",$G72="Z - Deferment (Under 21)",$G72="Please Enter The NI Cont. in ££££")),$G72,SUM(MAX(MIN(AI72-'Input Data'!$BG$3,'Input Data'!$BG$5-'Input Data'!$BG$3),0)*VLOOKUP($G72,'Input Data'!$BI$3:$BL$10,2,FALSE),MAX(MIN(AI72-'Input Data'!$BG$5,IF(OR($G72="M (under 21)",$G72="Z (under 21 - deferment)"),'Input Data'!$BG$6,IF($G72="H (Apprentice under 25)",'Input Data'!$BG$7,'Input Data'!$BG$8))-'Input Data'!$BG$5),0)*VLOOKUP($G72,'Input Data'!$BI$3:$BL$10,3,FALSE),MAX((AI72-IF(OR($G72="M (under 21)",$G72="Z (under 21 - deferment)"),'Input Data'!$BG$6,IF($G72="H (Apprentice under 25)",'Input Data'!$BG$7,'Input Data'!$BG$8))),0)*VLOOKUP($G72,'Input Data'!$BI$3:$BL$10,4,FALSE))))</f>
        <v>0</v>
      </c>
      <c r="AR72" s="56">
        <f>IF($G72="",0,IF(NOT(OR($G72="A - All employees not in groups B, C, J, H, M or Z",$G72="B - Married women and widows entitled to reduced NI",$G72="C - Over the State Pension age",$G72="H - Apprentice under 25",$G72="J – Deferment",$G72="M - Under 21",$G72="Z - Deferment (Under 21)",$G72="Please Enter The NI Cont. in ££££")),$G72,SUM(MAX(MIN(AJ72-'Input Data'!$BG$3,'Input Data'!$BG$5-'Input Data'!$BG$3),0)*VLOOKUP($G72,'Input Data'!$BI$3:$BL$10,2,FALSE),MAX(MIN(AJ72-'Input Data'!$BG$5,IF(OR($G72="M (under 21)",$G72="Z (under 21 - deferment)"),'Input Data'!$BG$6,IF($G72="H (Apprentice under 25)",'Input Data'!$BG$7,'Input Data'!$BG$8))-'Input Data'!$BG$5),0)*VLOOKUP($G72,'Input Data'!$BI$3:$BL$10,3,FALSE),MAX((AJ72-IF(OR($G72="M (under 21)",$G72="Z (under 21 - deferment)"),'Input Data'!$BG$6,IF($G72="H (Apprentice under 25)",'Input Data'!$BG$7,'Input Data'!$BG$8))),0)*VLOOKUP($G72,'Input Data'!$BI$3:$BL$10,4,FALSE))))</f>
        <v>0</v>
      </c>
      <c r="AS72" s="56">
        <f>AC72*$F72</f>
        <v>0</v>
      </c>
      <c r="AT72" s="56">
        <f>AD72*$F72</f>
        <v>0</v>
      </c>
      <c r="AU72" s="56">
        <f>AE72*$F72</f>
        <v>0</v>
      </c>
      <c r="AV72" s="56">
        <f>AF72*$F72</f>
        <v>0</v>
      </c>
      <c r="AW72" s="56">
        <f>AG72*$F72</f>
        <v>0</v>
      </c>
      <c r="AX72" s="56">
        <f>AH72*$F72</f>
        <v>0</v>
      </c>
      <c r="AY72" s="56">
        <f>AI72*$F72</f>
        <v>0</v>
      </c>
      <c r="AZ72" s="56">
        <f>AJ72*$F72</f>
        <v>0</v>
      </c>
    </row>
    <row r="73" spans="2:52" ht="25.5">
      <c r="B73" s="60"/>
      <c r="C73" s="57" t="s">
        <v>107</v>
      </c>
      <c r="D73" s="58"/>
      <c r="E73" s="58"/>
      <c r="F73" s="535"/>
      <c r="G73" s="693" t="s">
        <v>1149</v>
      </c>
      <c r="H73" s="65"/>
      <c r="I73" s="65"/>
      <c r="J73" s="65"/>
      <c r="K73" s="65"/>
      <c r="L73" s="65"/>
      <c r="M73" s="65"/>
      <c r="N73" s="65"/>
      <c r="O73" s="65"/>
      <c r="P73" s="29"/>
      <c r="Q73" s="597"/>
      <c r="R73" s="61"/>
      <c r="T73" s="43">
        <f>SUM(AC73,AK73,AS73)</f>
        <v>0</v>
      </c>
      <c r="U73" s="43">
        <f>SUM(AD73,AL73,AT73)</f>
        <v>0</v>
      </c>
      <c r="V73" s="43">
        <f>SUM(AE73,AM73,AU73)</f>
        <v>0</v>
      </c>
      <c r="W73" s="43">
        <f>SUM(AF73,AN73,AV73)</f>
        <v>0</v>
      </c>
      <c r="X73" s="43">
        <f>SUM(AG73,AO73,AW73)</f>
        <v>0</v>
      </c>
      <c r="Y73" s="43">
        <f>SUM(AH73,AP73,AX73)</f>
        <v>0</v>
      </c>
      <c r="Z73" s="43">
        <f>SUM(AI73,AQ73,AY73)</f>
        <v>0</v>
      </c>
      <c r="AA73" s="43">
        <f>SUM(AJ73,AR73,AZ73)</f>
        <v>0</v>
      </c>
      <c r="AC73" s="631">
        <f>SUM($D73:$E73)*H73</f>
        <v>0</v>
      </c>
      <c r="AD73" s="631">
        <f>SUM($D73:$E73)*I73</f>
        <v>0</v>
      </c>
      <c r="AE73" s="631">
        <f>SUM($D73:$E73)*J73</f>
        <v>0</v>
      </c>
      <c r="AF73" s="631">
        <f>SUM($D73:$E73)*K73</f>
        <v>0</v>
      </c>
      <c r="AG73" s="631">
        <f>SUM($D73:$E73)*L73</f>
        <v>0</v>
      </c>
      <c r="AH73" s="631">
        <f>SUM($D73:$E73)*M73</f>
        <v>0</v>
      </c>
      <c r="AI73" s="631">
        <f>SUM($D73:$E73)*N73</f>
        <v>0</v>
      </c>
      <c r="AJ73" s="631">
        <f>SUM($D73:$E73)*O73</f>
        <v>0</v>
      </c>
      <c r="AK73" s="56">
        <f>IF($G73="",0,IF(NOT(OR($G73="A - All employees not in groups B, C, J, H, M or Z",$G73="B - Married women and widows entitled to reduced NI",$G73="C - Over the State Pension age",$G73="H - Apprentice under 25",$G73="J – Deferment",$G73="M - Under 21",$G73="Z - Deferment (Under 21)",$G73="Please Enter The NI Cont. in ££££")),$G73,SUM(MAX(MIN(AC73-'Input Data'!$BG$3,'Input Data'!$BG$5-'Input Data'!$BG$3),0)*VLOOKUP($G73,'Input Data'!$BI$3:$BL$10,2,FALSE),MAX(MIN(AC73-'Input Data'!$BG$5,IF(OR($G73="M (under 21)",$G73="Z (under 21 - deferment)"),'Input Data'!$BG$6,IF($G73="H (Apprentice under 25)",'Input Data'!$BG$7,'Input Data'!$BG$8))-'Input Data'!$BG$5),0)*VLOOKUP($G73,'Input Data'!$BI$3:$BL$10,3,FALSE),MAX((AC73-IF(OR($G73="M (under 21)",$G73="Z (under 21 - deferment)"),'Input Data'!$BG$6,IF($G73="H (Apprentice under 25)",'Input Data'!$BG$7,'Input Data'!$BG$8))),0)*VLOOKUP($G73,'Input Data'!$BI$3:$BL$10,4,FALSE))))</f>
        <v>0</v>
      </c>
      <c r="AL73" s="56">
        <f>IF($G73="",0,IF(NOT(OR($G73="A - All employees not in groups B, C, J, H, M or Z",$G73="B - Married women and widows entitled to reduced NI",$G73="C - Over the State Pension age",$G73="H - Apprentice under 25",$G73="J – Deferment",$G73="M - Under 21",$G73="Z - Deferment (Under 21)",$G73="Please Enter The NI Cont. in ££££")),$G73,SUM(MAX(MIN(AD73-'Input Data'!$BG$3,'Input Data'!$BG$5-'Input Data'!$BG$3),0)*VLOOKUP($G73,'Input Data'!$BI$3:$BL$10,2,FALSE),MAX(MIN(AD73-'Input Data'!$BG$5,IF(OR($G73="M (under 21)",$G73="Z (under 21 - deferment)"),'Input Data'!$BG$6,IF($G73="H (Apprentice under 25)",'Input Data'!$BG$7,'Input Data'!$BG$8))-'Input Data'!$BG$5),0)*VLOOKUP($G73,'Input Data'!$BI$3:$BL$10,3,FALSE),MAX((AD73-IF(OR($G73="M (under 21)",$G73="Z (under 21 - deferment)"),'Input Data'!$BG$6,IF($G73="H (Apprentice under 25)",'Input Data'!$BG$7,'Input Data'!$BG$8))),0)*VLOOKUP($G73,'Input Data'!$BI$3:$BL$10,4,FALSE))))</f>
        <v>0</v>
      </c>
      <c r="AM73" s="56">
        <f>IF($G73="",0,IF(NOT(OR($G73="A - All employees not in groups B, C, J, H, M or Z",$G73="B - Married women and widows entitled to reduced NI",$G73="C - Over the State Pension age",$G73="H - Apprentice under 25",$G73="J – Deferment",$G73="M - Under 21",$G73="Z - Deferment (Under 21)",$G73="Please Enter The NI Cont. in ££££")),$G73,SUM(MAX(MIN(AE73-'Input Data'!$BG$3,'Input Data'!$BG$5-'Input Data'!$BG$3),0)*VLOOKUP($G73,'Input Data'!$BI$3:$BL$10,2,FALSE),MAX(MIN(AE73-'Input Data'!$BG$5,IF(OR($G73="M (under 21)",$G73="Z (under 21 - deferment)"),'Input Data'!$BG$6,IF($G73="H (Apprentice under 25)",'Input Data'!$BG$7,'Input Data'!$BG$8))-'Input Data'!$BG$5),0)*VLOOKUP($G73,'Input Data'!$BI$3:$BL$10,3,FALSE),MAX((AE73-IF(OR($G73="M (under 21)",$G73="Z (under 21 - deferment)"),'Input Data'!$BG$6,IF($G73="H (Apprentice under 25)",'Input Data'!$BG$7,'Input Data'!$BG$8))),0)*VLOOKUP($G73,'Input Data'!$BI$3:$BL$10,4,FALSE))))</f>
        <v>0</v>
      </c>
      <c r="AN73" s="56">
        <f>IF($G73="",0,IF(NOT(OR($G73="A - All employees not in groups B, C, J, H, M or Z",$G73="B - Married women and widows entitled to reduced NI",$G73="C - Over the State Pension age",$G73="H - Apprentice under 25",$G73="J – Deferment",$G73="M - Under 21",$G73="Z - Deferment (Under 21)",$G73="Please Enter The NI Cont. in ££££")),$G73,SUM(MAX(MIN(AF73-'Input Data'!$BG$3,'Input Data'!$BG$5-'Input Data'!$BG$3),0)*VLOOKUP($G73,'Input Data'!$BI$3:$BL$10,2,FALSE),MAX(MIN(AF73-'Input Data'!$BG$5,IF(OR($G73="M (under 21)",$G73="Z (under 21 - deferment)"),'Input Data'!$BG$6,IF($G73="H (Apprentice under 25)",'Input Data'!$BG$7,'Input Data'!$BG$8))-'Input Data'!$BG$5),0)*VLOOKUP($G73,'Input Data'!$BI$3:$BL$10,3,FALSE),MAX((AF73-IF(OR($G73="M (under 21)",$G73="Z (under 21 - deferment)"),'Input Data'!$BG$6,IF($G73="H (Apprentice under 25)",'Input Data'!$BG$7,'Input Data'!$BG$8))),0)*VLOOKUP($G73,'Input Data'!$BI$3:$BL$10,4,FALSE))))</f>
        <v>0</v>
      </c>
      <c r="AO73" s="56">
        <f>IF($G73="",0,IF(NOT(OR($G73="A - All employees not in groups B, C, J, H, M or Z",$G73="B - Married women and widows entitled to reduced NI",$G73="C - Over the State Pension age",$G73="H - Apprentice under 25",$G73="J – Deferment",$G73="M - Under 21",$G73="Z - Deferment (Under 21)",$G73="Please Enter The NI Cont. in ££££")),$G73,SUM(MAX(MIN(AG73-'Input Data'!$BG$3,'Input Data'!$BG$5-'Input Data'!$BG$3),0)*VLOOKUP($G73,'Input Data'!$BI$3:$BL$10,2,FALSE),MAX(MIN(AG73-'Input Data'!$BG$5,IF(OR($G73="M (under 21)",$G73="Z (under 21 - deferment)"),'Input Data'!$BG$6,IF($G73="H (Apprentice under 25)",'Input Data'!$BG$7,'Input Data'!$BG$8))-'Input Data'!$BG$5),0)*VLOOKUP($G73,'Input Data'!$BI$3:$BL$10,3,FALSE),MAX((AG73-IF(OR($G73="M (under 21)",$G73="Z (under 21 - deferment)"),'Input Data'!$BG$6,IF($G73="H (Apprentice under 25)",'Input Data'!$BG$7,'Input Data'!$BG$8))),0)*VLOOKUP($G73,'Input Data'!$BI$3:$BL$10,4,FALSE))))</f>
        <v>0</v>
      </c>
      <c r="AP73" s="56">
        <f>IF($G73="",0,IF(NOT(OR($G73="A - All employees not in groups B, C, J, H, M or Z",$G73="B - Married women and widows entitled to reduced NI",$G73="C - Over the State Pension age",$G73="H - Apprentice under 25",$G73="J – Deferment",$G73="M - Under 21",$G73="Z - Deferment (Under 21)",$G73="Please Enter The NI Cont. in ££££")),$G73,SUM(MAX(MIN(AH73-'Input Data'!$BG$3,'Input Data'!$BG$5-'Input Data'!$BG$3),0)*VLOOKUP($G73,'Input Data'!$BI$3:$BL$10,2,FALSE),MAX(MIN(AH73-'Input Data'!$BG$5,IF(OR($G73="M (under 21)",$G73="Z (under 21 - deferment)"),'Input Data'!$BG$6,IF($G73="H (Apprentice under 25)",'Input Data'!$BG$7,'Input Data'!$BG$8))-'Input Data'!$BG$5),0)*VLOOKUP($G73,'Input Data'!$BI$3:$BL$10,3,FALSE),MAX((AH73-IF(OR($G73="M (under 21)",$G73="Z (under 21 - deferment)"),'Input Data'!$BG$6,IF($G73="H (Apprentice under 25)",'Input Data'!$BG$7,'Input Data'!$BG$8))),0)*VLOOKUP($G73,'Input Data'!$BI$3:$BL$10,4,FALSE))))</f>
        <v>0</v>
      </c>
      <c r="AQ73" s="56">
        <f>IF($G73="",0,IF(NOT(OR($G73="A - All employees not in groups B, C, J, H, M or Z",$G73="B - Married women and widows entitled to reduced NI",$G73="C - Over the State Pension age",$G73="H - Apprentice under 25",$G73="J – Deferment",$G73="M - Under 21",$G73="Z - Deferment (Under 21)",$G73="Please Enter The NI Cont. in ££££")),$G73,SUM(MAX(MIN(AI73-'Input Data'!$BG$3,'Input Data'!$BG$5-'Input Data'!$BG$3),0)*VLOOKUP($G73,'Input Data'!$BI$3:$BL$10,2,FALSE),MAX(MIN(AI73-'Input Data'!$BG$5,IF(OR($G73="M (under 21)",$G73="Z (under 21 - deferment)"),'Input Data'!$BG$6,IF($G73="H (Apprentice under 25)",'Input Data'!$BG$7,'Input Data'!$BG$8))-'Input Data'!$BG$5),0)*VLOOKUP($G73,'Input Data'!$BI$3:$BL$10,3,FALSE),MAX((AI73-IF(OR($G73="M (under 21)",$G73="Z (under 21 - deferment)"),'Input Data'!$BG$6,IF($G73="H (Apprentice under 25)",'Input Data'!$BG$7,'Input Data'!$BG$8))),0)*VLOOKUP($G73,'Input Data'!$BI$3:$BL$10,4,FALSE))))</f>
        <v>0</v>
      </c>
      <c r="AR73" s="56">
        <f>IF($G73="",0,IF(NOT(OR($G73="A - All employees not in groups B, C, J, H, M or Z",$G73="B - Married women and widows entitled to reduced NI",$G73="C - Over the State Pension age",$G73="H - Apprentice under 25",$G73="J – Deferment",$G73="M - Under 21",$G73="Z - Deferment (Under 21)",$G73="Please Enter The NI Cont. in ££££")),$G73,SUM(MAX(MIN(AJ73-'Input Data'!$BG$3,'Input Data'!$BG$5-'Input Data'!$BG$3),0)*VLOOKUP($G73,'Input Data'!$BI$3:$BL$10,2,FALSE),MAX(MIN(AJ73-'Input Data'!$BG$5,IF(OR($G73="M (under 21)",$G73="Z (under 21 - deferment)"),'Input Data'!$BG$6,IF($G73="H (Apprentice under 25)",'Input Data'!$BG$7,'Input Data'!$BG$8))-'Input Data'!$BG$5),0)*VLOOKUP($G73,'Input Data'!$BI$3:$BL$10,3,FALSE),MAX((AJ73-IF(OR($G73="M (under 21)",$G73="Z (under 21 - deferment)"),'Input Data'!$BG$6,IF($G73="H (Apprentice under 25)",'Input Data'!$BG$7,'Input Data'!$BG$8))),0)*VLOOKUP($G73,'Input Data'!$BI$3:$BL$10,4,FALSE))))</f>
        <v>0</v>
      </c>
      <c r="AS73" s="56">
        <f>AC73*$F73</f>
        <v>0</v>
      </c>
      <c r="AT73" s="56">
        <f>AD73*$F73</f>
        <v>0</v>
      </c>
      <c r="AU73" s="56">
        <f>AE73*$F73</f>
        <v>0</v>
      </c>
      <c r="AV73" s="56">
        <f>AF73*$F73</f>
        <v>0</v>
      </c>
      <c r="AW73" s="56">
        <f>AG73*$F73</f>
        <v>0</v>
      </c>
      <c r="AX73" s="56">
        <f>AH73*$F73</f>
        <v>0</v>
      </c>
      <c r="AY73" s="56">
        <f>AI73*$F73</f>
        <v>0</v>
      </c>
      <c r="AZ73" s="56">
        <f>AJ73*$F73</f>
        <v>0</v>
      </c>
    </row>
    <row r="74" spans="2:52" ht="25.5">
      <c r="B74" s="60"/>
      <c r="C74" s="57" t="s">
        <v>108</v>
      </c>
      <c r="D74" s="58"/>
      <c r="E74" s="58"/>
      <c r="F74" s="535"/>
      <c r="G74" s="693" t="s">
        <v>1149</v>
      </c>
      <c r="H74" s="65"/>
      <c r="I74" s="65"/>
      <c r="J74" s="65"/>
      <c r="K74" s="65"/>
      <c r="L74" s="65"/>
      <c r="M74" s="65"/>
      <c r="N74" s="65"/>
      <c r="O74" s="65"/>
      <c r="P74" s="29"/>
      <c r="Q74" s="597"/>
      <c r="R74" s="61"/>
      <c r="T74" s="43">
        <f>SUM(AC74,AK74,AS74)</f>
        <v>0</v>
      </c>
      <c r="U74" s="43">
        <f>SUM(AD74,AL74,AT74)</f>
        <v>0</v>
      </c>
      <c r="V74" s="43">
        <f>SUM(AE74,AM74,AU74)</f>
        <v>0</v>
      </c>
      <c r="W74" s="43">
        <f>SUM(AF74,AN74,AV74)</f>
        <v>0</v>
      </c>
      <c r="X74" s="43">
        <f>SUM(AG74,AO74,AW74)</f>
        <v>0</v>
      </c>
      <c r="Y74" s="43">
        <f>SUM(AH74,AP74,AX74)</f>
        <v>0</v>
      </c>
      <c r="Z74" s="43">
        <f>SUM(AI74,AQ74,AY74)</f>
        <v>0</v>
      </c>
      <c r="AA74" s="43">
        <f>SUM(AJ74,AR74,AZ74)</f>
        <v>0</v>
      </c>
      <c r="AC74" s="631">
        <f>SUM($D74:$E74)*H74</f>
        <v>0</v>
      </c>
      <c r="AD74" s="631">
        <f>SUM($D74:$E74)*I74</f>
        <v>0</v>
      </c>
      <c r="AE74" s="631">
        <f>SUM($D74:$E74)*J74</f>
        <v>0</v>
      </c>
      <c r="AF74" s="631">
        <f>SUM($D74:$E74)*K74</f>
        <v>0</v>
      </c>
      <c r="AG74" s="631">
        <f>SUM($D74:$E74)*L74</f>
        <v>0</v>
      </c>
      <c r="AH74" s="631">
        <f>SUM($D74:$E74)*M74</f>
        <v>0</v>
      </c>
      <c r="AI74" s="631">
        <f>SUM($D74:$E74)*N74</f>
        <v>0</v>
      </c>
      <c r="AJ74" s="631">
        <f>SUM($D74:$E74)*O74</f>
        <v>0</v>
      </c>
      <c r="AK74" s="56">
        <f>IF($G74="",0,IF(NOT(OR($G74="A - All employees not in groups B, C, J, H, M or Z",$G74="B - Married women and widows entitled to reduced NI",$G74="C - Over the State Pension age",$G74="H - Apprentice under 25",$G74="J – Deferment",$G74="M - Under 21",$G74="Z - Deferment (Under 21)",$G74="Please Enter The NI Cont. in ££££")),$G74,SUM(MAX(MIN(AC74-'Input Data'!$BG$3,'Input Data'!$BG$5-'Input Data'!$BG$3),0)*VLOOKUP($G74,'Input Data'!$BI$3:$BL$10,2,FALSE),MAX(MIN(AC74-'Input Data'!$BG$5,IF(OR($G74="M (under 21)",$G74="Z (under 21 - deferment)"),'Input Data'!$BG$6,IF($G74="H (Apprentice under 25)",'Input Data'!$BG$7,'Input Data'!$BG$8))-'Input Data'!$BG$5),0)*VLOOKUP($G74,'Input Data'!$BI$3:$BL$10,3,FALSE),MAX((AC74-IF(OR($G74="M (under 21)",$G74="Z (under 21 - deferment)"),'Input Data'!$BG$6,IF($G74="H (Apprentice under 25)",'Input Data'!$BG$7,'Input Data'!$BG$8))),0)*VLOOKUP($G74,'Input Data'!$BI$3:$BL$10,4,FALSE))))</f>
        <v>0</v>
      </c>
      <c r="AL74" s="56">
        <f>IF($G74="",0,IF(NOT(OR($G74="A - All employees not in groups B, C, J, H, M or Z",$G74="B - Married women and widows entitled to reduced NI",$G74="C - Over the State Pension age",$G74="H - Apprentice under 25",$G74="J – Deferment",$G74="M - Under 21",$G74="Z - Deferment (Under 21)",$G74="Please Enter The NI Cont. in ££££")),$G74,SUM(MAX(MIN(AD74-'Input Data'!$BG$3,'Input Data'!$BG$5-'Input Data'!$BG$3),0)*VLOOKUP($G74,'Input Data'!$BI$3:$BL$10,2,FALSE),MAX(MIN(AD74-'Input Data'!$BG$5,IF(OR($G74="M (under 21)",$G74="Z (under 21 - deferment)"),'Input Data'!$BG$6,IF($G74="H (Apprentice under 25)",'Input Data'!$BG$7,'Input Data'!$BG$8))-'Input Data'!$BG$5),0)*VLOOKUP($G74,'Input Data'!$BI$3:$BL$10,3,FALSE),MAX((AD74-IF(OR($G74="M (under 21)",$G74="Z (under 21 - deferment)"),'Input Data'!$BG$6,IF($G74="H (Apprentice under 25)",'Input Data'!$BG$7,'Input Data'!$BG$8))),0)*VLOOKUP($G74,'Input Data'!$BI$3:$BL$10,4,FALSE))))</f>
        <v>0</v>
      </c>
      <c r="AM74" s="56">
        <f>IF($G74="",0,IF(NOT(OR($G74="A - All employees not in groups B, C, J, H, M or Z",$G74="B - Married women and widows entitled to reduced NI",$G74="C - Over the State Pension age",$G74="H - Apprentice under 25",$G74="J – Deferment",$G74="M - Under 21",$G74="Z - Deferment (Under 21)",$G74="Please Enter The NI Cont. in ££££")),$G74,SUM(MAX(MIN(AE74-'Input Data'!$BG$3,'Input Data'!$BG$5-'Input Data'!$BG$3),0)*VLOOKUP($G74,'Input Data'!$BI$3:$BL$10,2,FALSE),MAX(MIN(AE74-'Input Data'!$BG$5,IF(OR($G74="M (under 21)",$G74="Z (under 21 - deferment)"),'Input Data'!$BG$6,IF($G74="H (Apprentice under 25)",'Input Data'!$BG$7,'Input Data'!$BG$8))-'Input Data'!$BG$5),0)*VLOOKUP($G74,'Input Data'!$BI$3:$BL$10,3,FALSE),MAX((AE74-IF(OR($G74="M (under 21)",$G74="Z (under 21 - deferment)"),'Input Data'!$BG$6,IF($G74="H (Apprentice under 25)",'Input Data'!$BG$7,'Input Data'!$BG$8))),0)*VLOOKUP($G74,'Input Data'!$BI$3:$BL$10,4,FALSE))))</f>
        <v>0</v>
      </c>
      <c r="AN74" s="56">
        <f>IF($G74="",0,IF(NOT(OR($G74="A - All employees not in groups B, C, J, H, M or Z",$G74="B - Married women and widows entitled to reduced NI",$G74="C - Over the State Pension age",$G74="H - Apprentice under 25",$G74="J – Deferment",$G74="M - Under 21",$G74="Z - Deferment (Under 21)",$G74="Please Enter The NI Cont. in ££££")),$G74,SUM(MAX(MIN(AF74-'Input Data'!$BG$3,'Input Data'!$BG$5-'Input Data'!$BG$3),0)*VLOOKUP($G74,'Input Data'!$BI$3:$BL$10,2,FALSE),MAX(MIN(AF74-'Input Data'!$BG$5,IF(OR($G74="M (under 21)",$G74="Z (under 21 - deferment)"),'Input Data'!$BG$6,IF($G74="H (Apprentice under 25)",'Input Data'!$BG$7,'Input Data'!$BG$8))-'Input Data'!$BG$5),0)*VLOOKUP($G74,'Input Data'!$BI$3:$BL$10,3,FALSE),MAX((AF74-IF(OR($G74="M (under 21)",$G74="Z (under 21 - deferment)"),'Input Data'!$BG$6,IF($G74="H (Apprentice under 25)",'Input Data'!$BG$7,'Input Data'!$BG$8))),0)*VLOOKUP($G74,'Input Data'!$BI$3:$BL$10,4,FALSE))))</f>
        <v>0</v>
      </c>
      <c r="AO74" s="56">
        <f>IF($G74="",0,IF(NOT(OR($G74="A - All employees not in groups B, C, J, H, M or Z",$G74="B - Married women and widows entitled to reduced NI",$G74="C - Over the State Pension age",$G74="H - Apprentice under 25",$G74="J – Deferment",$G74="M - Under 21",$G74="Z - Deferment (Under 21)",$G74="Please Enter The NI Cont. in ££££")),$G74,SUM(MAX(MIN(AG74-'Input Data'!$BG$3,'Input Data'!$BG$5-'Input Data'!$BG$3),0)*VLOOKUP($G74,'Input Data'!$BI$3:$BL$10,2,FALSE),MAX(MIN(AG74-'Input Data'!$BG$5,IF(OR($G74="M (under 21)",$G74="Z (under 21 - deferment)"),'Input Data'!$BG$6,IF($G74="H (Apprentice under 25)",'Input Data'!$BG$7,'Input Data'!$BG$8))-'Input Data'!$BG$5),0)*VLOOKUP($G74,'Input Data'!$BI$3:$BL$10,3,FALSE),MAX((AG74-IF(OR($G74="M (under 21)",$G74="Z (under 21 - deferment)"),'Input Data'!$BG$6,IF($G74="H (Apprentice under 25)",'Input Data'!$BG$7,'Input Data'!$BG$8))),0)*VLOOKUP($G74,'Input Data'!$BI$3:$BL$10,4,FALSE))))</f>
        <v>0</v>
      </c>
      <c r="AP74" s="56">
        <f>IF($G74="",0,IF(NOT(OR($G74="A - All employees not in groups B, C, J, H, M or Z",$G74="B - Married women and widows entitled to reduced NI",$G74="C - Over the State Pension age",$G74="H - Apprentice under 25",$G74="J – Deferment",$G74="M - Under 21",$G74="Z - Deferment (Under 21)",$G74="Please Enter The NI Cont. in ££££")),$G74,SUM(MAX(MIN(AH74-'Input Data'!$BG$3,'Input Data'!$BG$5-'Input Data'!$BG$3),0)*VLOOKUP($G74,'Input Data'!$BI$3:$BL$10,2,FALSE),MAX(MIN(AH74-'Input Data'!$BG$5,IF(OR($G74="M (under 21)",$G74="Z (under 21 - deferment)"),'Input Data'!$BG$6,IF($G74="H (Apprentice under 25)",'Input Data'!$BG$7,'Input Data'!$BG$8))-'Input Data'!$BG$5),0)*VLOOKUP($G74,'Input Data'!$BI$3:$BL$10,3,FALSE),MAX((AH74-IF(OR($G74="M (under 21)",$G74="Z (under 21 - deferment)"),'Input Data'!$BG$6,IF($G74="H (Apprentice under 25)",'Input Data'!$BG$7,'Input Data'!$BG$8))),0)*VLOOKUP($G74,'Input Data'!$BI$3:$BL$10,4,FALSE))))</f>
        <v>0</v>
      </c>
      <c r="AQ74" s="56">
        <f>IF($G74="",0,IF(NOT(OR($G74="A - All employees not in groups B, C, J, H, M or Z",$G74="B - Married women and widows entitled to reduced NI",$G74="C - Over the State Pension age",$G74="H - Apprentice under 25",$G74="J – Deferment",$G74="M - Under 21",$G74="Z - Deferment (Under 21)",$G74="Please Enter The NI Cont. in ££££")),$G74,SUM(MAX(MIN(AI74-'Input Data'!$BG$3,'Input Data'!$BG$5-'Input Data'!$BG$3),0)*VLOOKUP($G74,'Input Data'!$BI$3:$BL$10,2,FALSE),MAX(MIN(AI74-'Input Data'!$BG$5,IF(OR($G74="M (under 21)",$G74="Z (under 21 - deferment)"),'Input Data'!$BG$6,IF($G74="H (Apprentice under 25)",'Input Data'!$BG$7,'Input Data'!$BG$8))-'Input Data'!$BG$5),0)*VLOOKUP($G74,'Input Data'!$BI$3:$BL$10,3,FALSE),MAX((AI74-IF(OR($G74="M (under 21)",$G74="Z (under 21 - deferment)"),'Input Data'!$BG$6,IF($G74="H (Apprentice under 25)",'Input Data'!$BG$7,'Input Data'!$BG$8))),0)*VLOOKUP($G74,'Input Data'!$BI$3:$BL$10,4,FALSE))))</f>
        <v>0</v>
      </c>
      <c r="AR74" s="56">
        <f>IF($G74="",0,IF(NOT(OR($G74="A - All employees not in groups B, C, J, H, M or Z",$G74="B - Married women and widows entitled to reduced NI",$G74="C - Over the State Pension age",$G74="H - Apprentice under 25",$G74="J – Deferment",$G74="M - Under 21",$G74="Z - Deferment (Under 21)",$G74="Please Enter The NI Cont. in ££££")),$G74,SUM(MAX(MIN(AJ74-'Input Data'!$BG$3,'Input Data'!$BG$5-'Input Data'!$BG$3),0)*VLOOKUP($G74,'Input Data'!$BI$3:$BL$10,2,FALSE),MAX(MIN(AJ74-'Input Data'!$BG$5,IF(OR($G74="M (under 21)",$G74="Z (under 21 - deferment)"),'Input Data'!$BG$6,IF($G74="H (Apprentice under 25)",'Input Data'!$BG$7,'Input Data'!$BG$8))-'Input Data'!$BG$5),0)*VLOOKUP($G74,'Input Data'!$BI$3:$BL$10,3,FALSE),MAX((AJ74-IF(OR($G74="M (under 21)",$G74="Z (under 21 - deferment)"),'Input Data'!$BG$6,IF($G74="H (Apprentice under 25)",'Input Data'!$BG$7,'Input Data'!$BG$8))),0)*VLOOKUP($G74,'Input Data'!$BI$3:$BL$10,4,FALSE))))</f>
        <v>0</v>
      </c>
      <c r="AS74" s="56">
        <f>AC74*$F74</f>
        <v>0</v>
      </c>
      <c r="AT74" s="56">
        <f>AD74*$F74</f>
        <v>0</v>
      </c>
      <c r="AU74" s="56">
        <f>AE74*$F74</f>
        <v>0</v>
      </c>
      <c r="AV74" s="56">
        <f>AF74*$F74</f>
        <v>0</v>
      </c>
      <c r="AW74" s="56">
        <f>AG74*$F74</f>
        <v>0</v>
      </c>
      <c r="AX74" s="56">
        <f>AH74*$F74</f>
        <v>0</v>
      </c>
      <c r="AY74" s="56">
        <f>AI74*$F74</f>
        <v>0</v>
      </c>
      <c r="AZ74" s="56">
        <f>AJ74*$F74</f>
        <v>0</v>
      </c>
    </row>
    <row r="75" spans="2:52" ht="25.5">
      <c r="B75" s="60"/>
      <c r="C75" s="57" t="s">
        <v>109</v>
      </c>
      <c r="D75" s="58"/>
      <c r="E75" s="58"/>
      <c r="F75" s="535"/>
      <c r="G75" s="693" t="s">
        <v>1149</v>
      </c>
      <c r="H75" s="65"/>
      <c r="I75" s="65"/>
      <c r="J75" s="65"/>
      <c r="K75" s="65"/>
      <c r="L75" s="65"/>
      <c r="M75" s="65"/>
      <c r="N75" s="65"/>
      <c r="O75" s="65"/>
      <c r="P75" s="29"/>
      <c r="Q75" s="597"/>
      <c r="R75" s="61"/>
      <c r="T75" s="43">
        <f>SUM(AC75,AK75,AS75)</f>
        <v>0</v>
      </c>
      <c r="U75" s="43">
        <f>SUM(AD75,AL75,AT75)</f>
        <v>0</v>
      </c>
      <c r="V75" s="43">
        <f>SUM(AE75,AM75,AU75)</f>
        <v>0</v>
      </c>
      <c r="W75" s="43">
        <f>SUM(AF75,AN75,AV75)</f>
        <v>0</v>
      </c>
      <c r="X75" s="43">
        <f>SUM(AG75,AO75,AW75)</f>
        <v>0</v>
      </c>
      <c r="Y75" s="43">
        <f>SUM(AH75,AP75,AX75)</f>
        <v>0</v>
      </c>
      <c r="Z75" s="43">
        <f>SUM(AI75,AQ75,AY75)</f>
        <v>0</v>
      </c>
      <c r="AA75" s="43">
        <f>SUM(AJ75,AR75,AZ75)</f>
        <v>0</v>
      </c>
      <c r="AC75" s="631">
        <f>SUM($D75:$E75)*H75</f>
        <v>0</v>
      </c>
      <c r="AD75" s="631">
        <f>SUM($D75:$E75)*I75</f>
        <v>0</v>
      </c>
      <c r="AE75" s="631">
        <f>SUM($D75:$E75)*J75</f>
        <v>0</v>
      </c>
      <c r="AF75" s="631">
        <f>SUM($D75:$E75)*K75</f>
        <v>0</v>
      </c>
      <c r="AG75" s="631">
        <f>SUM($D75:$E75)*L75</f>
        <v>0</v>
      </c>
      <c r="AH75" s="631">
        <f>SUM($D75:$E75)*M75</f>
        <v>0</v>
      </c>
      <c r="AI75" s="631">
        <f>SUM($D75:$E75)*N75</f>
        <v>0</v>
      </c>
      <c r="AJ75" s="631">
        <f>SUM($D75:$E75)*O75</f>
        <v>0</v>
      </c>
      <c r="AK75" s="56">
        <f>IF($G75="",0,IF(NOT(OR($G75="A - All employees not in groups B, C, J, H, M or Z",$G75="B - Married women and widows entitled to reduced NI",$G75="C - Over the State Pension age",$G75="H - Apprentice under 25",$G75="J – Deferment",$G75="M - Under 21",$G75="Z - Deferment (Under 21)",$G75="Please Enter The NI Cont. in ££££")),$G75,SUM(MAX(MIN(AC75-'Input Data'!$BG$3,'Input Data'!$BG$5-'Input Data'!$BG$3),0)*VLOOKUP($G75,'Input Data'!$BI$3:$BL$10,2,FALSE),MAX(MIN(AC75-'Input Data'!$BG$5,IF(OR($G75="M (under 21)",$G75="Z (under 21 - deferment)"),'Input Data'!$BG$6,IF($G75="H (Apprentice under 25)",'Input Data'!$BG$7,'Input Data'!$BG$8))-'Input Data'!$BG$5),0)*VLOOKUP($G75,'Input Data'!$BI$3:$BL$10,3,FALSE),MAX((AC75-IF(OR($G75="M (under 21)",$G75="Z (under 21 - deferment)"),'Input Data'!$BG$6,IF($G75="H (Apprentice under 25)",'Input Data'!$BG$7,'Input Data'!$BG$8))),0)*VLOOKUP($G75,'Input Data'!$BI$3:$BL$10,4,FALSE))))</f>
        <v>0</v>
      </c>
      <c r="AL75" s="56">
        <f>IF($G75="",0,IF(NOT(OR($G75="A - All employees not in groups B, C, J, H, M or Z",$G75="B - Married women and widows entitled to reduced NI",$G75="C - Over the State Pension age",$G75="H - Apprentice under 25",$G75="J – Deferment",$G75="M - Under 21",$G75="Z - Deferment (Under 21)",$G75="Please Enter The NI Cont. in ££££")),$G75,SUM(MAX(MIN(AD75-'Input Data'!$BG$3,'Input Data'!$BG$5-'Input Data'!$BG$3),0)*VLOOKUP($G75,'Input Data'!$BI$3:$BL$10,2,FALSE),MAX(MIN(AD75-'Input Data'!$BG$5,IF(OR($G75="M (under 21)",$G75="Z (under 21 - deferment)"),'Input Data'!$BG$6,IF($G75="H (Apprentice under 25)",'Input Data'!$BG$7,'Input Data'!$BG$8))-'Input Data'!$BG$5),0)*VLOOKUP($G75,'Input Data'!$BI$3:$BL$10,3,FALSE),MAX((AD75-IF(OR($G75="M (under 21)",$G75="Z (under 21 - deferment)"),'Input Data'!$BG$6,IF($G75="H (Apprentice under 25)",'Input Data'!$BG$7,'Input Data'!$BG$8))),0)*VLOOKUP($G75,'Input Data'!$BI$3:$BL$10,4,FALSE))))</f>
        <v>0</v>
      </c>
      <c r="AM75" s="56">
        <f>IF($G75="",0,IF(NOT(OR($G75="A - All employees not in groups B, C, J, H, M or Z",$G75="B - Married women and widows entitled to reduced NI",$G75="C - Over the State Pension age",$G75="H - Apprentice under 25",$G75="J – Deferment",$G75="M - Under 21",$G75="Z - Deferment (Under 21)",$G75="Please Enter The NI Cont. in ££££")),$G75,SUM(MAX(MIN(AE75-'Input Data'!$BG$3,'Input Data'!$BG$5-'Input Data'!$BG$3),0)*VLOOKUP($G75,'Input Data'!$BI$3:$BL$10,2,FALSE),MAX(MIN(AE75-'Input Data'!$BG$5,IF(OR($G75="M (under 21)",$G75="Z (under 21 - deferment)"),'Input Data'!$BG$6,IF($G75="H (Apprentice under 25)",'Input Data'!$BG$7,'Input Data'!$BG$8))-'Input Data'!$BG$5),0)*VLOOKUP($G75,'Input Data'!$BI$3:$BL$10,3,FALSE),MAX((AE75-IF(OR($G75="M (under 21)",$G75="Z (under 21 - deferment)"),'Input Data'!$BG$6,IF($G75="H (Apprentice under 25)",'Input Data'!$BG$7,'Input Data'!$BG$8))),0)*VLOOKUP($G75,'Input Data'!$BI$3:$BL$10,4,FALSE))))</f>
        <v>0</v>
      </c>
      <c r="AN75" s="56">
        <f>IF($G75="",0,IF(NOT(OR($G75="A - All employees not in groups B, C, J, H, M or Z",$G75="B - Married women and widows entitled to reduced NI",$G75="C - Over the State Pension age",$G75="H - Apprentice under 25",$G75="J – Deferment",$G75="M - Under 21",$G75="Z - Deferment (Under 21)",$G75="Please Enter The NI Cont. in ££££")),$G75,SUM(MAX(MIN(AF75-'Input Data'!$BG$3,'Input Data'!$BG$5-'Input Data'!$BG$3),0)*VLOOKUP($G75,'Input Data'!$BI$3:$BL$10,2,FALSE),MAX(MIN(AF75-'Input Data'!$BG$5,IF(OR($G75="M (under 21)",$G75="Z (under 21 - deferment)"),'Input Data'!$BG$6,IF($G75="H (Apprentice under 25)",'Input Data'!$BG$7,'Input Data'!$BG$8))-'Input Data'!$BG$5),0)*VLOOKUP($G75,'Input Data'!$BI$3:$BL$10,3,FALSE),MAX((AF75-IF(OR($G75="M (under 21)",$G75="Z (under 21 - deferment)"),'Input Data'!$BG$6,IF($G75="H (Apprentice under 25)",'Input Data'!$BG$7,'Input Data'!$BG$8))),0)*VLOOKUP($G75,'Input Data'!$BI$3:$BL$10,4,FALSE))))</f>
        <v>0</v>
      </c>
      <c r="AO75" s="56">
        <f>IF($G75="",0,IF(NOT(OR($G75="A - All employees not in groups B, C, J, H, M or Z",$G75="B - Married women and widows entitled to reduced NI",$G75="C - Over the State Pension age",$G75="H - Apprentice under 25",$G75="J – Deferment",$G75="M - Under 21",$G75="Z - Deferment (Under 21)",$G75="Please Enter The NI Cont. in ££££")),$G75,SUM(MAX(MIN(AG75-'Input Data'!$BG$3,'Input Data'!$BG$5-'Input Data'!$BG$3),0)*VLOOKUP($G75,'Input Data'!$BI$3:$BL$10,2,FALSE),MAX(MIN(AG75-'Input Data'!$BG$5,IF(OR($G75="M (under 21)",$G75="Z (under 21 - deferment)"),'Input Data'!$BG$6,IF($G75="H (Apprentice under 25)",'Input Data'!$BG$7,'Input Data'!$BG$8))-'Input Data'!$BG$5),0)*VLOOKUP($G75,'Input Data'!$BI$3:$BL$10,3,FALSE),MAX((AG75-IF(OR($G75="M (under 21)",$G75="Z (under 21 - deferment)"),'Input Data'!$BG$6,IF($G75="H (Apprentice under 25)",'Input Data'!$BG$7,'Input Data'!$BG$8))),0)*VLOOKUP($G75,'Input Data'!$BI$3:$BL$10,4,FALSE))))</f>
        <v>0</v>
      </c>
      <c r="AP75" s="56">
        <f>IF($G75="",0,IF(NOT(OR($G75="A - All employees not in groups B, C, J, H, M or Z",$G75="B - Married women and widows entitled to reduced NI",$G75="C - Over the State Pension age",$G75="H - Apprentice under 25",$G75="J – Deferment",$G75="M - Under 21",$G75="Z - Deferment (Under 21)",$G75="Please Enter The NI Cont. in ££££")),$G75,SUM(MAX(MIN(AH75-'Input Data'!$BG$3,'Input Data'!$BG$5-'Input Data'!$BG$3),0)*VLOOKUP($G75,'Input Data'!$BI$3:$BL$10,2,FALSE),MAX(MIN(AH75-'Input Data'!$BG$5,IF(OR($G75="M (under 21)",$G75="Z (under 21 - deferment)"),'Input Data'!$BG$6,IF($G75="H (Apprentice under 25)",'Input Data'!$BG$7,'Input Data'!$BG$8))-'Input Data'!$BG$5),0)*VLOOKUP($G75,'Input Data'!$BI$3:$BL$10,3,FALSE),MAX((AH75-IF(OR($G75="M (under 21)",$G75="Z (under 21 - deferment)"),'Input Data'!$BG$6,IF($G75="H (Apprentice under 25)",'Input Data'!$BG$7,'Input Data'!$BG$8))),0)*VLOOKUP($G75,'Input Data'!$BI$3:$BL$10,4,FALSE))))</f>
        <v>0</v>
      </c>
      <c r="AQ75" s="56">
        <f>IF($G75="",0,IF(NOT(OR($G75="A - All employees not in groups B, C, J, H, M or Z",$G75="B - Married women and widows entitled to reduced NI",$G75="C - Over the State Pension age",$G75="H - Apprentice under 25",$G75="J – Deferment",$G75="M - Under 21",$G75="Z - Deferment (Under 21)",$G75="Please Enter The NI Cont. in ££££")),$G75,SUM(MAX(MIN(AI75-'Input Data'!$BG$3,'Input Data'!$BG$5-'Input Data'!$BG$3),0)*VLOOKUP($G75,'Input Data'!$BI$3:$BL$10,2,FALSE),MAX(MIN(AI75-'Input Data'!$BG$5,IF(OR($G75="M (under 21)",$G75="Z (under 21 - deferment)"),'Input Data'!$BG$6,IF($G75="H (Apprentice under 25)",'Input Data'!$BG$7,'Input Data'!$BG$8))-'Input Data'!$BG$5),0)*VLOOKUP($G75,'Input Data'!$BI$3:$BL$10,3,FALSE),MAX((AI75-IF(OR($G75="M (under 21)",$G75="Z (under 21 - deferment)"),'Input Data'!$BG$6,IF($G75="H (Apprentice under 25)",'Input Data'!$BG$7,'Input Data'!$BG$8))),0)*VLOOKUP($G75,'Input Data'!$BI$3:$BL$10,4,FALSE))))</f>
        <v>0</v>
      </c>
      <c r="AR75" s="56">
        <f>IF($G75="",0,IF(NOT(OR($G75="A - All employees not in groups B, C, J, H, M or Z",$G75="B - Married women and widows entitled to reduced NI",$G75="C - Over the State Pension age",$G75="H - Apprentice under 25",$G75="J – Deferment",$G75="M - Under 21",$G75="Z - Deferment (Under 21)",$G75="Please Enter The NI Cont. in ££££")),$G75,SUM(MAX(MIN(AJ75-'Input Data'!$BG$3,'Input Data'!$BG$5-'Input Data'!$BG$3),0)*VLOOKUP($G75,'Input Data'!$BI$3:$BL$10,2,FALSE),MAX(MIN(AJ75-'Input Data'!$BG$5,IF(OR($G75="M (under 21)",$G75="Z (under 21 - deferment)"),'Input Data'!$BG$6,IF($G75="H (Apprentice under 25)",'Input Data'!$BG$7,'Input Data'!$BG$8))-'Input Data'!$BG$5),0)*VLOOKUP($G75,'Input Data'!$BI$3:$BL$10,3,FALSE),MAX((AJ75-IF(OR($G75="M (under 21)",$G75="Z (under 21 - deferment)"),'Input Data'!$BG$6,IF($G75="H (Apprentice under 25)",'Input Data'!$BG$7,'Input Data'!$BG$8))),0)*VLOOKUP($G75,'Input Data'!$BI$3:$BL$10,4,FALSE))))</f>
        <v>0</v>
      </c>
      <c r="AS75" s="56">
        <f>AC75*$F75</f>
        <v>0</v>
      </c>
      <c r="AT75" s="56">
        <f>AD75*$F75</f>
        <v>0</v>
      </c>
      <c r="AU75" s="56">
        <f>AE75*$F75</f>
        <v>0</v>
      </c>
      <c r="AV75" s="56">
        <f>AF75*$F75</f>
        <v>0</v>
      </c>
      <c r="AW75" s="56">
        <f>AG75*$F75</f>
        <v>0</v>
      </c>
      <c r="AX75" s="56">
        <f>AH75*$F75</f>
        <v>0</v>
      </c>
      <c r="AY75" s="56">
        <f>AI75*$F75</f>
        <v>0</v>
      </c>
      <c r="AZ75" s="56">
        <f>AJ75*$F75</f>
        <v>0</v>
      </c>
    </row>
    <row r="76" spans="2:52" ht="25.5">
      <c r="B76" s="60"/>
      <c r="C76" s="57" t="s">
        <v>110</v>
      </c>
      <c r="D76" s="58"/>
      <c r="E76" s="58"/>
      <c r="F76" s="535"/>
      <c r="G76" s="693" t="s">
        <v>1149</v>
      </c>
      <c r="H76" s="65"/>
      <c r="I76" s="65"/>
      <c r="J76" s="65"/>
      <c r="K76" s="65"/>
      <c r="L76" s="65"/>
      <c r="M76" s="65"/>
      <c r="N76" s="65"/>
      <c r="O76" s="65"/>
      <c r="P76" s="29"/>
      <c r="Q76" s="597"/>
      <c r="R76" s="61"/>
      <c r="T76" s="43">
        <f>SUM(AC76,AK76,AS76)</f>
        <v>0</v>
      </c>
      <c r="U76" s="43">
        <f>SUM(AD76,AL76,AT76)</f>
        <v>0</v>
      </c>
      <c r="V76" s="43">
        <f>SUM(AE76,AM76,AU76)</f>
        <v>0</v>
      </c>
      <c r="W76" s="43">
        <f>SUM(AF76,AN76,AV76)</f>
        <v>0</v>
      </c>
      <c r="X76" s="43">
        <f>SUM(AG76,AO76,AW76)</f>
        <v>0</v>
      </c>
      <c r="Y76" s="43">
        <f>SUM(AH76,AP76,AX76)</f>
        <v>0</v>
      </c>
      <c r="Z76" s="43">
        <f>SUM(AI76,AQ76,AY76)</f>
        <v>0</v>
      </c>
      <c r="AA76" s="43">
        <f>SUM(AJ76,AR76,AZ76)</f>
        <v>0</v>
      </c>
      <c r="AC76" s="631">
        <f>SUM($D76:$E76)*H76</f>
        <v>0</v>
      </c>
      <c r="AD76" s="631">
        <f>SUM($D76:$E76)*I76</f>
        <v>0</v>
      </c>
      <c r="AE76" s="631">
        <f>SUM($D76:$E76)*J76</f>
        <v>0</v>
      </c>
      <c r="AF76" s="631">
        <f>SUM($D76:$E76)*K76</f>
        <v>0</v>
      </c>
      <c r="AG76" s="631">
        <f>SUM($D76:$E76)*L76</f>
        <v>0</v>
      </c>
      <c r="AH76" s="631">
        <f>SUM($D76:$E76)*M76</f>
        <v>0</v>
      </c>
      <c r="AI76" s="631">
        <f>SUM($D76:$E76)*N76</f>
        <v>0</v>
      </c>
      <c r="AJ76" s="631">
        <f>SUM($D76:$E76)*O76</f>
        <v>0</v>
      </c>
      <c r="AK76" s="56">
        <f>IF($G76="",0,IF(NOT(OR($G76="A - All employees not in groups B, C, J, H, M or Z",$G76="B - Married women and widows entitled to reduced NI",$G76="C - Over the State Pension age",$G76="H - Apprentice under 25",$G76="J – Deferment",$G76="M - Under 21",$G76="Z - Deferment (Under 21)",$G76="Please Enter The NI Cont. in ££££")),$G76,SUM(MAX(MIN(AC76-'Input Data'!$BG$3,'Input Data'!$BG$5-'Input Data'!$BG$3),0)*VLOOKUP($G76,'Input Data'!$BI$3:$BL$10,2,FALSE),MAX(MIN(AC76-'Input Data'!$BG$5,IF(OR($G76="M (under 21)",$G76="Z (under 21 - deferment)"),'Input Data'!$BG$6,IF($G76="H (Apprentice under 25)",'Input Data'!$BG$7,'Input Data'!$BG$8))-'Input Data'!$BG$5),0)*VLOOKUP($G76,'Input Data'!$BI$3:$BL$10,3,FALSE),MAX((AC76-IF(OR($G76="M (under 21)",$G76="Z (under 21 - deferment)"),'Input Data'!$BG$6,IF($G76="H (Apprentice under 25)",'Input Data'!$BG$7,'Input Data'!$BG$8))),0)*VLOOKUP($G76,'Input Data'!$BI$3:$BL$10,4,FALSE))))</f>
        <v>0</v>
      </c>
      <c r="AL76" s="56">
        <f>IF($G76="",0,IF(NOT(OR($G76="A - All employees not in groups B, C, J, H, M or Z",$G76="B - Married women and widows entitled to reduced NI",$G76="C - Over the State Pension age",$G76="H - Apprentice under 25",$G76="J – Deferment",$G76="M - Under 21",$G76="Z - Deferment (Under 21)",$G76="Please Enter The NI Cont. in ££££")),$G76,SUM(MAX(MIN(AD76-'Input Data'!$BG$3,'Input Data'!$BG$5-'Input Data'!$BG$3),0)*VLOOKUP($G76,'Input Data'!$BI$3:$BL$10,2,FALSE),MAX(MIN(AD76-'Input Data'!$BG$5,IF(OR($G76="M (under 21)",$G76="Z (under 21 - deferment)"),'Input Data'!$BG$6,IF($G76="H (Apprentice under 25)",'Input Data'!$BG$7,'Input Data'!$BG$8))-'Input Data'!$BG$5),0)*VLOOKUP($G76,'Input Data'!$BI$3:$BL$10,3,FALSE),MAX((AD76-IF(OR($G76="M (under 21)",$G76="Z (under 21 - deferment)"),'Input Data'!$BG$6,IF($G76="H (Apprentice under 25)",'Input Data'!$BG$7,'Input Data'!$BG$8))),0)*VLOOKUP($G76,'Input Data'!$BI$3:$BL$10,4,FALSE))))</f>
        <v>0</v>
      </c>
      <c r="AM76" s="56">
        <f>IF($G76="",0,IF(NOT(OR($G76="A - All employees not in groups B, C, J, H, M or Z",$G76="B - Married women and widows entitled to reduced NI",$G76="C - Over the State Pension age",$G76="H - Apprentice under 25",$G76="J – Deferment",$G76="M - Under 21",$G76="Z - Deferment (Under 21)",$G76="Please Enter The NI Cont. in ££££")),$G76,SUM(MAX(MIN(AE76-'Input Data'!$BG$3,'Input Data'!$BG$5-'Input Data'!$BG$3),0)*VLOOKUP($G76,'Input Data'!$BI$3:$BL$10,2,FALSE),MAX(MIN(AE76-'Input Data'!$BG$5,IF(OR($G76="M (under 21)",$G76="Z (under 21 - deferment)"),'Input Data'!$BG$6,IF($G76="H (Apprentice under 25)",'Input Data'!$BG$7,'Input Data'!$BG$8))-'Input Data'!$BG$5),0)*VLOOKUP($G76,'Input Data'!$BI$3:$BL$10,3,FALSE),MAX((AE76-IF(OR($G76="M (under 21)",$G76="Z (under 21 - deferment)"),'Input Data'!$BG$6,IF($G76="H (Apprentice under 25)",'Input Data'!$BG$7,'Input Data'!$BG$8))),0)*VLOOKUP($G76,'Input Data'!$BI$3:$BL$10,4,FALSE))))</f>
        <v>0</v>
      </c>
      <c r="AN76" s="56">
        <f>IF($G76="",0,IF(NOT(OR($G76="A - All employees not in groups B, C, J, H, M or Z",$G76="B - Married women and widows entitled to reduced NI",$G76="C - Over the State Pension age",$G76="H - Apprentice under 25",$G76="J – Deferment",$G76="M - Under 21",$G76="Z - Deferment (Under 21)",$G76="Please Enter The NI Cont. in ££££")),$G76,SUM(MAX(MIN(AF76-'Input Data'!$BG$3,'Input Data'!$BG$5-'Input Data'!$BG$3),0)*VLOOKUP($G76,'Input Data'!$BI$3:$BL$10,2,FALSE),MAX(MIN(AF76-'Input Data'!$BG$5,IF(OR($G76="M (under 21)",$G76="Z (under 21 - deferment)"),'Input Data'!$BG$6,IF($G76="H (Apprentice under 25)",'Input Data'!$BG$7,'Input Data'!$BG$8))-'Input Data'!$BG$5),0)*VLOOKUP($G76,'Input Data'!$BI$3:$BL$10,3,FALSE),MAX((AF76-IF(OR($G76="M (under 21)",$G76="Z (under 21 - deferment)"),'Input Data'!$BG$6,IF($G76="H (Apprentice under 25)",'Input Data'!$BG$7,'Input Data'!$BG$8))),0)*VLOOKUP($G76,'Input Data'!$BI$3:$BL$10,4,FALSE))))</f>
        <v>0</v>
      </c>
      <c r="AO76" s="56">
        <f>IF($G76="",0,IF(NOT(OR($G76="A - All employees not in groups B, C, J, H, M or Z",$G76="B - Married women and widows entitled to reduced NI",$G76="C - Over the State Pension age",$G76="H - Apprentice under 25",$G76="J – Deferment",$G76="M - Under 21",$G76="Z - Deferment (Under 21)",$G76="Please Enter The NI Cont. in ££££")),$G76,SUM(MAX(MIN(AG76-'Input Data'!$BG$3,'Input Data'!$BG$5-'Input Data'!$BG$3),0)*VLOOKUP($G76,'Input Data'!$BI$3:$BL$10,2,FALSE),MAX(MIN(AG76-'Input Data'!$BG$5,IF(OR($G76="M (under 21)",$G76="Z (under 21 - deferment)"),'Input Data'!$BG$6,IF($G76="H (Apprentice under 25)",'Input Data'!$BG$7,'Input Data'!$BG$8))-'Input Data'!$BG$5),0)*VLOOKUP($G76,'Input Data'!$BI$3:$BL$10,3,FALSE),MAX((AG76-IF(OR($G76="M (under 21)",$G76="Z (under 21 - deferment)"),'Input Data'!$BG$6,IF($G76="H (Apprentice under 25)",'Input Data'!$BG$7,'Input Data'!$BG$8))),0)*VLOOKUP($G76,'Input Data'!$BI$3:$BL$10,4,FALSE))))</f>
        <v>0</v>
      </c>
      <c r="AP76" s="56">
        <f>IF($G76="",0,IF(NOT(OR($G76="A - All employees not in groups B, C, J, H, M or Z",$G76="B - Married women and widows entitled to reduced NI",$G76="C - Over the State Pension age",$G76="H - Apprentice under 25",$G76="J – Deferment",$G76="M - Under 21",$G76="Z - Deferment (Under 21)",$G76="Please Enter The NI Cont. in ££££")),$G76,SUM(MAX(MIN(AH76-'Input Data'!$BG$3,'Input Data'!$BG$5-'Input Data'!$BG$3),0)*VLOOKUP($G76,'Input Data'!$BI$3:$BL$10,2,FALSE),MAX(MIN(AH76-'Input Data'!$BG$5,IF(OR($G76="M (under 21)",$G76="Z (under 21 - deferment)"),'Input Data'!$BG$6,IF($G76="H (Apprentice under 25)",'Input Data'!$BG$7,'Input Data'!$BG$8))-'Input Data'!$BG$5),0)*VLOOKUP($G76,'Input Data'!$BI$3:$BL$10,3,FALSE),MAX((AH76-IF(OR($G76="M (under 21)",$G76="Z (under 21 - deferment)"),'Input Data'!$BG$6,IF($G76="H (Apprentice under 25)",'Input Data'!$BG$7,'Input Data'!$BG$8))),0)*VLOOKUP($G76,'Input Data'!$BI$3:$BL$10,4,FALSE))))</f>
        <v>0</v>
      </c>
      <c r="AQ76" s="56">
        <f>IF($G76="",0,IF(NOT(OR($G76="A - All employees not in groups B, C, J, H, M or Z",$G76="B - Married women and widows entitled to reduced NI",$G76="C - Over the State Pension age",$G76="H - Apprentice under 25",$G76="J – Deferment",$G76="M - Under 21",$G76="Z - Deferment (Under 21)",$G76="Please Enter The NI Cont. in ££££")),$G76,SUM(MAX(MIN(AI76-'Input Data'!$BG$3,'Input Data'!$BG$5-'Input Data'!$BG$3),0)*VLOOKUP($G76,'Input Data'!$BI$3:$BL$10,2,FALSE),MAX(MIN(AI76-'Input Data'!$BG$5,IF(OR($G76="M (under 21)",$G76="Z (under 21 - deferment)"),'Input Data'!$BG$6,IF($G76="H (Apprentice under 25)",'Input Data'!$BG$7,'Input Data'!$BG$8))-'Input Data'!$BG$5),0)*VLOOKUP($G76,'Input Data'!$BI$3:$BL$10,3,FALSE),MAX((AI76-IF(OR($G76="M (under 21)",$G76="Z (under 21 - deferment)"),'Input Data'!$BG$6,IF($G76="H (Apprentice under 25)",'Input Data'!$BG$7,'Input Data'!$BG$8))),0)*VLOOKUP($G76,'Input Data'!$BI$3:$BL$10,4,FALSE))))</f>
        <v>0</v>
      </c>
      <c r="AR76" s="56">
        <f>IF($G76="",0,IF(NOT(OR($G76="A - All employees not in groups B, C, J, H, M or Z",$G76="B - Married women and widows entitled to reduced NI",$G76="C - Over the State Pension age",$G76="H - Apprentice under 25",$G76="J – Deferment",$G76="M - Under 21",$G76="Z - Deferment (Under 21)",$G76="Please Enter The NI Cont. in ££££")),$G76,SUM(MAX(MIN(AJ76-'Input Data'!$BG$3,'Input Data'!$BG$5-'Input Data'!$BG$3),0)*VLOOKUP($G76,'Input Data'!$BI$3:$BL$10,2,FALSE),MAX(MIN(AJ76-'Input Data'!$BG$5,IF(OR($G76="M (under 21)",$G76="Z (under 21 - deferment)"),'Input Data'!$BG$6,IF($G76="H (Apprentice under 25)",'Input Data'!$BG$7,'Input Data'!$BG$8))-'Input Data'!$BG$5),0)*VLOOKUP($G76,'Input Data'!$BI$3:$BL$10,3,FALSE),MAX((AJ76-IF(OR($G76="M (under 21)",$G76="Z (under 21 - deferment)"),'Input Data'!$BG$6,IF($G76="H (Apprentice under 25)",'Input Data'!$BG$7,'Input Data'!$BG$8))),0)*VLOOKUP($G76,'Input Data'!$BI$3:$BL$10,4,FALSE))))</f>
        <v>0</v>
      </c>
      <c r="AS76" s="56">
        <f>AC76*$F76</f>
        <v>0</v>
      </c>
      <c r="AT76" s="56">
        <f>AD76*$F76</f>
        <v>0</v>
      </c>
      <c r="AU76" s="56">
        <f>AE76*$F76</f>
        <v>0</v>
      </c>
      <c r="AV76" s="56">
        <f>AF76*$F76</f>
        <v>0</v>
      </c>
      <c r="AW76" s="56">
        <f>AG76*$F76</f>
        <v>0</v>
      </c>
      <c r="AX76" s="56">
        <f>AH76*$F76</f>
        <v>0</v>
      </c>
      <c r="AY76" s="56">
        <f>AI76*$F76</f>
        <v>0</v>
      </c>
      <c r="AZ76" s="56">
        <f>AJ76*$F76</f>
        <v>0</v>
      </c>
    </row>
    <row r="77" spans="2:52" ht="25.5">
      <c r="B77" s="60"/>
      <c r="C77" s="57" t="s">
        <v>111</v>
      </c>
      <c r="D77" s="58"/>
      <c r="E77" s="58"/>
      <c r="F77" s="535"/>
      <c r="G77" s="693" t="s">
        <v>1149</v>
      </c>
      <c r="H77" s="65"/>
      <c r="I77" s="65"/>
      <c r="J77" s="65"/>
      <c r="K77" s="65"/>
      <c r="L77" s="65"/>
      <c r="M77" s="65"/>
      <c r="N77" s="65"/>
      <c r="O77" s="65"/>
      <c r="P77" s="29"/>
      <c r="Q77" s="597"/>
      <c r="R77" s="61"/>
      <c r="T77" s="43">
        <f>SUM(AC77,AK77,AS77)</f>
        <v>0</v>
      </c>
      <c r="U77" s="43">
        <f>SUM(AD77,AL77,AT77)</f>
        <v>0</v>
      </c>
      <c r="V77" s="43">
        <f>SUM(AE77,AM77,AU77)</f>
        <v>0</v>
      </c>
      <c r="W77" s="43">
        <f>SUM(AF77,AN77,AV77)</f>
        <v>0</v>
      </c>
      <c r="X77" s="43">
        <f>SUM(AG77,AO77,AW77)</f>
        <v>0</v>
      </c>
      <c r="Y77" s="43">
        <f>SUM(AH77,AP77,AX77)</f>
        <v>0</v>
      </c>
      <c r="Z77" s="43">
        <f>SUM(AI77,AQ77,AY77)</f>
        <v>0</v>
      </c>
      <c r="AA77" s="43">
        <f>SUM(AJ77,AR77,AZ77)</f>
        <v>0</v>
      </c>
      <c r="AC77" s="631">
        <f>SUM($D77:$E77)*H77</f>
        <v>0</v>
      </c>
      <c r="AD77" s="631">
        <f>SUM($D77:$E77)*I77</f>
        <v>0</v>
      </c>
      <c r="AE77" s="631">
        <f>SUM($D77:$E77)*J77</f>
        <v>0</v>
      </c>
      <c r="AF77" s="631">
        <f>SUM($D77:$E77)*K77</f>
        <v>0</v>
      </c>
      <c r="AG77" s="631">
        <f>SUM($D77:$E77)*L77</f>
        <v>0</v>
      </c>
      <c r="AH77" s="631">
        <f>SUM($D77:$E77)*M77</f>
        <v>0</v>
      </c>
      <c r="AI77" s="631">
        <f>SUM($D77:$E77)*N77</f>
        <v>0</v>
      </c>
      <c r="AJ77" s="631">
        <f>SUM($D77:$E77)*O77</f>
        <v>0</v>
      </c>
      <c r="AK77" s="56">
        <f>IF($G77="",0,IF(NOT(OR($G77="A - All employees not in groups B, C, J, H, M or Z",$G77="B - Married women and widows entitled to reduced NI",$G77="C - Over the State Pension age",$G77="H - Apprentice under 25",$G77="J – Deferment",$G77="M - Under 21",$G77="Z - Deferment (Under 21)",$G77="Please Enter The NI Cont. in ££££")),$G77,SUM(MAX(MIN(AC77-'Input Data'!$BG$3,'Input Data'!$BG$5-'Input Data'!$BG$3),0)*VLOOKUP($G77,'Input Data'!$BI$3:$BL$10,2,FALSE),MAX(MIN(AC77-'Input Data'!$BG$5,IF(OR($G77="M (under 21)",$G77="Z (under 21 - deferment)"),'Input Data'!$BG$6,IF($G77="H (Apprentice under 25)",'Input Data'!$BG$7,'Input Data'!$BG$8))-'Input Data'!$BG$5),0)*VLOOKUP($G77,'Input Data'!$BI$3:$BL$10,3,FALSE),MAX((AC77-IF(OR($G77="M (under 21)",$G77="Z (under 21 - deferment)"),'Input Data'!$BG$6,IF($G77="H (Apprentice under 25)",'Input Data'!$BG$7,'Input Data'!$BG$8))),0)*VLOOKUP($G77,'Input Data'!$BI$3:$BL$10,4,FALSE))))</f>
        <v>0</v>
      </c>
      <c r="AL77" s="56">
        <f>IF($G77="",0,IF(NOT(OR($G77="A - All employees not in groups B, C, J, H, M or Z",$G77="B - Married women and widows entitled to reduced NI",$G77="C - Over the State Pension age",$G77="H - Apprentice under 25",$G77="J – Deferment",$G77="M - Under 21",$G77="Z - Deferment (Under 21)",$G77="Please Enter The NI Cont. in ££££")),$G77,SUM(MAX(MIN(AD77-'Input Data'!$BG$3,'Input Data'!$BG$5-'Input Data'!$BG$3),0)*VLOOKUP($G77,'Input Data'!$BI$3:$BL$10,2,FALSE),MAX(MIN(AD77-'Input Data'!$BG$5,IF(OR($G77="M (under 21)",$G77="Z (under 21 - deferment)"),'Input Data'!$BG$6,IF($G77="H (Apprentice under 25)",'Input Data'!$BG$7,'Input Data'!$BG$8))-'Input Data'!$BG$5),0)*VLOOKUP($G77,'Input Data'!$BI$3:$BL$10,3,FALSE),MAX((AD77-IF(OR($G77="M (under 21)",$G77="Z (under 21 - deferment)"),'Input Data'!$BG$6,IF($G77="H (Apprentice under 25)",'Input Data'!$BG$7,'Input Data'!$BG$8))),0)*VLOOKUP($G77,'Input Data'!$BI$3:$BL$10,4,FALSE))))</f>
        <v>0</v>
      </c>
      <c r="AM77" s="56">
        <f>IF($G77="",0,IF(NOT(OR($G77="A - All employees not in groups B, C, J, H, M or Z",$G77="B - Married women and widows entitled to reduced NI",$G77="C - Over the State Pension age",$G77="H - Apprentice under 25",$G77="J – Deferment",$G77="M - Under 21",$G77="Z - Deferment (Under 21)",$G77="Please Enter The NI Cont. in ££££")),$G77,SUM(MAX(MIN(AE77-'Input Data'!$BG$3,'Input Data'!$BG$5-'Input Data'!$BG$3),0)*VLOOKUP($G77,'Input Data'!$BI$3:$BL$10,2,FALSE),MAX(MIN(AE77-'Input Data'!$BG$5,IF(OR($G77="M (under 21)",$G77="Z (under 21 - deferment)"),'Input Data'!$BG$6,IF($G77="H (Apprentice under 25)",'Input Data'!$BG$7,'Input Data'!$BG$8))-'Input Data'!$BG$5),0)*VLOOKUP($G77,'Input Data'!$BI$3:$BL$10,3,FALSE),MAX((AE77-IF(OR($G77="M (under 21)",$G77="Z (under 21 - deferment)"),'Input Data'!$BG$6,IF($G77="H (Apprentice under 25)",'Input Data'!$BG$7,'Input Data'!$BG$8))),0)*VLOOKUP($G77,'Input Data'!$BI$3:$BL$10,4,FALSE))))</f>
        <v>0</v>
      </c>
      <c r="AN77" s="56">
        <f>IF($G77="",0,IF(NOT(OR($G77="A - All employees not in groups B, C, J, H, M or Z",$G77="B - Married women and widows entitled to reduced NI",$G77="C - Over the State Pension age",$G77="H - Apprentice under 25",$G77="J – Deferment",$G77="M - Under 21",$G77="Z - Deferment (Under 21)",$G77="Please Enter The NI Cont. in ££££")),$G77,SUM(MAX(MIN(AF77-'Input Data'!$BG$3,'Input Data'!$BG$5-'Input Data'!$BG$3),0)*VLOOKUP($G77,'Input Data'!$BI$3:$BL$10,2,FALSE),MAX(MIN(AF77-'Input Data'!$BG$5,IF(OR($G77="M (under 21)",$G77="Z (under 21 - deferment)"),'Input Data'!$BG$6,IF($G77="H (Apprentice under 25)",'Input Data'!$BG$7,'Input Data'!$BG$8))-'Input Data'!$BG$5),0)*VLOOKUP($G77,'Input Data'!$BI$3:$BL$10,3,FALSE),MAX((AF77-IF(OR($G77="M (under 21)",$G77="Z (under 21 - deferment)"),'Input Data'!$BG$6,IF($G77="H (Apprentice under 25)",'Input Data'!$BG$7,'Input Data'!$BG$8))),0)*VLOOKUP($G77,'Input Data'!$BI$3:$BL$10,4,FALSE))))</f>
        <v>0</v>
      </c>
      <c r="AO77" s="56">
        <f>IF($G77="",0,IF(NOT(OR($G77="A - All employees not in groups B, C, J, H, M or Z",$G77="B - Married women and widows entitled to reduced NI",$G77="C - Over the State Pension age",$G77="H - Apprentice under 25",$G77="J – Deferment",$G77="M - Under 21",$G77="Z - Deferment (Under 21)",$G77="Please Enter The NI Cont. in ££££")),$G77,SUM(MAX(MIN(AG77-'Input Data'!$BG$3,'Input Data'!$BG$5-'Input Data'!$BG$3),0)*VLOOKUP($G77,'Input Data'!$BI$3:$BL$10,2,FALSE),MAX(MIN(AG77-'Input Data'!$BG$5,IF(OR($G77="M (under 21)",$G77="Z (under 21 - deferment)"),'Input Data'!$BG$6,IF($G77="H (Apprentice under 25)",'Input Data'!$BG$7,'Input Data'!$BG$8))-'Input Data'!$BG$5),0)*VLOOKUP($G77,'Input Data'!$BI$3:$BL$10,3,FALSE),MAX((AG77-IF(OR($G77="M (under 21)",$G77="Z (under 21 - deferment)"),'Input Data'!$BG$6,IF($G77="H (Apprentice under 25)",'Input Data'!$BG$7,'Input Data'!$BG$8))),0)*VLOOKUP($G77,'Input Data'!$BI$3:$BL$10,4,FALSE))))</f>
        <v>0</v>
      </c>
      <c r="AP77" s="56">
        <f>IF($G77="",0,IF(NOT(OR($G77="A - All employees not in groups B, C, J, H, M or Z",$G77="B - Married women and widows entitled to reduced NI",$G77="C - Over the State Pension age",$G77="H - Apprentice under 25",$G77="J – Deferment",$G77="M - Under 21",$G77="Z - Deferment (Under 21)",$G77="Please Enter The NI Cont. in ££££")),$G77,SUM(MAX(MIN(AH77-'Input Data'!$BG$3,'Input Data'!$BG$5-'Input Data'!$BG$3),0)*VLOOKUP($G77,'Input Data'!$BI$3:$BL$10,2,FALSE),MAX(MIN(AH77-'Input Data'!$BG$5,IF(OR($G77="M (under 21)",$G77="Z (under 21 - deferment)"),'Input Data'!$BG$6,IF($G77="H (Apprentice under 25)",'Input Data'!$BG$7,'Input Data'!$BG$8))-'Input Data'!$BG$5),0)*VLOOKUP($G77,'Input Data'!$BI$3:$BL$10,3,FALSE),MAX((AH77-IF(OR($G77="M (under 21)",$G77="Z (under 21 - deferment)"),'Input Data'!$BG$6,IF($G77="H (Apprentice under 25)",'Input Data'!$BG$7,'Input Data'!$BG$8))),0)*VLOOKUP($G77,'Input Data'!$BI$3:$BL$10,4,FALSE))))</f>
        <v>0</v>
      </c>
      <c r="AQ77" s="56">
        <f>IF($G77="",0,IF(NOT(OR($G77="A - All employees not in groups B, C, J, H, M or Z",$G77="B - Married women and widows entitled to reduced NI",$G77="C - Over the State Pension age",$G77="H - Apprentice under 25",$G77="J – Deferment",$G77="M - Under 21",$G77="Z - Deferment (Under 21)",$G77="Please Enter The NI Cont. in ££££")),$G77,SUM(MAX(MIN(AI77-'Input Data'!$BG$3,'Input Data'!$BG$5-'Input Data'!$BG$3),0)*VLOOKUP($G77,'Input Data'!$BI$3:$BL$10,2,FALSE),MAX(MIN(AI77-'Input Data'!$BG$5,IF(OR($G77="M (under 21)",$G77="Z (under 21 - deferment)"),'Input Data'!$BG$6,IF($G77="H (Apprentice under 25)",'Input Data'!$BG$7,'Input Data'!$BG$8))-'Input Data'!$BG$5),0)*VLOOKUP($G77,'Input Data'!$BI$3:$BL$10,3,FALSE),MAX((AI77-IF(OR($G77="M (under 21)",$G77="Z (under 21 - deferment)"),'Input Data'!$BG$6,IF($G77="H (Apprentice under 25)",'Input Data'!$BG$7,'Input Data'!$BG$8))),0)*VLOOKUP($G77,'Input Data'!$BI$3:$BL$10,4,FALSE))))</f>
        <v>0</v>
      </c>
      <c r="AR77" s="56">
        <f>IF($G77="",0,IF(NOT(OR($G77="A - All employees not in groups B, C, J, H, M or Z",$G77="B - Married women and widows entitled to reduced NI",$G77="C - Over the State Pension age",$G77="H - Apprentice under 25",$G77="J – Deferment",$G77="M - Under 21",$G77="Z - Deferment (Under 21)",$G77="Please Enter The NI Cont. in ££££")),$G77,SUM(MAX(MIN(AJ77-'Input Data'!$BG$3,'Input Data'!$BG$5-'Input Data'!$BG$3),0)*VLOOKUP($G77,'Input Data'!$BI$3:$BL$10,2,FALSE),MAX(MIN(AJ77-'Input Data'!$BG$5,IF(OR($G77="M (under 21)",$G77="Z (under 21 - deferment)"),'Input Data'!$BG$6,IF($G77="H (Apprentice under 25)",'Input Data'!$BG$7,'Input Data'!$BG$8))-'Input Data'!$BG$5),0)*VLOOKUP($G77,'Input Data'!$BI$3:$BL$10,3,FALSE),MAX((AJ77-IF(OR($G77="M (under 21)",$G77="Z (under 21 - deferment)"),'Input Data'!$BG$6,IF($G77="H (Apprentice under 25)",'Input Data'!$BG$7,'Input Data'!$BG$8))),0)*VLOOKUP($G77,'Input Data'!$BI$3:$BL$10,4,FALSE))))</f>
        <v>0</v>
      </c>
      <c r="AS77" s="56">
        <f>AC77*$F77</f>
        <v>0</v>
      </c>
      <c r="AT77" s="56">
        <f>AD77*$F77</f>
        <v>0</v>
      </c>
      <c r="AU77" s="56">
        <f>AE77*$F77</f>
        <v>0</v>
      </c>
      <c r="AV77" s="56">
        <f>AF77*$F77</f>
        <v>0</v>
      </c>
      <c r="AW77" s="56">
        <f>AG77*$F77</f>
        <v>0</v>
      </c>
      <c r="AX77" s="56">
        <f>AH77*$F77</f>
        <v>0</v>
      </c>
      <c r="AY77" s="56">
        <f>AI77*$F77</f>
        <v>0</v>
      </c>
      <c r="AZ77" s="56">
        <f>AJ77*$F77</f>
        <v>0</v>
      </c>
    </row>
    <row r="78" spans="2:52" ht="25.5">
      <c r="B78" s="60"/>
      <c r="C78" s="57" t="s">
        <v>112</v>
      </c>
      <c r="D78" s="58"/>
      <c r="E78" s="58"/>
      <c r="F78" s="535"/>
      <c r="G78" s="693" t="s">
        <v>1149</v>
      </c>
      <c r="H78" s="65"/>
      <c r="I78" s="65"/>
      <c r="J78" s="65"/>
      <c r="K78" s="65"/>
      <c r="L78" s="65"/>
      <c r="M78" s="65"/>
      <c r="N78" s="65"/>
      <c r="O78" s="65"/>
      <c r="P78" s="29"/>
      <c r="Q78" s="597"/>
      <c r="R78" s="61"/>
      <c r="T78" s="43">
        <f>SUM(AC78,AK78,AS78)</f>
        <v>0</v>
      </c>
      <c r="U78" s="43">
        <f>SUM(AD78,AL78,AT78)</f>
        <v>0</v>
      </c>
      <c r="V78" s="43">
        <f>SUM(AE78,AM78,AU78)</f>
        <v>0</v>
      </c>
      <c r="W78" s="43">
        <f>SUM(AF78,AN78,AV78)</f>
        <v>0</v>
      </c>
      <c r="X78" s="43">
        <f>SUM(AG78,AO78,AW78)</f>
        <v>0</v>
      </c>
      <c r="Y78" s="43">
        <f>SUM(AH78,AP78,AX78)</f>
        <v>0</v>
      </c>
      <c r="Z78" s="43">
        <f>SUM(AI78,AQ78,AY78)</f>
        <v>0</v>
      </c>
      <c r="AA78" s="43">
        <f>SUM(AJ78,AR78,AZ78)</f>
        <v>0</v>
      </c>
      <c r="AC78" s="631">
        <f>SUM($D78:$E78)*H78</f>
        <v>0</v>
      </c>
      <c r="AD78" s="631">
        <f>SUM($D78:$E78)*I78</f>
        <v>0</v>
      </c>
      <c r="AE78" s="631">
        <f>SUM($D78:$E78)*J78</f>
        <v>0</v>
      </c>
      <c r="AF78" s="631">
        <f>SUM($D78:$E78)*K78</f>
        <v>0</v>
      </c>
      <c r="AG78" s="631">
        <f>SUM($D78:$E78)*L78</f>
        <v>0</v>
      </c>
      <c r="AH78" s="631">
        <f>SUM($D78:$E78)*M78</f>
        <v>0</v>
      </c>
      <c r="AI78" s="631">
        <f>SUM($D78:$E78)*N78</f>
        <v>0</v>
      </c>
      <c r="AJ78" s="631">
        <f>SUM($D78:$E78)*O78</f>
        <v>0</v>
      </c>
      <c r="AK78" s="56">
        <f>IF($G78="",0,IF(NOT(OR($G78="A - All employees not in groups B, C, J, H, M or Z",$G78="B - Married women and widows entitled to reduced NI",$G78="C - Over the State Pension age",$G78="H - Apprentice under 25",$G78="J – Deferment",$G78="M - Under 21",$G78="Z - Deferment (Under 21)",$G78="Please Enter The NI Cont. in ££££")),$G78,SUM(MAX(MIN(AC78-'Input Data'!$BG$3,'Input Data'!$BG$5-'Input Data'!$BG$3),0)*VLOOKUP($G78,'Input Data'!$BI$3:$BL$10,2,FALSE),MAX(MIN(AC78-'Input Data'!$BG$5,IF(OR($G78="M (under 21)",$G78="Z (under 21 - deferment)"),'Input Data'!$BG$6,IF($G78="H (Apprentice under 25)",'Input Data'!$BG$7,'Input Data'!$BG$8))-'Input Data'!$BG$5),0)*VLOOKUP($G78,'Input Data'!$BI$3:$BL$10,3,FALSE),MAX((AC78-IF(OR($G78="M (under 21)",$G78="Z (under 21 - deferment)"),'Input Data'!$BG$6,IF($G78="H (Apprentice under 25)",'Input Data'!$BG$7,'Input Data'!$BG$8))),0)*VLOOKUP($G78,'Input Data'!$BI$3:$BL$10,4,FALSE))))</f>
        <v>0</v>
      </c>
      <c r="AL78" s="56">
        <f>IF($G78="",0,IF(NOT(OR($G78="A - All employees not in groups B, C, J, H, M or Z",$G78="B - Married women and widows entitled to reduced NI",$G78="C - Over the State Pension age",$G78="H - Apprentice under 25",$G78="J – Deferment",$G78="M - Under 21",$G78="Z - Deferment (Under 21)",$G78="Please Enter The NI Cont. in ££££")),$G78,SUM(MAX(MIN(AD78-'Input Data'!$BG$3,'Input Data'!$BG$5-'Input Data'!$BG$3),0)*VLOOKUP($G78,'Input Data'!$BI$3:$BL$10,2,FALSE),MAX(MIN(AD78-'Input Data'!$BG$5,IF(OR($G78="M (under 21)",$G78="Z (under 21 - deferment)"),'Input Data'!$BG$6,IF($G78="H (Apprentice under 25)",'Input Data'!$BG$7,'Input Data'!$BG$8))-'Input Data'!$BG$5),0)*VLOOKUP($G78,'Input Data'!$BI$3:$BL$10,3,FALSE),MAX((AD78-IF(OR($G78="M (under 21)",$G78="Z (under 21 - deferment)"),'Input Data'!$BG$6,IF($G78="H (Apprentice under 25)",'Input Data'!$BG$7,'Input Data'!$BG$8))),0)*VLOOKUP($G78,'Input Data'!$BI$3:$BL$10,4,FALSE))))</f>
        <v>0</v>
      </c>
      <c r="AM78" s="56">
        <f>IF($G78="",0,IF(NOT(OR($G78="A - All employees not in groups B, C, J, H, M or Z",$G78="B - Married women and widows entitled to reduced NI",$G78="C - Over the State Pension age",$G78="H - Apprentice under 25",$G78="J – Deferment",$G78="M - Under 21",$G78="Z - Deferment (Under 21)",$G78="Please Enter The NI Cont. in ££££")),$G78,SUM(MAX(MIN(AE78-'Input Data'!$BG$3,'Input Data'!$BG$5-'Input Data'!$BG$3),0)*VLOOKUP($G78,'Input Data'!$BI$3:$BL$10,2,FALSE),MAX(MIN(AE78-'Input Data'!$BG$5,IF(OR($G78="M (under 21)",$G78="Z (under 21 - deferment)"),'Input Data'!$BG$6,IF($G78="H (Apprentice under 25)",'Input Data'!$BG$7,'Input Data'!$BG$8))-'Input Data'!$BG$5),0)*VLOOKUP($G78,'Input Data'!$BI$3:$BL$10,3,FALSE),MAX((AE78-IF(OR($G78="M (under 21)",$G78="Z (under 21 - deferment)"),'Input Data'!$BG$6,IF($G78="H (Apprentice under 25)",'Input Data'!$BG$7,'Input Data'!$BG$8))),0)*VLOOKUP($G78,'Input Data'!$BI$3:$BL$10,4,FALSE))))</f>
        <v>0</v>
      </c>
      <c r="AN78" s="56">
        <f>IF($G78="",0,IF(NOT(OR($G78="A - All employees not in groups B, C, J, H, M or Z",$G78="B - Married women and widows entitled to reduced NI",$G78="C - Over the State Pension age",$G78="H - Apprentice under 25",$G78="J – Deferment",$G78="M - Under 21",$G78="Z - Deferment (Under 21)",$G78="Please Enter The NI Cont. in ££££")),$G78,SUM(MAX(MIN(AF78-'Input Data'!$BG$3,'Input Data'!$BG$5-'Input Data'!$BG$3),0)*VLOOKUP($G78,'Input Data'!$BI$3:$BL$10,2,FALSE),MAX(MIN(AF78-'Input Data'!$BG$5,IF(OR($G78="M (under 21)",$G78="Z (under 21 - deferment)"),'Input Data'!$BG$6,IF($G78="H (Apprentice under 25)",'Input Data'!$BG$7,'Input Data'!$BG$8))-'Input Data'!$BG$5),0)*VLOOKUP($G78,'Input Data'!$BI$3:$BL$10,3,FALSE),MAX((AF78-IF(OR($G78="M (under 21)",$G78="Z (under 21 - deferment)"),'Input Data'!$BG$6,IF($G78="H (Apprentice under 25)",'Input Data'!$BG$7,'Input Data'!$BG$8))),0)*VLOOKUP($G78,'Input Data'!$BI$3:$BL$10,4,FALSE))))</f>
        <v>0</v>
      </c>
      <c r="AO78" s="56">
        <f>IF($G78="",0,IF(NOT(OR($G78="A - All employees not in groups B, C, J, H, M or Z",$G78="B - Married women and widows entitled to reduced NI",$G78="C - Over the State Pension age",$G78="H - Apprentice under 25",$G78="J – Deferment",$G78="M - Under 21",$G78="Z - Deferment (Under 21)",$G78="Please Enter The NI Cont. in ££££")),$G78,SUM(MAX(MIN(AG78-'Input Data'!$BG$3,'Input Data'!$BG$5-'Input Data'!$BG$3),0)*VLOOKUP($G78,'Input Data'!$BI$3:$BL$10,2,FALSE),MAX(MIN(AG78-'Input Data'!$BG$5,IF(OR($G78="M (under 21)",$G78="Z (under 21 - deferment)"),'Input Data'!$BG$6,IF($G78="H (Apprentice under 25)",'Input Data'!$BG$7,'Input Data'!$BG$8))-'Input Data'!$BG$5),0)*VLOOKUP($G78,'Input Data'!$BI$3:$BL$10,3,FALSE),MAX((AG78-IF(OR($G78="M (under 21)",$G78="Z (under 21 - deferment)"),'Input Data'!$BG$6,IF($G78="H (Apprentice under 25)",'Input Data'!$BG$7,'Input Data'!$BG$8))),0)*VLOOKUP($G78,'Input Data'!$BI$3:$BL$10,4,FALSE))))</f>
        <v>0</v>
      </c>
      <c r="AP78" s="56">
        <f>IF($G78="",0,IF(NOT(OR($G78="A - All employees not in groups B, C, J, H, M or Z",$G78="B - Married women and widows entitled to reduced NI",$G78="C - Over the State Pension age",$G78="H - Apprentice under 25",$G78="J – Deferment",$G78="M - Under 21",$G78="Z - Deferment (Under 21)",$G78="Please Enter The NI Cont. in ££££")),$G78,SUM(MAX(MIN(AH78-'Input Data'!$BG$3,'Input Data'!$BG$5-'Input Data'!$BG$3),0)*VLOOKUP($G78,'Input Data'!$BI$3:$BL$10,2,FALSE),MAX(MIN(AH78-'Input Data'!$BG$5,IF(OR($G78="M (under 21)",$G78="Z (under 21 - deferment)"),'Input Data'!$BG$6,IF($G78="H (Apprentice under 25)",'Input Data'!$BG$7,'Input Data'!$BG$8))-'Input Data'!$BG$5),0)*VLOOKUP($G78,'Input Data'!$BI$3:$BL$10,3,FALSE),MAX((AH78-IF(OR($G78="M (under 21)",$G78="Z (under 21 - deferment)"),'Input Data'!$BG$6,IF($G78="H (Apprentice under 25)",'Input Data'!$BG$7,'Input Data'!$BG$8))),0)*VLOOKUP($G78,'Input Data'!$BI$3:$BL$10,4,FALSE))))</f>
        <v>0</v>
      </c>
      <c r="AQ78" s="56">
        <f>IF($G78="",0,IF(NOT(OR($G78="A - All employees not in groups B, C, J, H, M or Z",$G78="B - Married women and widows entitled to reduced NI",$G78="C - Over the State Pension age",$G78="H - Apprentice under 25",$G78="J – Deferment",$G78="M - Under 21",$G78="Z - Deferment (Under 21)",$G78="Please Enter The NI Cont. in ££££")),$G78,SUM(MAX(MIN(AI78-'Input Data'!$BG$3,'Input Data'!$BG$5-'Input Data'!$BG$3),0)*VLOOKUP($G78,'Input Data'!$BI$3:$BL$10,2,FALSE),MAX(MIN(AI78-'Input Data'!$BG$5,IF(OR($G78="M (under 21)",$G78="Z (under 21 - deferment)"),'Input Data'!$BG$6,IF($G78="H (Apprentice under 25)",'Input Data'!$BG$7,'Input Data'!$BG$8))-'Input Data'!$BG$5),0)*VLOOKUP($G78,'Input Data'!$BI$3:$BL$10,3,FALSE),MAX((AI78-IF(OR($G78="M (under 21)",$G78="Z (under 21 - deferment)"),'Input Data'!$BG$6,IF($G78="H (Apprentice under 25)",'Input Data'!$BG$7,'Input Data'!$BG$8))),0)*VLOOKUP($G78,'Input Data'!$BI$3:$BL$10,4,FALSE))))</f>
        <v>0</v>
      </c>
      <c r="AR78" s="56">
        <f>IF($G78="",0,IF(NOT(OR($G78="A - All employees not in groups B, C, J, H, M or Z",$G78="B - Married women and widows entitled to reduced NI",$G78="C - Over the State Pension age",$G78="H - Apprentice under 25",$G78="J – Deferment",$G78="M - Under 21",$G78="Z - Deferment (Under 21)",$G78="Please Enter The NI Cont. in ££££")),$G78,SUM(MAX(MIN(AJ78-'Input Data'!$BG$3,'Input Data'!$BG$5-'Input Data'!$BG$3),0)*VLOOKUP($G78,'Input Data'!$BI$3:$BL$10,2,FALSE),MAX(MIN(AJ78-'Input Data'!$BG$5,IF(OR($G78="M (under 21)",$G78="Z (under 21 - deferment)"),'Input Data'!$BG$6,IF($G78="H (Apprentice under 25)",'Input Data'!$BG$7,'Input Data'!$BG$8))-'Input Data'!$BG$5),0)*VLOOKUP($G78,'Input Data'!$BI$3:$BL$10,3,FALSE),MAX((AJ78-IF(OR($G78="M (under 21)",$G78="Z (under 21 - deferment)"),'Input Data'!$BG$6,IF($G78="H (Apprentice under 25)",'Input Data'!$BG$7,'Input Data'!$BG$8))),0)*VLOOKUP($G78,'Input Data'!$BI$3:$BL$10,4,FALSE))))</f>
        <v>0</v>
      </c>
      <c r="AS78" s="56">
        <f>AC78*$F78</f>
        <v>0</v>
      </c>
      <c r="AT78" s="56">
        <f>AD78*$F78</f>
        <v>0</v>
      </c>
      <c r="AU78" s="56">
        <f>AE78*$F78</f>
        <v>0</v>
      </c>
      <c r="AV78" s="56">
        <f>AF78*$F78</f>
        <v>0</v>
      </c>
      <c r="AW78" s="56">
        <f>AG78*$F78</f>
        <v>0</v>
      </c>
      <c r="AX78" s="56">
        <f>AH78*$F78</f>
        <v>0</v>
      </c>
      <c r="AY78" s="56">
        <f>AI78*$F78</f>
        <v>0</v>
      </c>
      <c r="AZ78" s="56">
        <f>AJ78*$F78</f>
        <v>0</v>
      </c>
    </row>
    <row r="79" spans="2:52" ht="25.5">
      <c r="B79" s="60"/>
      <c r="C79" s="57" t="s">
        <v>113</v>
      </c>
      <c r="D79" s="58"/>
      <c r="E79" s="58"/>
      <c r="F79" s="535"/>
      <c r="G79" s="693" t="s">
        <v>1149</v>
      </c>
      <c r="H79" s="65"/>
      <c r="I79" s="65"/>
      <c r="J79" s="65"/>
      <c r="K79" s="65"/>
      <c r="L79" s="65"/>
      <c r="M79" s="65"/>
      <c r="N79" s="65"/>
      <c r="O79" s="65"/>
      <c r="P79" s="29"/>
      <c r="Q79" s="597"/>
      <c r="R79" s="61"/>
      <c r="T79" s="43">
        <f>SUM(AC79,AK79,AS79)</f>
        <v>0</v>
      </c>
      <c r="U79" s="43">
        <f>SUM(AD79,AL79,AT79)</f>
        <v>0</v>
      </c>
      <c r="V79" s="43">
        <f>SUM(AE79,AM79,AU79)</f>
        <v>0</v>
      </c>
      <c r="W79" s="43">
        <f>SUM(AF79,AN79,AV79)</f>
        <v>0</v>
      </c>
      <c r="X79" s="43">
        <f>SUM(AG79,AO79,AW79)</f>
        <v>0</v>
      </c>
      <c r="Y79" s="43">
        <f>SUM(AH79,AP79,AX79)</f>
        <v>0</v>
      </c>
      <c r="Z79" s="43">
        <f>SUM(AI79,AQ79,AY79)</f>
        <v>0</v>
      </c>
      <c r="AA79" s="43">
        <f>SUM(AJ79,AR79,AZ79)</f>
        <v>0</v>
      </c>
      <c r="AC79" s="631">
        <f>SUM($D79:$E79)*H79</f>
        <v>0</v>
      </c>
      <c r="AD79" s="631">
        <f>SUM($D79:$E79)*I79</f>
        <v>0</v>
      </c>
      <c r="AE79" s="631">
        <f>SUM($D79:$E79)*J79</f>
        <v>0</v>
      </c>
      <c r="AF79" s="631">
        <f>SUM($D79:$E79)*K79</f>
        <v>0</v>
      </c>
      <c r="AG79" s="631">
        <f>SUM($D79:$E79)*L79</f>
        <v>0</v>
      </c>
      <c r="AH79" s="631">
        <f>SUM($D79:$E79)*M79</f>
        <v>0</v>
      </c>
      <c r="AI79" s="631">
        <f>SUM($D79:$E79)*N79</f>
        <v>0</v>
      </c>
      <c r="AJ79" s="631">
        <f>SUM($D79:$E79)*O79</f>
        <v>0</v>
      </c>
      <c r="AK79" s="56">
        <f>IF($G79="",0,IF(NOT(OR($G79="A - All employees not in groups B, C, J, H, M or Z",$G79="B - Married women and widows entitled to reduced NI",$G79="C - Over the State Pension age",$G79="H - Apprentice under 25",$G79="J – Deferment",$G79="M - Under 21",$G79="Z - Deferment (Under 21)",$G79="Please Enter The NI Cont. in ££££")),$G79,SUM(MAX(MIN(AC79-'Input Data'!$BG$3,'Input Data'!$BG$5-'Input Data'!$BG$3),0)*VLOOKUP($G79,'Input Data'!$BI$3:$BL$10,2,FALSE),MAX(MIN(AC79-'Input Data'!$BG$5,IF(OR($G79="M (under 21)",$G79="Z (under 21 - deferment)"),'Input Data'!$BG$6,IF($G79="H (Apprentice under 25)",'Input Data'!$BG$7,'Input Data'!$BG$8))-'Input Data'!$BG$5),0)*VLOOKUP($G79,'Input Data'!$BI$3:$BL$10,3,FALSE),MAX((AC79-IF(OR($G79="M (under 21)",$G79="Z (under 21 - deferment)"),'Input Data'!$BG$6,IF($G79="H (Apprentice under 25)",'Input Data'!$BG$7,'Input Data'!$BG$8))),0)*VLOOKUP($G79,'Input Data'!$BI$3:$BL$10,4,FALSE))))</f>
        <v>0</v>
      </c>
      <c r="AL79" s="56">
        <f>IF($G79="",0,IF(NOT(OR($G79="A - All employees not in groups B, C, J, H, M or Z",$G79="B - Married women and widows entitled to reduced NI",$G79="C - Over the State Pension age",$G79="H - Apprentice under 25",$G79="J – Deferment",$G79="M - Under 21",$G79="Z - Deferment (Under 21)",$G79="Please Enter The NI Cont. in ££££")),$G79,SUM(MAX(MIN(AD79-'Input Data'!$BG$3,'Input Data'!$BG$5-'Input Data'!$BG$3),0)*VLOOKUP($G79,'Input Data'!$BI$3:$BL$10,2,FALSE),MAX(MIN(AD79-'Input Data'!$BG$5,IF(OR($G79="M (under 21)",$G79="Z (under 21 - deferment)"),'Input Data'!$BG$6,IF($G79="H (Apprentice under 25)",'Input Data'!$BG$7,'Input Data'!$BG$8))-'Input Data'!$BG$5),0)*VLOOKUP($G79,'Input Data'!$BI$3:$BL$10,3,FALSE),MAX((AD79-IF(OR($G79="M (under 21)",$G79="Z (under 21 - deferment)"),'Input Data'!$BG$6,IF($G79="H (Apprentice under 25)",'Input Data'!$BG$7,'Input Data'!$BG$8))),0)*VLOOKUP($G79,'Input Data'!$BI$3:$BL$10,4,FALSE))))</f>
        <v>0</v>
      </c>
      <c r="AM79" s="56">
        <f>IF($G79="",0,IF(NOT(OR($G79="A - All employees not in groups B, C, J, H, M or Z",$G79="B - Married women and widows entitled to reduced NI",$G79="C - Over the State Pension age",$G79="H - Apprentice under 25",$G79="J – Deferment",$G79="M - Under 21",$G79="Z - Deferment (Under 21)",$G79="Please Enter The NI Cont. in ££££")),$G79,SUM(MAX(MIN(AE79-'Input Data'!$BG$3,'Input Data'!$BG$5-'Input Data'!$BG$3),0)*VLOOKUP($G79,'Input Data'!$BI$3:$BL$10,2,FALSE),MAX(MIN(AE79-'Input Data'!$BG$5,IF(OR($G79="M (under 21)",$G79="Z (under 21 - deferment)"),'Input Data'!$BG$6,IF($G79="H (Apprentice under 25)",'Input Data'!$BG$7,'Input Data'!$BG$8))-'Input Data'!$BG$5),0)*VLOOKUP($G79,'Input Data'!$BI$3:$BL$10,3,FALSE),MAX((AE79-IF(OR($G79="M (under 21)",$G79="Z (under 21 - deferment)"),'Input Data'!$BG$6,IF($G79="H (Apprentice under 25)",'Input Data'!$BG$7,'Input Data'!$BG$8))),0)*VLOOKUP($G79,'Input Data'!$BI$3:$BL$10,4,FALSE))))</f>
        <v>0</v>
      </c>
      <c r="AN79" s="56">
        <f>IF($G79="",0,IF(NOT(OR($G79="A - All employees not in groups B, C, J, H, M or Z",$G79="B - Married women and widows entitled to reduced NI",$G79="C - Over the State Pension age",$G79="H - Apprentice under 25",$G79="J – Deferment",$G79="M - Under 21",$G79="Z - Deferment (Under 21)",$G79="Please Enter The NI Cont. in ££££")),$G79,SUM(MAX(MIN(AF79-'Input Data'!$BG$3,'Input Data'!$BG$5-'Input Data'!$BG$3),0)*VLOOKUP($G79,'Input Data'!$BI$3:$BL$10,2,FALSE),MAX(MIN(AF79-'Input Data'!$BG$5,IF(OR($G79="M (under 21)",$G79="Z (under 21 - deferment)"),'Input Data'!$BG$6,IF($G79="H (Apprentice under 25)",'Input Data'!$BG$7,'Input Data'!$BG$8))-'Input Data'!$BG$5),0)*VLOOKUP($G79,'Input Data'!$BI$3:$BL$10,3,FALSE),MAX((AF79-IF(OR($G79="M (under 21)",$G79="Z (under 21 - deferment)"),'Input Data'!$BG$6,IF($G79="H (Apprentice under 25)",'Input Data'!$BG$7,'Input Data'!$BG$8))),0)*VLOOKUP($G79,'Input Data'!$BI$3:$BL$10,4,FALSE))))</f>
        <v>0</v>
      </c>
      <c r="AO79" s="56">
        <f>IF($G79="",0,IF(NOT(OR($G79="A - All employees not in groups B, C, J, H, M or Z",$G79="B - Married women and widows entitled to reduced NI",$G79="C - Over the State Pension age",$G79="H - Apprentice under 25",$G79="J – Deferment",$G79="M - Under 21",$G79="Z - Deferment (Under 21)",$G79="Please Enter The NI Cont. in ££££")),$G79,SUM(MAX(MIN(AG79-'Input Data'!$BG$3,'Input Data'!$BG$5-'Input Data'!$BG$3),0)*VLOOKUP($G79,'Input Data'!$BI$3:$BL$10,2,FALSE),MAX(MIN(AG79-'Input Data'!$BG$5,IF(OR($G79="M (under 21)",$G79="Z (under 21 - deferment)"),'Input Data'!$BG$6,IF($G79="H (Apprentice under 25)",'Input Data'!$BG$7,'Input Data'!$BG$8))-'Input Data'!$BG$5),0)*VLOOKUP($G79,'Input Data'!$BI$3:$BL$10,3,FALSE),MAX((AG79-IF(OR($G79="M (under 21)",$G79="Z (under 21 - deferment)"),'Input Data'!$BG$6,IF($G79="H (Apprentice under 25)",'Input Data'!$BG$7,'Input Data'!$BG$8))),0)*VLOOKUP($G79,'Input Data'!$BI$3:$BL$10,4,FALSE))))</f>
        <v>0</v>
      </c>
      <c r="AP79" s="56">
        <f>IF($G79="",0,IF(NOT(OR($G79="A - All employees not in groups B, C, J, H, M or Z",$G79="B - Married women and widows entitled to reduced NI",$G79="C - Over the State Pension age",$G79="H - Apprentice under 25",$G79="J – Deferment",$G79="M - Under 21",$G79="Z - Deferment (Under 21)",$G79="Please Enter The NI Cont. in ££££")),$G79,SUM(MAX(MIN(AH79-'Input Data'!$BG$3,'Input Data'!$BG$5-'Input Data'!$BG$3),0)*VLOOKUP($G79,'Input Data'!$BI$3:$BL$10,2,FALSE),MAX(MIN(AH79-'Input Data'!$BG$5,IF(OR($G79="M (under 21)",$G79="Z (under 21 - deferment)"),'Input Data'!$BG$6,IF($G79="H (Apprentice under 25)",'Input Data'!$BG$7,'Input Data'!$BG$8))-'Input Data'!$BG$5),0)*VLOOKUP($G79,'Input Data'!$BI$3:$BL$10,3,FALSE),MAX((AH79-IF(OR($G79="M (under 21)",$G79="Z (under 21 - deferment)"),'Input Data'!$BG$6,IF($G79="H (Apprentice under 25)",'Input Data'!$BG$7,'Input Data'!$BG$8))),0)*VLOOKUP($G79,'Input Data'!$BI$3:$BL$10,4,FALSE))))</f>
        <v>0</v>
      </c>
      <c r="AQ79" s="56">
        <f>IF($G79="",0,IF(NOT(OR($G79="A - All employees not in groups B, C, J, H, M or Z",$G79="B - Married women and widows entitled to reduced NI",$G79="C - Over the State Pension age",$G79="H - Apprentice under 25",$G79="J – Deferment",$G79="M - Under 21",$G79="Z - Deferment (Under 21)",$G79="Please Enter The NI Cont. in ££££")),$G79,SUM(MAX(MIN(AI79-'Input Data'!$BG$3,'Input Data'!$BG$5-'Input Data'!$BG$3),0)*VLOOKUP($G79,'Input Data'!$BI$3:$BL$10,2,FALSE),MAX(MIN(AI79-'Input Data'!$BG$5,IF(OR($G79="M (under 21)",$G79="Z (under 21 - deferment)"),'Input Data'!$BG$6,IF($G79="H (Apprentice under 25)",'Input Data'!$BG$7,'Input Data'!$BG$8))-'Input Data'!$BG$5),0)*VLOOKUP($G79,'Input Data'!$BI$3:$BL$10,3,FALSE),MAX((AI79-IF(OR($G79="M (under 21)",$G79="Z (under 21 - deferment)"),'Input Data'!$BG$6,IF($G79="H (Apprentice under 25)",'Input Data'!$BG$7,'Input Data'!$BG$8))),0)*VLOOKUP($G79,'Input Data'!$BI$3:$BL$10,4,FALSE))))</f>
        <v>0</v>
      </c>
      <c r="AR79" s="56">
        <f>IF($G79="",0,IF(NOT(OR($G79="A - All employees not in groups B, C, J, H, M or Z",$G79="B - Married women and widows entitled to reduced NI",$G79="C - Over the State Pension age",$G79="H - Apprentice under 25",$G79="J – Deferment",$G79="M - Under 21",$G79="Z - Deferment (Under 21)",$G79="Please Enter The NI Cont. in ££££")),$G79,SUM(MAX(MIN(AJ79-'Input Data'!$BG$3,'Input Data'!$BG$5-'Input Data'!$BG$3),0)*VLOOKUP($G79,'Input Data'!$BI$3:$BL$10,2,FALSE),MAX(MIN(AJ79-'Input Data'!$BG$5,IF(OR($G79="M (under 21)",$G79="Z (under 21 - deferment)"),'Input Data'!$BG$6,IF($G79="H (Apprentice under 25)",'Input Data'!$BG$7,'Input Data'!$BG$8))-'Input Data'!$BG$5),0)*VLOOKUP($G79,'Input Data'!$BI$3:$BL$10,3,FALSE),MAX((AJ79-IF(OR($G79="M (under 21)",$G79="Z (under 21 - deferment)"),'Input Data'!$BG$6,IF($G79="H (Apprentice under 25)",'Input Data'!$BG$7,'Input Data'!$BG$8))),0)*VLOOKUP($G79,'Input Data'!$BI$3:$BL$10,4,FALSE))))</f>
        <v>0</v>
      </c>
      <c r="AS79" s="56">
        <f>AC79*$F79</f>
        <v>0</v>
      </c>
      <c r="AT79" s="56">
        <f>AD79*$F79</f>
        <v>0</v>
      </c>
      <c r="AU79" s="56">
        <f>AE79*$F79</f>
        <v>0</v>
      </c>
      <c r="AV79" s="56">
        <f>AF79*$F79</f>
        <v>0</v>
      </c>
      <c r="AW79" s="56">
        <f>AG79*$F79</f>
        <v>0</v>
      </c>
      <c r="AX79" s="56">
        <f>AH79*$F79</f>
        <v>0</v>
      </c>
      <c r="AY79" s="56">
        <f>AI79*$F79</f>
        <v>0</v>
      </c>
      <c r="AZ79" s="56">
        <f>AJ79*$F79</f>
        <v>0</v>
      </c>
    </row>
    <row r="80" spans="2:52" ht="25.5">
      <c r="B80" s="60"/>
      <c r="C80" s="57" t="s">
        <v>114</v>
      </c>
      <c r="D80" s="58"/>
      <c r="E80" s="58"/>
      <c r="F80" s="535"/>
      <c r="G80" s="693" t="s">
        <v>1149</v>
      </c>
      <c r="H80" s="65"/>
      <c r="I80" s="65"/>
      <c r="J80" s="65"/>
      <c r="K80" s="65"/>
      <c r="L80" s="65"/>
      <c r="M80" s="65"/>
      <c r="N80" s="65"/>
      <c r="O80" s="65"/>
      <c r="P80" s="29"/>
      <c r="Q80" s="597"/>
      <c r="R80" s="61"/>
      <c r="T80" s="43">
        <f>SUM(AC80,AK80,AS80)</f>
        <v>0</v>
      </c>
      <c r="U80" s="43">
        <f>SUM(AD80,AL80,AT80)</f>
        <v>0</v>
      </c>
      <c r="V80" s="43">
        <f>SUM(AE80,AM80,AU80)</f>
        <v>0</v>
      </c>
      <c r="W80" s="43">
        <f>SUM(AF80,AN80,AV80)</f>
        <v>0</v>
      </c>
      <c r="X80" s="43">
        <f>SUM(AG80,AO80,AW80)</f>
        <v>0</v>
      </c>
      <c r="Y80" s="43">
        <f>SUM(AH80,AP80,AX80)</f>
        <v>0</v>
      </c>
      <c r="Z80" s="43">
        <f>SUM(AI80,AQ80,AY80)</f>
        <v>0</v>
      </c>
      <c r="AA80" s="43">
        <f>SUM(AJ80,AR80,AZ80)</f>
        <v>0</v>
      </c>
      <c r="AC80" s="631">
        <f>SUM($D80:$E80)*H80</f>
        <v>0</v>
      </c>
      <c r="AD80" s="631">
        <f>SUM($D80:$E80)*I80</f>
        <v>0</v>
      </c>
      <c r="AE80" s="631">
        <f>SUM($D80:$E80)*J80</f>
        <v>0</v>
      </c>
      <c r="AF80" s="631">
        <f>SUM($D80:$E80)*K80</f>
        <v>0</v>
      </c>
      <c r="AG80" s="631">
        <f>SUM($D80:$E80)*L80</f>
        <v>0</v>
      </c>
      <c r="AH80" s="631">
        <f>SUM($D80:$E80)*M80</f>
        <v>0</v>
      </c>
      <c r="AI80" s="631">
        <f>SUM($D80:$E80)*N80</f>
        <v>0</v>
      </c>
      <c r="AJ80" s="631">
        <f>SUM($D80:$E80)*O80</f>
        <v>0</v>
      </c>
      <c r="AK80" s="56">
        <f>IF($G80="",0,IF(NOT(OR($G80="A - All employees not in groups B, C, J, H, M or Z",$G80="B - Married women and widows entitled to reduced NI",$G80="C - Over the State Pension age",$G80="H - Apprentice under 25",$G80="J – Deferment",$G80="M - Under 21",$G80="Z - Deferment (Under 21)",$G80="Please Enter The NI Cont. in ££££")),$G80,SUM(MAX(MIN(AC80-'Input Data'!$BG$3,'Input Data'!$BG$5-'Input Data'!$BG$3),0)*VLOOKUP($G80,'Input Data'!$BI$3:$BL$10,2,FALSE),MAX(MIN(AC80-'Input Data'!$BG$5,IF(OR($G80="M (under 21)",$G80="Z (under 21 - deferment)"),'Input Data'!$BG$6,IF($G80="H (Apprentice under 25)",'Input Data'!$BG$7,'Input Data'!$BG$8))-'Input Data'!$BG$5),0)*VLOOKUP($G80,'Input Data'!$BI$3:$BL$10,3,FALSE),MAX((AC80-IF(OR($G80="M (under 21)",$G80="Z (under 21 - deferment)"),'Input Data'!$BG$6,IF($G80="H (Apprentice under 25)",'Input Data'!$BG$7,'Input Data'!$BG$8))),0)*VLOOKUP($G80,'Input Data'!$BI$3:$BL$10,4,FALSE))))</f>
        <v>0</v>
      </c>
      <c r="AL80" s="56">
        <f>IF($G80="",0,IF(NOT(OR($G80="A - All employees not in groups B, C, J, H, M or Z",$G80="B - Married women and widows entitled to reduced NI",$G80="C - Over the State Pension age",$G80="H - Apprentice under 25",$G80="J – Deferment",$G80="M - Under 21",$G80="Z - Deferment (Under 21)",$G80="Please Enter The NI Cont. in ££££")),$G80,SUM(MAX(MIN(AD80-'Input Data'!$BG$3,'Input Data'!$BG$5-'Input Data'!$BG$3),0)*VLOOKUP($G80,'Input Data'!$BI$3:$BL$10,2,FALSE),MAX(MIN(AD80-'Input Data'!$BG$5,IF(OR($G80="M (under 21)",$G80="Z (under 21 - deferment)"),'Input Data'!$BG$6,IF($G80="H (Apprentice under 25)",'Input Data'!$BG$7,'Input Data'!$BG$8))-'Input Data'!$BG$5),0)*VLOOKUP($G80,'Input Data'!$BI$3:$BL$10,3,FALSE),MAX((AD80-IF(OR($G80="M (under 21)",$G80="Z (under 21 - deferment)"),'Input Data'!$BG$6,IF($G80="H (Apprentice under 25)",'Input Data'!$BG$7,'Input Data'!$BG$8))),0)*VLOOKUP($G80,'Input Data'!$BI$3:$BL$10,4,FALSE))))</f>
        <v>0</v>
      </c>
      <c r="AM80" s="56">
        <f>IF($G80="",0,IF(NOT(OR($G80="A - All employees not in groups B, C, J, H, M or Z",$G80="B - Married women and widows entitled to reduced NI",$G80="C - Over the State Pension age",$G80="H - Apprentice under 25",$G80="J – Deferment",$G80="M - Under 21",$G80="Z - Deferment (Under 21)",$G80="Please Enter The NI Cont. in ££££")),$G80,SUM(MAX(MIN(AE80-'Input Data'!$BG$3,'Input Data'!$BG$5-'Input Data'!$BG$3),0)*VLOOKUP($G80,'Input Data'!$BI$3:$BL$10,2,FALSE),MAX(MIN(AE80-'Input Data'!$BG$5,IF(OR($G80="M (under 21)",$G80="Z (under 21 - deferment)"),'Input Data'!$BG$6,IF($G80="H (Apprentice under 25)",'Input Data'!$BG$7,'Input Data'!$BG$8))-'Input Data'!$BG$5),0)*VLOOKUP($G80,'Input Data'!$BI$3:$BL$10,3,FALSE),MAX((AE80-IF(OR($G80="M (under 21)",$G80="Z (under 21 - deferment)"),'Input Data'!$BG$6,IF($G80="H (Apprentice under 25)",'Input Data'!$BG$7,'Input Data'!$BG$8))),0)*VLOOKUP($G80,'Input Data'!$BI$3:$BL$10,4,FALSE))))</f>
        <v>0</v>
      </c>
      <c r="AN80" s="56">
        <f>IF($G80="",0,IF(NOT(OR($G80="A - All employees not in groups B, C, J, H, M or Z",$G80="B - Married women and widows entitled to reduced NI",$G80="C - Over the State Pension age",$G80="H - Apprentice under 25",$G80="J – Deferment",$G80="M - Under 21",$G80="Z - Deferment (Under 21)",$G80="Please Enter The NI Cont. in ££££")),$G80,SUM(MAX(MIN(AF80-'Input Data'!$BG$3,'Input Data'!$BG$5-'Input Data'!$BG$3),0)*VLOOKUP($G80,'Input Data'!$BI$3:$BL$10,2,FALSE),MAX(MIN(AF80-'Input Data'!$BG$5,IF(OR($G80="M (under 21)",$G80="Z (under 21 - deferment)"),'Input Data'!$BG$6,IF($G80="H (Apprentice under 25)",'Input Data'!$BG$7,'Input Data'!$BG$8))-'Input Data'!$BG$5),0)*VLOOKUP($G80,'Input Data'!$BI$3:$BL$10,3,FALSE),MAX((AF80-IF(OR($G80="M (under 21)",$G80="Z (under 21 - deferment)"),'Input Data'!$BG$6,IF($G80="H (Apprentice under 25)",'Input Data'!$BG$7,'Input Data'!$BG$8))),0)*VLOOKUP($G80,'Input Data'!$BI$3:$BL$10,4,FALSE))))</f>
        <v>0</v>
      </c>
      <c r="AO80" s="56">
        <f>IF($G80="",0,IF(NOT(OR($G80="A - All employees not in groups B, C, J, H, M or Z",$G80="B - Married women and widows entitled to reduced NI",$G80="C - Over the State Pension age",$G80="H - Apprentice under 25",$G80="J – Deferment",$G80="M - Under 21",$G80="Z - Deferment (Under 21)",$G80="Please Enter The NI Cont. in ££££")),$G80,SUM(MAX(MIN(AG80-'Input Data'!$BG$3,'Input Data'!$BG$5-'Input Data'!$BG$3),0)*VLOOKUP($G80,'Input Data'!$BI$3:$BL$10,2,FALSE),MAX(MIN(AG80-'Input Data'!$BG$5,IF(OR($G80="M (under 21)",$G80="Z (under 21 - deferment)"),'Input Data'!$BG$6,IF($G80="H (Apprentice under 25)",'Input Data'!$BG$7,'Input Data'!$BG$8))-'Input Data'!$BG$5),0)*VLOOKUP($G80,'Input Data'!$BI$3:$BL$10,3,FALSE),MAX((AG80-IF(OR($G80="M (under 21)",$G80="Z (under 21 - deferment)"),'Input Data'!$BG$6,IF($G80="H (Apprentice under 25)",'Input Data'!$BG$7,'Input Data'!$BG$8))),0)*VLOOKUP($G80,'Input Data'!$BI$3:$BL$10,4,FALSE))))</f>
        <v>0</v>
      </c>
      <c r="AP80" s="56">
        <f>IF($G80="",0,IF(NOT(OR($G80="A - All employees not in groups B, C, J, H, M or Z",$G80="B - Married women and widows entitled to reduced NI",$G80="C - Over the State Pension age",$G80="H - Apprentice under 25",$G80="J – Deferment",$G80="M - Under 21",$G80="Z - Deferment (Under 21)",$G80="Please Enter The NI Cont. in ££££")),$G80,SUM(MAX(MIN(AH80-'Input Data'!$BG$3,'Input Data'!$BG$5-'Input Data'!$BG$3),0)*VLOOKUP($G80,'Input Data'!$BI$3:$BL$10,2,FALSE),MAX(MIN(AH80-'Input Data'!$BG$5,IF(OR($G80="M (under 21)",$G80="Z (under 21 - deferment)"),'Input Data'!$BG$6,IF($G80="H (Apprentice under 25)",'Input Data'!$BG$7,'Input Data'!$BG$8))-'Input Data'!$BG$5),0)*VLOOKUP($G80,'Input Data'!$BI$3:$BL$10,3,FALSE),MAX((AH80-IF(OR($G80="M (under 21)",$G80="Z (under 21 - deferment)"),'Input Data'!$BG$6,IF($G80="H (Apprentice under 25)",'Input Data'!$BG$7,'Input Data'!$BG$8))),0)*VLOOKUP($G80,'Input Data'!$BI$3:$BL$10,4,FALSE))))</f>
        <v>0</v>
      </c>
      <c r="AQ80" s="56">
        <f>IF($G80="",0,IF(NOT(OR($G80="A - All employees not in groups B, C, J, H, M or Z",$G80="B - Married women and widows entitled to reduced NI",$G80="C - Over the State Pension age",$G80="H - Apprentice under 25",$G80="J – Deferment",$G80="M - Under 21",$G80="Z - Deferment (Under 21)",$G80="Please Enter The NI Cont. in ££££")),$G80,SUM(MAX(MIN(AI80-'Input Data'!$BG$3,'Input Data'!$BG$5-'Input Data'!$BG$3),0)*VLOOKUP($G80,'Input Data'!$BI$3:$BL$10,2,FALSE),MAX(MIN(AI80-'Input Data'!$BG$5,IF(OR($G80="M (under 21)",$G80="Z (under 21 - deferment)"),'Input Data'!$BG$6,IF($G80="H (Apprentice under 25)",'Input Data'!$BG$7,'Input Data'!$BG$8))-'Input Data'!$BG$5),0)*VLOOKUP($G80,'Input Data'!$BI$3:$BL$10,3,FALSE),MAX((AI80-IF(OR($G80="M (under 21)",$G80="Z (under 21 - deferment)"),'Input Data'!$BG$6,IF($G80="H (Apprentice under 25)",'Input Data'!$BG$7,'Input Data'!$BG$8))),0)*VLOOKUP($G80,'Input Data'!$BI$3:$BL$10,4,FALSE))))</f>
        <v>0</v>
      </c>
      <c r="AR80" s="56">
        <f>IF($G80="",0,IF(NOT(OR($G80="A - All employees not in groups B, C, J, H, M or Z",$G80="B - Married women and widows entitled to reduced NI",$G80="C - Over the State Pension age",$G80="H - Apprentice under 25",$G80="J – Deferment",$G80="M - Under 21",$G80="Z - Deferment (Under 21)",$G80="Please Enter The NI Cont. in ££££")),$G80,SUM(MAX(MIN(AJ80-'Input Data'!$BG$3,'Input Data'!$BG$5-'Input Data'!$BG$3),0)*VLOOKUP($G80,'Input Data'!$BI$3:$BL$10,2,FALSE),MAX(MIN(AJ80-'Input Data'!$BG$5,IF(OR($G80="M (under 21)",$G80="Z (under 21 - deferment)"),'Input Data'!$BG$6,IF($G80="H (Apprentice under 25)",'Input Data'!$BG$7,'Input Data'!$BG$8))-'Input Data'!$BG$5),0)*VLOOKUP($G80,'Input Data'!$BI$3:$BL$10,3,FALSE),MAX((AJ80-IF(OR($G80="M (under 21)",$G80="Z (under 21 - deferment)"),'Input Data'!$BG$6,IF($G80="H (Apprentice under 25)",'Input Data'!$BG$7,'Input Data'!$BG$8))),0)*VLOOKUP($G80,'Input Data'!$BI$3:$BL$10,4,FALSE))))</f>
        <v>0</v>
      </c>
      <c r="AS80" s="56">
        <f>AC80*$F80</f>
        <v>0</v>
      </c>
      <c r="AT80" s="56">
        <f>AD80*$F80</f>
        <v>0</v>
      </c>
      <c r="AU80" s="56">
        <f>AE80*$F80</f>
        <v>0</v>
      </c>
      <c r="AV80" s="56">
        <f>AF80*$F80</f>
        <v>0</v>
      </c>
      <c r="AW80" s="56">
        <f>AG80*$F80</f>
        <v>0</v>
      </c>
      <c r="AX80" s="56">
        <f>AH80*$F80</f>
        <v>0</v>
      </c>
      <c r="AY80" s="56">
        <f>AI80*$F80</f>
        <v>0</v>
      </c>
      <c r="AZ80" s="56">
        <f>AJ80*$F80</f>
        <v>0</v>
      </c>
    </row>
    <row r="81" spans="2:52" ht="25.5">
      <c r="B81" s="60"/>
      <c r="C81" s="57" t="s">
        <v>115</v>
      </c>
      <c r="D81" s="58"/>
      <c r="E81" s="58"/>
      <c r="F81" s="535"/>
      <c r="G81" s="693" t="s">
        <v>1149</v>
      </c>
      <c r="H81" s="65"/>
      <c r="I81" s="65"/>
      <c r="J81" s="65"/>
      <c r="K81" s="65"/>
      <c r="L81" s="65"/>
      <c r="M81" s="65"/>
      <c r="N81" s="65"/>
      <c r="O81" s="65"/>
      <c r="P81" s="29"/>
      <c r="Q81" s="597"/>
      <c r="R81" s="61"/>
      <c r="T81" s="43">
        <f>SUM(AC81,AK81,AS81)</f>
        <v>0</v>
      </c>
      <c r="U81" s="43">
        <f>SUM(AD81,AL81,AT81)</f>
        <v>0</v>
      </c>
      <c r="V81" s="43">
        <f>SUM(AE81,AM81,AU81)</f>
        <v>0</v>
      </c>
      <c r="W81" s="43">
        <f>SUM(AF81,AN81,AV81)</f>
        <v>0</v>
      </c>
      <c r="X81" s="43">
        <f>SUM(AG81,AO81,AW81)</f>
        <v>0</v>
      </c>
      <c r="Y81" s="43">
        <f>SUM(AH81,AP81,AX81)</f>
        <v>0</v>
      </c>
      <c r="Z81" s="43">
        <f>SUM(AI81,AQ81,AY81)</f>
        <v>0</v>
      </c>
      <c r="AA81" s="43">
        <f>SUM(AJ81,AR81,AZ81)</f>
        <v>0</v>
      </c>
      <c r="AC81" s="631">
        <f>SUM($D81:$E81)*H81</f>
        <v>0</v>
      </c>
      <c r="AD81" s="631">
        <f>SUM($D81:$E81)*I81</f>
        <v>0</v>
      </c>
      <c r="AE81" s="631">
        <f>SUM($D81:$E81)*J81</f>
        <v>0</v>
      </c>
      <c r="AF81" s="631">
        <f>SUM($D81:$E81)*K81</f>
        <v>0</v>
      </c>
      <c r="AG81" s="631">
        <f>SUM($D81:$E81)*L81</f>
        <v>0</v>
      </c>
      <c r="AH81" s="631">
        <f>SUM($D81:$E81)*M81</f>
        <v>0</v>
      </c>
      <c r="AI81" s="631">
        <f>SUM($D81:$E81)*N81</f>
        <v>0</v>
      </c>
      <c r="AJ81" s="631">
        <f>SUM($D81:$E81)*O81</f>
        <v>0</v>
      </c>
      <c r="AK81" s="56">
        <f>IF($G81="",0,IF(NOT(OR($G81="A - All employees not in groups B, C, J, H, M or Z",$G81="B - Married women and widows entitled to reduced NI",$G81="C - Over the State Pension age",$G81="H - Apprentice under 25",$G81="J – Deferment",$G81="M - Under 21",$G81="Z - Deferment (Under 21)",$G81="Please Enter The NI Cont. in ££££")),$G81,SUM(MAX(MIN(AC81-'Input Data'!$BG$3,'Input Data'!$BG$5-'Input Data'!$BG$3),0)*VLOOKUP($G81,'Input Data'!$BI$3:$BL$10,2,FALSE),MAX(MIN(AC81-'Input Data'!$BG$5,IF(OR($G81="M (under 21)",$G81="Z (under 21 - deferment)"),'Input Data'!$BG$6,IF($G81="H (Apprentice under 25)",'Input Data'!$BG$7,'Input Data'!$BG$8))-'Input Data'!$BG$5),0)*VLOOKUP($G81,'Input Data'!$BI$3:$BL$10,3,FALSE),MAX((AC81-IF(OR($G81="M (under 21)",$G81="Z (under 21 - deferment)"),'Input Data'!$BG$6,IF($G81="H (Apprentice under 25)",'Input Data'!$BG$7,'Input Data'!$BG$8))),0)*VLOOKUP($G81,'Input Data'!$BI$3:$BL$10,4,FALSE))))</f>
        <v>0</v>
      </c>
      <c r="AL81" s="56">
        <f>IF($G81="",0,IF(NOT(OR($G81="A - All employees not in groups B, C, J, H, M or Z",$G81="B - Married women and widows entitled to reduced NI",$G81="C - Over the State Pension age",$G81="H - Apprentice under 25",$G81="J – Deferment",$G81="M - Under 21",$G81="Z - Deferment (Under 21)",$G81="Please Enter The NI Cont. in ££££")),$G81,SUM(MAX(MIN(AD81-'Input Data'!$BG$3,'Input Data'!$BG$5-'Input Data'!$BG$3),0)*VLOOKUP($G81,'Input Data'!$BI$3:$BL$10,2,FALSE),MAX(MIN(AD81-'Input Data'!$BG$5,IF(OR($G81="M (under 21)",$G81="Z (under 21 - deferment)"),'Input Data'!$BG$6,IF($G81="H (Apprentice under 25)",'Input Data'!$BG$7,'Input Data'!$BG$8))-'Input Data'!$BG$5),0)*VLOOKUP($G81,'Input Data'!$BI$3:$BL$10,3,FALSE),MAX((AD81-IF(OR($G81="M (under 21)",$G81="Z (under 21 - deferment)"),'Input Data'!$BG$6,IF($G81="H (Apprentice under 25)",'Input Data'!$BG$7,'Input Data'!$BG$8))),0)*VLOOKUP($G81,'Input Data'!$BI$3:$BL$10,4,FALSE))))</f>
        <v>0</v>
      </c>
      <c r="AM81" s="56">
        <f>IF($G81="",0,IF(NOT(OR($G81="A - All employees not in groups B, C, J, H, M or Z",$G81="B - Married women and widows entitled to reduced NI",$G81="C - Over the State Pension age",$G81="H - Apprentice under 25",$G81="J – Deferment",$G81="M - Under 21",$G81="Z - Deferment (Under 21)",$G81="Please Enter The NI Cont. in ££££")),$G81,SUM(MAX(MIN(AE81-'Input Data'!$BG$3,'Input Data'!$BG$5-'Input Data'!$BG$3),0)*VLOOKUP($G81,'Input Data'!$BI$3:$BL$10,2,FALSE),MAX(MIN(AE81-'Input Data'!$BG$5,IF(OR($G81="M (under 21)",$G81="Z (under 21 - deferment)"),'Input Data'!$BG$6,IF($G81="H (Apprentice under 25)",'Input Data'!$BG$7,'Input Data'!$BG$8))-'Input Data'!$BG$5),0)*VLOOKUP($G81,'Input Data'!$BI$3:$BL$10,3,FALSE),MAX((AE81-IF(OR($G81="M (under 21)",$G81="Z (under 21 - deferment)"),'Input Data'!$BG$6,IF($G81="H (Apprentice under 25)",'Input Data'!$BG$7,'Input Data'!$BG$8))),0)*VLOOKUP($G81,'Input Data'!$BI$3:$BL$10,4,FALSE))))</f>
        <v>0</v>
      </c>
      <c r="AN81" s="56">
        <f>IF($G81="",0,IF(NOT(OR($G81="A - All employees not in groups B, C, J, H, M or Z",$G81="B - Married women and widows entitled to reduced NI",$G81="C - Over the State Pension age",$G81="H - Apprentice under 25",$G81="J – Deferment",$G81="M - Under 21",$G81="Z - Deferment (Under 21)",$G81="Please Enter The NI Cont. in ££££")),$G81,SUM(MAX(MIN(AF81-'Input Data'!$BG$3,'Input Data'!$BG$5-'Input Data'!$BG$3),0)*VLOOKUP($G81,'Input Data'!$BI$3:$BL$10,2,FALSE),MAX(MIN(AF81-'Input Data'!$BG$5,IF(OR($G81="M (under 21)",$G81="Z (under 21 - deferment)"),'Input Data'!$BG$6,IF($G81="H (Apprentice under 25)",'Input Data'!$BG$7,'Input Data'!$BG$8))-'Input Data'!$BG$5),0)*VLOOKUP($G81,'Input Data'!$BI$3:$BL$10,3,FALSE),MAX((AF81-IF(OR($G81="M (under 21)",$G81="Z (under 21 - deferment)"),'Input Data'!$BG$6,IF($G81="H (Apprentice under 25)",'Input Data'!$BG$7,'Input Data'!$BG$8))),0)*VLOOKUP($G81,'Input Data'!$BI$3:$BL$10,4,FALSE))))</f>
        <v>0</v>
      </c>
      <c r="AO81" s="56">
        <f>IF($G81="",0,IF(NOT(OR($G81="A - All employees not in groups B, C, J, H, M or Z",$G81="B - Married women and widows entitled to reduced NI",$G81="C - Over the State Pension age",$G81="H - Apprentice under 25",$G81="J – Deferment",$G81="M - Under 21",$G81="Z - Deferment (Under 21)",$G81="Please Enter The NI Cont. in ££££")),$G81,SUM(MAX(MIN(AG81-'Input Data'!$BG$3,'Input Data'!$BG$5-'Input Data'!$BG$3),0)*VLOOKUP($G81,'Input Data'!$BI$3:$BL$10,2,FALSE),MAX(MIN(AG81-'Input Data'!$BG$5,IF(OR($G81="M (under 21)",$G81="Z (under 21 - deferment)"),'Input Data'!$BG$6,IF($G81="H (Apprentice under 25)",'Input Data'!$BG$7,'Input Data'!$BG$8))-'Input Data'!$BG$5),0)*VLOOKUP($G81,'Input Data'!$BI$3:$BL$10,3,FALSE),MAX((AG81-IF(OR($G81="M (under 21)",$G81="Z (under 21 - deferment)"),'Input Data'!$BG$6,IF($G81="H (Apprentice under 25)",'Input Data'!$BG$7,'Input Data'!$BG$8))),0)*VLOOKUP($G81,'Input Data'!$BI$3:$BL$10,4,FALSE))))</f>
        <v>0</v>
      </c>
      <c r="AP81" s="56">
        <f>IF($G81="",0,IF(NOT(OR($G81="A - All employees not in groups B, C, J, H, M or Z",$G81="B - Married women and widows entitled to reduced NI",$G81="C - Over the State Pension age",$G81="H - Apprentice under 25",$G81="J – Deferment",$G81="M - Under 21",$G81="Z - Deferment (Under 21)",$G81="Please Enter The NI Cont. in ££££")),$G81,SUM(MAX(MIN(AH81-'Input Data'!$BG$3,'Input Data'!$BG$5-'Input Data'!$BG$3),0)*VLOOKUP($G81,'Input Data'!$BI$3:$BL$10,2,FALSE),MAX(MIN(AH81-'Input Data'!$BG$5,IF(OR($G81="M (under 21)",$G81="Z (under 21 - deferment)"),'Input Data'!$BG$6,IF($G81="H (Apprentice under 25)",'Input Data'!$BG$7,'Input Data'!$BG$8))-'Input Data'!$BG$5),0)*VLOOKUP($G81,'Input Data'!$BI$3:$BL$10,3,FALSE),MAX((AH81-IF(OR($G81="M (under 21)",$G81="Z (under 21 - deferment)"),'Input Data'!$BG$6,IF($G81="H (Apprentice under 25)",'Input Data'!$BG$7,'Input Data'!$BG$8))),0)*VLOOKUP($G81,'Input Data'!$BI$3:$BL$10,4,FALSE))))</f>
        <v>0</v>
      </c>
      <c r="AQ81" s="56">
        <f>IF($G81="",0,IF(NOT(OR($G81="A - All employees not in groups B, C, J, H, M or Z",$G81="B - Married women and widows entitled to reduced NI",$G81="C - Over the State Pension age",$G81="H - Apprentice under 25",$G81="J – Deferment",$G81="M - Under 21",$G81="Z - Deferment (Under 21)",$G81="Please Enter The NI Cont. in ££££")),$G81,SUM(MAX(MIN(AI81-'Input Data'!$BG$3,'Input Data'!$BG$5-'Input Data'!$BG$3),0)*VLOOKUP($G81,'Input Data'!$BI$3:$BL$10,2,FALSE),MAX(MIN(AI81-'Input Data'!$BG$5,IF(OR($G81="M (under 21)",$G81="Z (under 21 - deferment)"),'Input Data'!$BG$6,IF($G81="H (Apprentice under 25)",'Input Data'!$BG$7,'Input Data'!$BG$8))-'Input Data'!$BG$5),0)*VLOOKUP($G81,'Input Data'!$BI$3:$BL$10,3,FALSE),MAX((AI81-IF(OR($G81="M (under 21)",$G81="Z (under 21 - deferment)"),'Input Data'!$BG$6,IF($G81="H (Apprentice under 25)",'Input Data'!$BG$7,'Input Data'!$BG$8))),0)*VLOOKUP($G81,'Input Data'!$BI$3:$BL$10,4,FALSE))))</f>
        <v>0</v>
      </c>
      <c r="AR81" s="56">
        <f>IF($G81="",0,IF(NOT(OR($G81="A - All employees not in groups B, C, J, H, M or Z",$G81="B - Married women and widows entitled to reduced NI",$G81="C - Over the State Pension age",$G81="H - Apprentice under 25",$G81="J – Deferment",$G81="M - Under 21",$G81="Z - Deferment (Under 21)",$G81="Please Enter The NI Cont. in ££££")),$G81,SUM(MAX(MIN(AJ81-'Input Data'!$BG$3,'Input Data'!$BG$5-'Input Data'!$BG$3),0)*VLOOKUP($G81,'Input Data'!$BI$3:$BL$10,2,FALSE),MAX(MIN(AJ81-'Input Data'!$BG$5,IF(OR($G81="M (under 21)",$G81="Z (under 21 - deferment)"),'Input Data'!$BG$6,IF($G81="H (Apprentice under 25)",'Input Data'!$BG$7,'Input Data'!$BG$8))-'Input Data'!$BG$5),0)*VLOOKUP($G81,'Input Data'!$BI$3:$BL$10,3,FALSE),MAX((AJ81-IF(OR($G81="M (under 21)",$G81="Z (under 21 - deferment)"),'Input Data'!$BG$6,IF($G81="H (Apprentice under 25)",'Input Data'!$BG$7,'Input Data'!$BG$8))),0)*VLOOKUP($G81,'Input Data'!$BI$3:$BL$10,4,FALSE))))</f>
        <v>0</v>
      </c>
      <c r="AS81" s="56">
        <f>AC81*$F81</f>
        <v>0</v>
      </c>
      <c r="AT81" s="56">
        <f>AD81*$F81</f>
        <v>0</v>
      </c>
      <c r="AU81" s="56">
        <f>AE81*$F81</f>
        <v>0</v>
      </c>
      <c r="AV81" s="56">
        <f>AF81*$F81</f>
        <v>0</v>
      </c>
      <c r="AW81" s="56">
        <f>AG81*$F81</f>
        <v>0</v>
      </c>
      <c r="AX81" s="56">
        <f>AH81*$F81</f>
        <v>0</v>
      </c>
      <c r="AY81" s="56">
        <f>AI81*$F81</f>
        <v>0</v>
      </c>
      <c r="AZ81" s="56">
        <f>AJ81*$F81</f>
        <v>0</v>
      </c>
    </row>
    <row r="82" spans="2:52" ht="25.5">
      <c r="B82" s="60"/>
      <c r="C82" s="57" t="s">
        <v>116</v>
      </c>
      <c r="D82" s="58"/>
      <c r="E82" s="58"/>
      <c r="F82" s="535"/>
      <c r="G82" s="693" t="s">
        <v>1149</v>
      </c>
      <c r="H82" s="65"/>
      <c r="I82" s="65"/>
      <c r="J82" s="65"/>
      <c r="K82" s="65"/>
      <c r="L82" s="65"/>
      <c r="M82" s="65"/>
      <c r="N82" s="65"/>
      <c r="O82" s="65"/>
      <c r="P82" s="29"/>
      <c r="Q82" s="597"/>
      <c r="R82" s="61"/>
      <c r="T82" s="43">
        <f>SUM(AC82,AK82,AS82)</f>
        <v>0</v>
      </c>
      <c r="U82" s="43">
        <f>SUM(AD82,AL82,AT82)</f>
        <v>0</v>
      </c>
      <c r="V82" s="43">
        <f>SUM(AE82,AM82,AU82)</f>
        <v>0</v>
      </c>
      <c r="W82" s="43">
        <f>SUM(AF82,AN82,AV82)</f>
        <v>0</v>
      </c>
      <c r="X82" s="43">
        <f>SUM(AG82,AO82,AW82)</f>
        <v>0</v>
      </c>
      <c r="Y82" s="43">
        <f>SUM(AH82,AP82,AX82)</f>
        <v>0</v>
      </c>
      <c r="Z82" s="43">
        <f>SUM(AI82,AQ82,AY82)</f>
        <v>0</v>
      </c>
      <c r="AA82" s="43">
        <f>SUM(AJ82,AR82,AZ82)</f>
        <v>0</v>
      </c>
      <c r="AC82" s="631">
        <f>SUM($D82:$E82)*H82</f>
        <v>0</v>
      </c>
      <c r="AD82" s="631">
        <f>SUM($D82:$E82)*I82</f>
        <v>0</v>
      </c>
      <c r="AE82" s="631">
        <f>SUM($D82:$E82)*J82</f>
        <v>0</v>
      </c>
      <c r="AF82" s="631">
        <f>SUM($D82:$E82)*K82</f>
        <v>0</v>
      </c>
      <c r="AG82" s="631">
        <f>SUM($D82:$E82)*L82</f>
        <v>0</v>
      </c>
      <c r="AH82" s="631">
        <f>SUM($D82:$E82)*M82</f>
        <v>0</v>
      </c>
      <c r="AI82" s="631">
        <f>SUM($D82:$E82)*N82</f>
        <v>0</v>
      </c>
      <c r="AJ82" s="631">
        <f>SUM($D82:$E82)*O82</f>
        <v>0</v>
      </c>
      <c r="AK82" s="56">
        <f>IF($G82="",0,IF(NOT(OR($G82="A - All employees not in groups B, C, J, H, M or Z",$G82="B - Married women and widows entitled to reduced NI",$G82="C - Over the State Pension age",$G82="H - Apprentice under 25",$G82="J – Deferment",$G82="M - Under 21",$G82="Z - Deferment (Under 21)",$G82="Please Enter The NI Cont. in ££££")),$G82,SUM(MAX(MIN(AC82-'Input Data'!$BG$3,'Input Data'!$BG$5-'Input Data'!$BG$3),0)*VLOOKUP($G82,'Input Data'!$BI$3:$BL$10,2,FALSE),MAX(MIN(AC82-'Input Data'!$BG$5,IF(OR($G82="M (under 21)",$G82="Z (under 21 - deferment)"),'Input Data'!$BG$6,IF($G82="H (Apprentice under 25)",'Input Data'!$BG$7,'Input Data'!$BG$8))-'Input Data'!$BG$5),0)*VLOOKUP($G82,'Input Data'!$BI$3:$BL$10,3,FALSE),MAX((AC82-IF(OR($G82="M (under 21)",$G82="Z (under 21 - deferment)"),'Input Data'!$BG$6,IF($G82="H (Apprentice under 25)",'Input Data'!$BG$7,'Input Data'!$BG$8))),0)*VLOOKUP($G82,'Input Data'!$BI$3:$BL$10,4,FALSE))))</f>
        <v>0</v>
      </c>
      <c r="AL82" s="56">
        <f>IF($G82="",0,IF(NOT(OR($G82="A - All employees not in groups B, C, J, H, M or Z",$G82="B - Married women and widows entitled to reduced NI",$G82="C - Over the State Pension age",$G82="H - Apprentice under 25",$G82="J – Deferment",$G82="M - Under 21",$G82="Z - Deferment (Under 21)",$G82="Please Enter The NI Cont. in ££££")),$G82,SUM(MAX(MIN(AD82-'Input Data'!$BG$3,'Input Data'!$BG$5-'Input Data'!$BG$3),0)*VLOOKUP($G82,'Input Data'!$BI$3:$BL$10,2,FALSE),MAX(MIN(AD82-'Input Data'!$BG$5,IF(OR($G82="M (under 21)",$G82="Z (under 21 - deferment)"),'Input Data'!$BG$6,IF($G82="H (Apprentice under 25)",'Input Data'!$BG$7,'Input Data'!$BG$8))-'Input Data'!$BG$5),0)*VLOOKUP($G82,'Input Data'!$BI$3:$BL$10,3,FALSE),MAX((AD82-IF(OR($G82="M (under 21)",$G82="Z (under 21 - deferment)"),'Input Data'!$BG$6,IF($G82="H (Apprentice under 25)",'Input Data'!$BG$7,'Input Data'!$BG$8))),0)*VLOOKUP($G82,'Input Data'!$BI$3:$BL$10,4,FALSE))))</f>
        <v>0</v>
      </c>
      <c r="AM82" s="56">
        <f>IF($G82="",0,IF(NOT(OR($G82="A - All employees not in groups B, C, J, H, M or Z",$G82="B - Married women and widows entitled to reduced NI",$G82="C - Over the State Pension age",$G82="H - Apprentice under 25",$G82="J – Deferment",$G82="M - Under 21",$G82="Z - Deferment (Under 21)",$G82="Please Enter The NI Cont. in ££££")),$G82,SUM(MAX(MIN(AE82-'Input Data'!$BG$3,'Input Data'!$BG$5-'Input Data'!$BG$3),0)*VLOOKUP($G82,'Input Data'!$BI$3:$BL$10,2,FALSE),MAX(MIN(AE82-'Input Data'!$BG$5,IF(OR($G82="M (under 21)",$G82="Z (under 21 - deferment)"),'Input Data'!$BG$6,IF($G82="H (Apprentice under 25)",'Input Data'!$BG$7,'Input Data'!$BG$8))-'Input Data'!$BG$5),0)*VLOOKUP($G82,'Input Data'!$BI$3:$BL$10,3,FALSE),MAX((AE82-IF(OR($G82="M (under 21)",$G82="Z (under 21 - deferment)"),'Input Data'!$BG$6,IF($G82="H (Apprentice under 25)",'Input Data'!$BG$7,'Input Data'!$BG$8))),0)*VLOOKUP($G82,'Input Data'!$BI$3:$BL$10,4,FALSE))))</f>
        <v>0</v>
      </c>
      <c r="AN82" s="56">
        <f>IF($G82="",0,IF(NOT(OR($G82="A - All employees not in groups B, C, J, H, M or Z",$G82="B - Married women and widows entitled to reduced NI",$G82="C - Over the State Pension age",$G82="H - Apprentice under 25",$G82="J – Deferment",$G82="M - Under 21",$G82="Z - Deferment (Under 21)",$G82="Please Enter The NI Cont. in ££££")),$G82,SUM(MAX(MIN(AF82-'Input Data'!$BG$3,'Input Data'!$BG$5-'Input Data'!$BG$3),0)*VLOOKUP($G82,'Input Data'!$BI$3:$BL$10,2,FALSE),MAX(MIN(AF82-'Input Data'!$BG$5,IF(OR($G82="M (under 21)",$G82="Z (under 21 - deferment)"),'Input Data'!$BG$6,IF($G82="H (Apprentice under 25)",'Input Data'!$BG$7,'Input Data'!$BG$8))-'Input Data'!$BG$5),0)*VLOOKUP($G82,'Input Data'!$BI$3:$BL$10,3,FALSE),MAX((AF82-IF(OR($G82="M (under 21)",$G82="Z (under 21 - deferment)"),'Input Data'!$BG$6,IF($G82="H (Apprentice under 25)",'Input Data'!$BG$7,'Input Data'!$BG$8))),0)*VLOOKUP($G82,'Input Data'!$BI$3:$BL$10,4,FALSE))))</f>
        <v>0</v>
      </c>
      <c r="AO82" s="56">
        <f>IF($G82="",0,IF(NOT(OR($G82="A - All employees not in groups B, C, J, H, M or Z",$G82="B - Married women and widows entitled to reduced NI",$G82="C - Over the State Pension age",$G82="H - Apprentice under 25",$G82="J – Deferment",$G82="M - Under 21",$G82="Z - Deferment (Under 21)",$G82="Please Enter The NI Cont. in ££££")),$G82,SUM(MAX(MIN(AG82-'Input Data'!$BG$3,'Input Data'!$BG$5-'Input Data'!$BG$3),0)*VLOOKUP($G82,'Input Data'!$BI$3:$BL$10,2,FALSE),MAX(MIN(AG82-'Input Data'!$BG$5,IF(OR($G82="M (under 21)",$G82="Z (under 21 - deferment)"),'Input Data'!$BG$6,IF($G82="H (Apprentice under 25)",'Input Data'!$BG$7,'Input Data'!$BG$8))-'Input Data'!$BG$5),0)*VLOOKUP($G82,'Input Data'!$BI$3:$BL$10,3,FALSE),MAX((AG82-IF(OR($G82="M (under 21)",$G82="Z (under 21 - deferment)"),'Input Data'!$BG$6,IF($G82="H (Apprentice under 25)",'Input Data'!$BG$7,'Input Data'!$BG$8))),0)*VLOOKUP($G82,'Input Data'!$BI$3:$BL$10,4,FALSE))))</f>
        <v>0</v>
      </c>
      <c r="AP82" s="56">
        <f>IF($G82="",0,IF(NOT(OR($G82="A - All employees not in groups B, C, J, H, M or Z",$G82="B - Married women and widows entitled to reduced NI",$G82="C - Over the State Pension age",$G82="H - Apprentice under 25",$G82="J – Deferment",$G82="M - Under 21",$G82="Z - Deferment (Under 21)",$G82="Please Enter The NI Cont. in ££££")),$G82,SUM(MAX(MIN(AH82-'Input Data'!$BG$3,'Input Data'!$BG$5-'Input Data'!$BG$3),0)*VLOOKUP($G82,'Input Data'!$BI$3:$BL$10,2,FALSE),MAX(MIN(AH82-'Input Data'!$BG$5,IF(OR($G82="M (under 21)",$G82="Z (under 21 - deferment)"),'Input Data'!$BG$6,IF($G82="H (Apprentice under 25)",'Input Data'!$BG$7,'Input Data'!$BG$8))-'Input Data'!$BG$5),0)*VLOOKUP($G82,'Input Data'!$BI$3:$BL$10,3,FALSE),MAX((AH82-IF(OR($G82="M (under 21)",$G82="Z (under 21 - deferment)"),'Input Data'!$BG$6,IF($G82="H (Apprentice under 25)",'Input Data'!$BG$7,'Input Data'!$BG$8))),0)*VLOOKUP($G82,'Input Data'!$BI$3:$BL$10,4,FALSE))))</f>
        <v>0</v>
      </c>
      <c r="AQ82" s="56">
        <f>IF($G82="",0,IF(NOT(OR($G82="A - All employees not in groups B, C, J, H, M or Z",$G82="B - Married women and widows entitled to reduced NI",$G82="C - Over the State Pension age",$G82="H - Apprentice under 25",$G82="J – Deferment",$G82="M - Under 21",$G82="Z - Deferment (Under 21)",$G82="Please Enter The NI Cont. in ££££")),$G82,SUM(MAX(MIN(AI82-'Input Data'!$BG$3,'Input Data'!$BG$5-'Input Data'!$BG$3),0)*VLOOKUP($G82,'Input Data'!$BI$3:$BL$10,2,FALSE),MAX(MIN(AI82-'Input Data'!$BG$5,IF(OR($G82="M (under 21)",$G82="Z (under 21 - deferment)"),'Input Data'!$BG$6,IF($G82="H (Apprentice under 25)",'Input Data'!$BG$7,'Input Data'!$BG$8))-'Input Data'!$BG$5),0)*VLOOKUP($G82,'Input Data'!$BI$3:$BL$10,3,FALSE),MAX((AI82-IF(OR($G82="M (under 21)",$G82="Z (under 21 - deferment)"),'Input Data'!$BG$6,IF($G82="H (Apprentice under 25)",'Input Data'!$BG$7,'Input Data'!$BG$8))),0)*VLOOKUP($G82,'Input Data'!$BI$3:$BL$10,4,FALSE))))</f>
        <v>0</v>
      </c>
      <c r="AR82" s="56">
        <f>IF($G82="",0,IF(NOT(OR($G82="A - All employees not in groups B, C, J, H, M or Z",$G82="B - Married women and widows entitled to reduced NI",$G82="C - Over the State Pension age",$G82="H - Apprentice under 25",$G82="J – Deferment",$G82="M - Under 21",$G82="Z - Deferment (Under 21)",$G82="Please Enter The NI Cont. in ££££")),$G82,SUM(MAX(MIN(AJ82-'Input Data'!$BG$3,'Input Data'!$BG$5-'Input Data'!$BG$3),0)*VLOOKUP($G82,'Input Data'!$BI$3:$BL$10,2,FALSE),MAX(MIN(AJ82-'Input Data'!$BG$5,IF(OR($G82="M (under 21)",$G82="Z (under 21 - deferment)"),'Input Data'!$BG$6,IF($G82="H (Apprentice under 25)",'Input Data'!$BG$7,'Input Data'!$BG$8))-'Input Data'!$BG$5),0)*VLOOKUP($G82,'Input Data'!$BI$3:$BL$10,3,FALSE),MAX((AJ82-IF(OR($G82="M (under 21)",$G82="Z (under 21 - deferment)"),'Input Data'!$BG$6,IF($G82="H (Apprentice under 25)",'Input Data'!$BG$7,'Input Data'!$BG$8))),0)*VLOOKUP($G82,'Input Data'!$BI$3:$BL$10,4,FALSE))))</f>
        <v>0</v>
      </c>
      <c r="AS82" s="56">
        <f>AC82*$F82</f>
        <v>0</v>
      </c>
      <c r="AT82" s="56">
        <f>AD82*$F82</f>
        <v>0</v>
      </c>
      <c r="AU82" s="56">
        <f>AE82*$F82</f>
        <v>0</v>
      </c>
      <c r="AV82" s="56">
        <f>AF82*$F82</f>
        <v>0</v>
      </c>
      <c r="AW82" s="56">
        <f>AG82*$F82</f>
        <v>0</v>
      </c>
      <c r="AX82" s="56">
        <f>AH82*$F82</f>
        <v>0</v>
      </c>
      <c r="AY82" s="56">
        <f>AI82*$F82</f>
        <v>0</v>
      </c>
      <c r="AZ82" s="56">
        <f>AJ82*$F82</f>
        <v>0</v>
      </c>
    </row>
    <row r="83" spans="2:52" ht="25.5">
      <c r="B83" s="60"/>
      <c r="C83" s="57" t="s">
        <v>117</v>
      </c>
      <c r="D83" s="58"/>
      <c r="E83" s="58"/>
      <c r="F83" s="535"/>
      <c r="G83" s="693" t="s">
        <v>1149</v>
      </c>
      <c r="H83" s="65"/>
      <c r="I83" s="65"/>
      <c r="J83" s="65"/>
      <c r="K83" s="65"/>
      <c r="L83" s="65"/>
      <c r="M83" s="65"/>
      <c r="N83" s="65"/>
      <c r="O83" s="65"/>
      <c r="P83" s="29"/>
      <c r="Q83" s="597"/>
      <c r="R83" s="61"/>
      <c r="T83" s="43">
        <f>SUM(AC83,AK83,AS83)</f>
        <v>0</v>
      </c>
      <c r="U83" s="43">
        <f>SUM(AD83,AL83,AT83)</f>
        <v>0</v>
      </c>
      <c r="V83" s="43">
        <f>SUM(AE83,AM83,AU83)</f>
        <v>0</v>
      </c>
      <c r="W83" s="43">
        <f>SUM(AF83,AN83,AV83)</f>
        <v>0</v>
      </c>
      <c r="X83" s="43">
        <f>SUM(AG83,AO83,AW83)</f>
        <v>0</v>
      </c>
      <c r="Y83" s="43">
        <f>SUM(AH83,AP83,AX83)</f>
        <v>0</v>
      </c>
      <c r="Z83" s="43">
        <f>SUM(AI83,AQ83,AY83)</f>
        <v>0</v>
      </c>
      <c r="AA83" s="43">
        <f>SUM(AJ83,AR83,AZ83)</f>
        <v>0</v>
      </c>
      <c r="AC83" s="631">
        <f>SUM($D83:$E83)*H83</f>
        <v>0</v>
      </c>
      <c r="AD83" s="631">
        <f>SUM($D83:$E83)*I83</f>
        <v>0</v>
      </c>
      <c r="AE83" s="631">
        <f>SUM($D83:$E83)*J83</f>
        <v>0</v>
      </c>
      <c r="AF83" s="631">
        <f>SUM($D83:$E83)*K83</f>
        <v>0</v>
      </c>
      <c r="AG83" s="631">
        <f>SUM($D83:$E83)*L83</f>
        <v>0</v>
      </c>
      <c r="AH83" s="631">
        <f>SUM($D83:$E83)*M83</f>
        <v>0</v>
      </c>
      <c r="AI83" s="631">
        <f>SUM($D83:$E83)*N83</f>
        <v>0</v>
      </c>
      <c r="AJ83" s="631">
        <f>SUM($D83:$E83)*O83</f>
        <v>0</v>
      </c>
      <c r="AK83" s="56">
        <f>IF($G83="",0,IF(NOT(OR($G83="A - All employees not in groups B, C, J, H, M or Z",$G83="B - Married women and widows entitled to reduced NI",$G83="C - Over the State Pension age",$G83="H - Apprentice under 25",$G83="J – Deferment",$G83="M - Under 21",$G83="Z - Deferment (Under 21)",$G83="Please Enter The NI Cont. in ££££")),$G83,SUM(MAX(MIN(AC83-'Input Data'!$BG$3,'Input Data'!$BG$5-'Input Data'!$BG$3),0)*VLOOKUP($G83,'Input Data'!$BI$3:$BL$10,2,FALSE),MAX(MIN(AC83-'Input Data'!$BG$5,IF(OR($G83="M (under 21)",$G83="Z (under 21 - deferment)"),'Input Data'!$BG$6,IF($G83="H (Apprentice under 25)",'Input Data'!$BG$7,'Input Data'!$BG$8))-'Input Data'!$BG$5),0)*VLOOKUP($G83,'Input Data'!$BI$3:$BL$10,3,FALSE),MAX((AC83-IF(OR($G83="M (under 21)",$G83="Z (under 21 - deferment)"),'Input Data'!$BG$6,IF($G83="H (Apprentice under 25)",'Input Data'!$BG$7,'Input Data'!$BG$8))),0)*VLOOKUP($G83,'Input Data'!$BI$3:$BL$10,4,FALSE))))</f>
        <v>0</v>
      </c>
      <c r="AL83" s="56">
        <f>IF($G83="",0,IF(NOT(OR($G83="A - All employees not in groups B, C, J, H, M or Z",$G83="B - Married women and widows entitled to reduced NI",$G83="C - Over the State Pension age",$G83="H - Apprentice under 25",$G83="J – Deferment",$G83="M - Under 21",$G83="Z - Deferment (Under 21)",$G83="Please Enter The NI Cont. in ££££")),$G83,SUM(MAX(MIN(AD83-'Input Data'!$BG$3,'Input Data'!$BG$5-'Input Data'!$BG$3),0)*VLOOKUP($G83,'Input Data'!$BI$3:$BL$10,2,FALSE),MAX(MIN(AD83-'Input Data'!$BG$5,IF(OR($G83="M (under 21)",$G83="Z (under 21 - deferment)"),'Input Data'!$BG$6,IF($G83="H (Apprentice under 25)",'Input Data'!$BG$7,'Input Data'!$BG$8))-'Input Data'!$BG$5),0)*VLOOKUP($G83,'Input Data'!$BI$3:$BL$10,3,FALSE),MAX((AD83-IF(OR($G83="M (under 21)",$G83="Z (under 21 - deferment)"),'Input Data'!$BG$6,IF($G83="H (Apprentice under 25)",'Input Data'!$BG$7,'Input Data'!$BG$8))),0)*VLOOKUP($G83,'Input Data'!$BI$3:$BL$10,4,FALSE))))</f>
        <v>0</v>
      </c>
      <c r="AM83" s="56">
        <f>IF($G83="",0,IF(NOT(OR($G83="A - All employees not in groups B, C, J, H, M or Z",$G83="B - Married women and widows entitled to reduced NI",$G83="C - Over the State Pension age",$G83="H - Apprentice under 25",$G83="J – Deferment",$G83="M - Under 21",$G83="Z - Deferment (Under 21)",$G83="Please Enter The NI Cont. in ££££")),$G83,SUM(MAX(MIN(AE83-'Input Data'!$BG$3,'Input Data'!$BG$5-'Input Data'!$BG$3),0)*VLOOKUP($G83,'Input Data'!$BI$3:$BL$10,2,FALSE),MAX(MIN(AE83-'Input Data'!$BG$5,IF(OR($G83="M (under 21)",$G83="Z (under 21 - deferment)"),'Input Data'!$BG$6,IF($G83="H (Apprentice under 25)",'Input Data'!$BG$7,'Input Data'!$BG$8))-'Input Data'!$BG$5),0)*VLOOKUP($G83,'Input Data'!$BI$3:$BL$10,3,FALSE),MAX((AE83-IF(OR($G83="M (under 21)",$G83="Z (under 21 - deferment)"),'Input Data'!$BG$6,IF($G83="H (Apprentice under 25)",'Input Data'!$BG$7,'Input Data'!$BG$8))),0)*VLOOKUP($G83,'Input Data'!$BI$3:$BL$10,4,FALSE))))</f>
        <v>0</v>
      </c>
      <c r="AN83" s="56">
        <f>IF($G83="",0,IF(NOT(OR($G83="A - All employees not in groups B, C, J, H, M or Z",$G83="B - Married women and widows entitled to reduced NI",$G83="C - Over the State Pension age",$G83="H - Apprentice under 25",$G83="J – Deferment",$G83="M - Under 21",$G83="Z - Deferment (Under 21)",$G83="Please Enter The NI Cont. in ££££")),$G83,SUM(MAX(MIN(AF83-'Input Data'!$BG$3,'Input Data'!$BG$5-'Input Data'!$BG$3),0)*VLOOKUP($G83,'Input Data'!$BI$3:$BL$10,2,FALSE),MAX(MIN(AF83-'Input Data'!$BG$5,IF(OR($G83="M (under 21)",$G83="Z (under 21 - deferment)"),'Input Data'!$BG$6,IF($G83="H (Apprentice under 25)",'Input Data'!$BG$7,'Input Data'!$BG$8))-'Input Data'!$BG$5),0)*VLOOKUP($G83,'Input Data'!$BI$3:$BL$10,3,FALSE),MAX((AF83-IF(OR($G83="M (under 21)",$G83="Z (under 21 - deferment)"),'Input Data'!$BG$6,IF($G83="H (Apprentice under 25)",'Input Data'!$BG$7,'Input Data'!$BG$8))),0)*VLOOKUP($G83,'Input Data'!$BI$3:$BL$10,4,FALSE))))</f>
        <v>0</v>
      </c>
      <c r="AO83" s="56">
        <f>IF($G83="",0,IF(NOT(OR($G83="A - All employees not in groups B, C, J, H, M or Z",$G83="B - Married women and widows entitled to reduced NI",$G83="C - Over the State Pension age",$G83="H - Apprentice under 25",$G83="J – Deferment",$G83="M - Under 21",$G83="Z - Deferment (Under 21)",$G83="Please Enter The NI Cont. in ££££")),$G83,SUM(MAX(MIN(AG83-'Input Data'!$BG$3,'Input Data'!$BG$5-'Input Data'!$BG$3),0)*VLOOKUP($G83,'Input Data'!$BI$3:$BL$10,2,FALSE),MAX(MIN(AG83-'Input Data'!$BG$5,IF(OR($G83="M (under 21)",$G83="Z (under 21 - deferment)"),'Input Data'!$BG$6,IF($G83="H (Apprentice under 25)",'Input Data'!$BG$7,'Input Data'!$BG$8))-'Input Data'!$BG$5),0)*VLOOKUP($G83,'Input Data'!$BI$3:$BL$10,3,FALSE),MAX((AG83-IF(OR($G83="M (under 21)",$G83="Z (under 21 - deferment)"),'Input Data'!$BG$6,IF($G83="H (Apprentice under 25)",'Input Data'!$BG$7,'Input Data'!$BG$8))),0)*VLOOKUP($G83,'Input Data'!$BI$3:$BL$10,4,FALSE))))</f>
        <v>0</v>
      </c>
      <c r="AP83" s="56">
        <f>IF($G83="",0,IF(NOT(OR($G83="A - All employees not in groups B, C, J, H, M or Z",$G83="B - Married women and widows entitled to reduced NI",$G83="C - Over the State Pension age",$G83="H - Apprentice under 25",$G83="J – Deferment",$G83="M - Under 21",$G83="Z - Deferment (Under 21)",$G83="Please Enter The NI Cont. in ££££")),$G83,SUM(MAX(MIN(AH83-'Input Data'!$BG$3,'Input Data'!$BG$5-'Input Data'!$BG$3),0)*VLOOKUP($G83,'Input Data'!$BI$3:$BL$10,2,FALSE),MAX(MIN(AH83-'Input Data'!$BG$5,IF(OR($G83="M (under 21)",$G83="Z (under 21 - deferment)"),'Input Data'!$BG$6,IF($G83="H (Apprentice under 25)",'Input Data'!$BG$7,'Input Data'!$BG$8))-'Input Data'!$BG$5),0)*VLOOKUP($G83,'Input Data'!$BI$3:$BL$10,3,FALSE),MAX((AH83-IF(OR($G83="M (under 21)",$G83="Z (under 21 - deferment)"),'Input Data'!$BG$6,IF($G83="H (Apprentice under 25)",'Input Data'!$BG$7,'Input Data'!$BG$8))),0)*VLOOKUP($G83,'Input Data'!$BI$3:$BL$10,4,FALSE))))</f>
        <v>0</v>
      </c>
      <c r="AQ83" s="56">
        <f>IF($G83="",0,IF(NOT(OR($G83="A - All employees not in groups B, C, J, H, M or Z",$G83="B - Married women and widows entitled to reduced NI",$G83="C - Over the State Pension age",$G83="H - Apprentice under 25",$G83="J – Deferment",$G83="M - Under 21",$G83="Z - Deferment (Under 21)",$G83="Please Enter The NI Cont. in ££££")),$G83,SUM(MAX(MIN(AI83-'Input Data'!$BG$3,'Input Data'!$BG$5-'Input Data'!$BG$3),0)*VLOOKUP($G83,'Input Data'!$BI$3:$BL$10,2,FALSE),MAX(MIN(AI83-'Input Data'!$BG$5,IF(OR($G83="M (under 21)",$G83="Z (under 21 - deferment)"),'Input Data'!$BG$6,IF($G83="H (Apprentice under 25)",'Input Data'!$BG$7,'Input Data'!$BG$8))-'Input Data'!$BG$5),0)*VLOOKUP($G83,'Input Data'!$BI$3:$BL$10,3,FALSE),MAX((AI83-IF(OR($G83="M (under 21)",$G83="Z (under 21 - deferment)"),'Input Data'!$BG$6,IF($G83="H (Apprentice under 25)",'Input Data'!$BG$7,'Input Data'!$BG$8))),0)*VLOOKUP($G83,'Input Data'!$BI$3:$BL$10,4,FALSE))))</f>
        <v>0</v>
      </c>
      <c r="AR83" s="56">
        <f>IF($G83="",0,IF(NOT(OR($G83="A - All employees not in groups B, C, J, H, M or Z",$G83="B - Married women and widows entitled to reduced NI",$G83="C - Over the State Pension age",$G83="H - Apprentice under 25",$G83="J – Deferment",$G83="M - Under 21",$G83="Z - Deferment (Under 21)",$G83="Please Enter The NI Cont. in ££££")),$G83,SUM(MAX(MIN(AJ83-'Input Data'!$BG$3,'Input Data'!$BG$5-'Input Data'!$BG$3),0)*VLOOKUP($G83,'Input Data'!$BI$3:$BL$10,2,FALSE),MAX(MIN(AJ83-'Input Data'!$BG$5,IF(OR($G83="M (under 21)",$G83="Z (under 21 - deferment)"),'Input Data'!$BG$6,IF($G83="H (Apprentice under 25)",'Input Data'!$BG$7,'Input Data'!$BG$8))-'Input Data'!$BG$5),0)*VLOOKUP($G83,'Input Data'!$BI$3:$BL$10,3,FALSE),MAX((AJ83-IF(OR($G83="M (under 21)",$G83="Z (under 21 - deferment)"),'Input Data'!$BG$6,IF($G83="H (Apprentice under 25)",'Input Data'!$BG$7,'Input Data'!$BG$8))),0)*VLOOKUP($G83,'Input Data'!$BI$3:$BL$10,4,FALSE))))</f>
        <v>0</v>
      </c>
      <c r="AS83" s="56">
        <f>AC83*$F83</f>
        <v>0</v>
      </c>
      <c r="AT83" s="56">
        <f>AD83*$F83</f>
        <v>0</v>
      </c>
      <c r="AU83" s="56">
        <f>AE83*$F83</f>
        <v>0</v>
      </c>
      <c r="AV83" s="56">
        <f>AF83*$F83</f>
        <v>0</v>
      </c>
      <c r="AW83" s="56">
        <f>AG83*$F83</f>
        <v>0</v>
      </c>
      <c r="AX83" s="56">
        <f>AH83*$F83</f>
        <v>0</v>
      </c>
      <c r="AY83" s="56">
        <f>AI83*$F83</f>
        <v>0</v>
      </c>
      <c r="AZ83" s="56">
        <f>AJ83*$F83</f>
        <v>0</v>
      </c>
    </row>
    <row r="84" spans="2:52" ht="25.5">
      <c r="B84" s="60"/>
      <c r="C84" s="57" t="s">
        <v>118</v>
      </c>
      <c r="D84" s="58"/>
      <c r="E84" s="58"/>
      <c r="F84" s="535"/>
      <c r="G84" s="693" t="s">
        <v>1149</v>
      </c>
      <c r="H84" s="65"/>
      <c r="I84" s="65"/>
      <c r="J84" s="65"/>
      <c r="K84" s="65"/>
      <c r="L84" s="65"/>
      <c r="M84" s="65"/>
      <c r="N84" s="65"/>
      <c r="O84" s="65"/>
      <c r="P84" s="29"/>
      <c r="Q84" s="597"/>
      <c r="R84" s="61"/>
      <c r="T84" s="43">
        <f>SUM(AC84,AK84,AS84)</f>
        <v>0</v>
      </c>
      <c r="U84" s="43">
        <f>SUM(AD84,AL84,AT84)</f>
        <v>0</v>
      </c>
      <c r="V84" s="43">
        <f>SUM(AE84,AM84,AU84)</f>
        <v>0</v>
      </c>
      <c r="W84" s="43">
        <f>SUM(AF84,AN84,AV84)</f>
        <v>0</v>
      </c>
      <c r="X84" s="43">
        <f>SUM(AG84,AO84,AW84)</f>
        <v>0</v>
      </c>
      <c r="Y84" s="43">
        <f>SUM(AH84,AP84,AX84)</f>
        <v>0</v>
      </c>
      <c r="Z84" s="43">
        <f>SUM(AI84,AQ84,AY84)</f>
        <v>0</v>
      </c>
      <c r="AA84" s="43">
        <f>SUM(AJ84,AR84,AZ84)</f>
        <v>0</v>
      </c>
      <c r="AC84" s="631">
        <f>SUM($D84:$E84)*H84</f>
        <v>0</v>
      </c>
      <c r="AD84" s="631">
        <f>SUM($D84:$E84)*I84</f>
        <v>0</v>
      </c>
      <c r="AE84" s="631">
        <f>SUM($D84:$E84)*J84</f>
        <v>0</v>
      </c>
      <c r="AF84" s="631">
        <f>SUM($D84:$E84)*K84</f>
        <v>0</v>
      </c>
      <c r="AG84" s="631">
        <f>SUM($D84:$E84)*L84</f>
        <v>0</v>
      </c>
      <c r="AH84" s="631">
        <f>SUM($D84:$E84)*M84</f>
        <v>0</v>
      </c>
      <c r="AI84" s="631">
        <f>SUM($D84:$E84)*N84</f>
        <v>0</v>
      </c>
      <c r="AJ84" s="631">
        <f>SUM($D84:$E84)*O84</f>
        <v>0</v>
      </c>
      <c r="AK84" s="56">
        <f>IF($G84="",0,IF(NOT(OR($G84="A - All employees not in groups B, C, J, H, M or Z",$G84="B - Married women and widows entitled to reduced NI",$G84="C - Over the State Pension age",$G84="H - Apprentice under 25",$G84="J – Deferment",$G84="M - Under 21",$G84="Z - Deferment (Under 21)",$G84="Please Enter The NI Cont. in ££££")),$G84,SUM(MAX(MIN(AC84-'Input Data'!$BG$3,'Input Data'!$BG$5-'Input Data'!$BG$3),0)*VLOOKUP($G84,'Input Data'!$BI$3:$BL$10,2,FALSE),MAX(MIN(AC84-'Input Data'!$BG$5,IF(OR($G84="M (under 21)",$G84="Z (under 21 - deferment)"),'Input Data'!$BG$6,IF($G84="H (Apprentice under 25)",'Input Data'!$BG$7,'Input Data'!$BG$8))-'Input Data'!$BG$5),0)*VLOOKUP($G84,'Input Data'!$BI$3:$BL$10,3,FALSE),MAX((AC84-IF(OR($G84="M (under 21)",$G84="Z (under 21 - deferment)"),'Input Data'!$BG$6,IF($G84="H (Apprentice under 25)",'Input Data'!$BG$7,'Input Data'!$BG$8))),0)*VLOOKUP($G84,'Input Data'!$BI$3:$BL$10,4,FALSE))))</f>
        <v>0</v>
      </c>
      <c r="AL84" s="56">
        <f>IF($G84="",0,IF(NOT(OR($G84="A - All employees not in groups B, C, J, H, M or Z",$G84="B - Married women and widows entitled to reduced NI",$G84="C - Over the State Pension age",$G84="H - Apprentice under 25",$G84="J – Deferment",$G84="M - Under 21",$G84="Z - Deferment (Under 21)",$G84="Please Enter The NI Cont. in ££££")),$G84,SUM(MAX(MIN(AD84-'Input Data'!$BG$3,'Input Data'!$BG$5-'Input Data'!$BG$3),0)*VLOOKUP($G84,'Input Data'!$BI$3:$BL$10,2,FALSE),MAX(MIN(AD84-'Input Data'!$BG$5,IF(OR($G84="M (under 21)",$G84="Z (under 21 - deferment)"),'Input Data'!$BG$6,IF($G84="H (Apprentice under 25)",'Input Data'!$BG$7,'Input Data'!$BG$8))-'Input Data'!$BG$5),0)*VLOOKUP($G84,'Input Data'!$BI$3:$BL$10,3,FALSE),MAX((AD84-IF(OR($G84="M (under 21)",$G84="Z (under 21 - deferment)"),'Input Data'!$BG$6,IF($G84="H (Apprentice under 25)",'Input Data'!$BG$7,'Input Data'!$BG$8))),0)*VLOOKUP($G84,'Input Data'!$BI$3:$BL$10,4,FALSE))))</f>
        <v>0</v>
      </c>
      <c r="AM84" s="56">
        <f>IF($G84="",0,IF(NOT(OR($G84="A - All employees not in groups B, C, J, H, M or Z",$G84="B - Married women and widows entitled to reduced NI",$G84="C - Over the State Pension age",$G84="H - Apprentice under 25",$G84="J – Deferment",$G84="M - Under 21",$G84="Z - Deferment (Under 21)",$G84="Please Enter The NI Cont. in ££££")),$G84,SUM(MAX(MIN(AE84-'Input Data'!$BG$3,'Input Data'!$BG$5-'Input Data'!$BG$3),0)*VLOOKUP($G84,'Input Data'!$BI$3:$BL$10,2,FALSE),MAX(MIN(AE84-'Input Data'!$BG$5,IF(OR($G84="M (under 21)",$G84="Z (under 21 - deferment)"),'Input Data'!$BG$6,IF($G84="H (Apprentice under 25)",'Input Data'!$BG$7,'Input Data'!$BG$8))-'Input Data'!$BG$5),0)*VLOOKUP($G84,'Input Data'!$BI$3:$BL$10,3,FALSE),MAX((AE84-IF(OR($G84="M (under 21)",$G84="Z (under 21 - deferment)"),'Input Data'!$BG$6,IF($G84="H (Apprentice under 25)",'Input Data'!$BG$7,'Input Data'!$BG$8))),0)*VLOOKUP($G84,'Input Data'!$BI$3:$BL$10,4,FALSE))))</f>
        <v>0</v>
      </c>
      <c r="AN84" s="56">
        <f>IF($G84="",0,IF(NOT(OR($G84="A - All employees not in groups B, C, J, H, M or Z",$G84="B - Married women and widows entitled to reduced NI",$G84="C - Over the State Pension age",$G84="H - Apprentice under 25",$G84="J – Deferment",$G84="M - Under 21",$G84="Z - Deferment (Under 21)",$G84="Please Enter The NI Cont. in ££££")),$G84,SUM(MAX(MIN(AF84-'Input Data'!$BG$3,'Input Data'!$BG$5-'Input Data'!$BG$3),0)*VLOOKUP($G84,'Input Data'!$BI$3:$BL$10,2,FALSE),MAX(MIN(AF84-'Input Data'!$BG$5,IF(OR($G84="M (under 21)",$G84="Z (under 21 - deferment)"),'Input Data'!$BG$6,IF($G84="H (Apprentice under 25)",'Input Data'!$BG$7,'Input Data'!$BG$8))-'Input Data'!$BG$5),0)*VLOOKUP($G84,'Input Data'!$BI$3:$BL$10,3,FALSE),MAX((AF84-IF(OR($G84="M (under 21)",$G84="Z (under 21 - deferment)"),'Input Data'!$BG$6,IF($G84="H (Apprentice under 25)",'Input Data'!$BG$7,'Input Data'!$BG$8))),0)*VLOOKUP($G84,'Input Data'!$BI$3:$BL$10,4,FALSE))))</f>
        <v>0</v>
      </c>
      <c r="AO84" s="56">
        <f>IF($G84="",0,IF(NOT(OR($G84="A - All employees not in groups B, C, J, H, M or Z",$G84="B - Married women and widows entitled to reduced NI",$G84="C - Over the State Pension age",$G84="H - Apprentice under 25",$G84="J – Deferment",$G84="M - Under 21",$G84="Z - Deferment (Under 21)",$G84="Please Enter The NI Cont. in ££££")),$G84,SUM(MAX(MIN(AG84-'Input Data'!$BG$3,'Input Data'!$BG$5-'Input Data'!$BG$3),0)*VLOOKUP($G84,'Input Data'!$BI$3:$BL$10,2,FALSE),MAX(MIN(AG84-'Input Data'!$BG$5,IF(OR($G84="M (under 21)",$G84="Z (under 21 - deferment)"),'Input Data'!$BG$6,IF($G84="H (Apprentice under 25)",'Input Data'!$BG$7,'Input Data'!$BG$8))-'Input Data'!$BG$5),0)*VLOOKUP($G84,'Input Data'!$BI$3:$BL$10,3,FALSE),MAX((AG84-IF(OR($G84="M (under 21)",$G84="Z (under 21 - deferment)"),'Input Data'!$BG$6,IF($G84="H (Apprentice under 25)",'Input Data'!$BG$7,'Input Data'!$BG$8))),0)*VLOOKUP($G84,'Input Data'!$BI$3:$BL$10,4,FALSE))))</f>
        <v>0</v>
      </c>
      <c r="AP84" s="56">
        <f>IF($G84="",0,IF(NOT(OR($G84="A - All employees not in groups B, C, J, H, M or Z",$G84="B - Married women and widows entitled to reduced NI",$G84="C - Over the State Pension age",$G84="H - Apprentice under 25",$G84="J – Deferment",$G84="M - Under 21",$G84="Z - Deferment (Under 21)",$G84="Please Enter The NI Cont. in ££££")),$G84,SUM(MAX(MIN(AH84-'Input Data'!$BG$3,'Input Data'!$BG$5-'Input Data'!$BG$3),0)*VLOOKUP($G84,'Input Data'!$BI$3:$BL$10,2,FALSE),MAX(MIN(AH84-'Input Data'!$BG$5,IF(OR($G84="M (under 21)",$G84="Z (under 21 - deferment)"),'Input Data'!$BG$6,IF($G84="H (Apprentice under 25)",'Input Data'!$BG$7,'Input Data'!$BG$8))-'Input Data'!$BG$5),0)*VLOOKUP($G84,'Input Data'!$BI$3:$BL$10,3,FALSE),MAX((AH84-IF(OR($G84="M (under 21)",$G84="Z (under 21 - deferment)"),'Input Data'!$BG$6,IF($G84="H (Apprentice under 25)",'Input Data'!$BG$7,'Input Data'!$BG$8))),0)*VLOOKUP($G84,'Input Data'!$BI$3:$BL$10,4,FALSE))))</f>
        <v>0</v>
      </c>
      <c r="AQ84" s="56">
        <f>IF($G84="",0,IF(NOT(OR($G84="A - All employees not in groups B, C, J, H, M or Z",$G84="B - Married women and widows entitled to reduced NI",$G84="C - Over the State Pension age",$G84="H - Apprentice under 25",$G84="J – Deferment",$G84="M - Under 21",$G84="Z - Deferment (Under 21)",$G84="Please Enter The NI Cont. in ££££")),$G84,SUM(MAX(MIN(AI84-'Input Data'!$BG$3,'Input Data'!$BG$5-'Input Data'!$BG$3),0)*VLOOKUP($G84,'Input Data'!$BI$3:$BL$10,2,FALSE),MAX(MIN(AI84-'Input Data'!$BG$5,IF(OR($G84="M (under 21)",$G84="Z (under 21 - deferment)"),'Input Data'!$BG$6,IF($G84="H (Apprentice under 25)",'Input Data'!$BG$7,'Input Data'!$BG$8))-'Input Data'!$BG$5),0)*VLOOKUP($G84,'Input Data'!$BI$3:$BL$10,3,FALSE),MAX((AI84-IF(OR($G84="M (under 21)",$G84="Z (under 21 - deferment)"),'Input Data'!$BG$6,IF($G84="H (Apprentice under 25)",'Input Data'!$BG$7,'Input Data'!$BG$8))),0)*VLOOKUP($G84,'Input Data'!$BI$3:$BL$10,4,FALSE))))</f>
        <v>0</v>
      </c>
      <c r="AR84" s="56">
        <f>IF($G84="",0,IF(NOT(OR($G84="A - All employees not in groups B, C, J, H, M or Z",$G84="B - Married women and widows entitled to reduced NI",$G84="C - Over the State Pension age",$G84="H - Apprentice under 25",$G84="J – Deferment",$G84="M - Under 21",$G84="Z - Deferment (Under 21)",$G84="Please Enter The NI Cont. in ££££")),$G84,SUM(MAX(MIN(AJ84-'Input Data'!$BG$3,'Input Data'!$BG$5-'Input Data'!$BG$3),0)*VLOOKUP($G84,'Input Data'!$BI$3:$BL$10,2,FALSE),MAX(MIN(AJ84-'Input Data'!$BG$5,IF(OR($G84="M (under 21)",$G84="Z (under 21 - deferment)"),'Input Data'!$BG$6,IF($G84="H (Apprentice under 25)",'Input Data'!$BG$7,'Input Data'!$BG$8))-'Input Data'!$BG$5),0)*VLOOKUP($G84,'Input Data'!$BI$3:$BL$10,3,FALSE),MAX((AJ84-IF(OR($G84="M (under 21)",$G84="Z (under 21 - deferment)"),'Input Data'!$BG$6,IF($G84="H (Apprentice under 25)",'Input Data'!$BG$7,'Input Data'!$BG$8))),0)*VLOOKUP($G84,'Input Data'!$BI$3:$BL$10,4,FALSE))))</f>
        <v>0</v>
      </c>
      <c r="AS84" s="56">
        <f>AC84*$F84</f>
        <v>0</v>
      </c>
      <c r="AT84" s="56">
        <f>AD84*$F84</f>
        <v>0</v>
      </c>
      <c r="AU84" s="56">
        <f>AE84*$F84</f>
        <v>0</v>
      </c>
      <c r="AV84" s="56">
        <f>AF84*$F84</f>
        <v>0</v>
      </c>
      <c r="AW84" s="56">
        <f>AG84*$F84</f>
        <v>0</v>
      </c>
      <c r="AX84" s="56">
        <f>AH84*$F84</f>
        <v>0</v>
      </c>
      <c r="AY84" s="56">
        <f>AI84*$F84</f>
        <v>0</v>
      </c>
      <c r="AZ84" s="56">
        <f>AJ84*$F84</f>
        <v>0</v>
      </c>
    </row>
    <row r="85" spans="2:52" ht="25.5">
      <c r="B85" s="60"/>
      <c r="C85" s="57" t="s">
        <v>119</v>
      </c>
      <c r="D85" s="58"/>
      <c r="E85" s="58"/>
      <c r="F85" s="535"/>
      <c r="G85" s="693" t="s">
        <v>1149</v>
      </c>
      <c r="H85" s="65"/>
      <c r="I85" s="65"/>
      <c r="J85" s="65"/>
      <c r="K85" s="65"/>
      <c r="L85" s="65"/>
      <c r="M85" s="65"/>
      <c r="N85" s="65"/>
      <c r="O85" s="65"/>
      <c r="P85" s="29"/>
      <c r="Q85" s="597"/>
      <c r="R85" s="61"/>
      <c r="T85" s="43">
        <f>SUM(AC85,AK85,AS85)</f>
        <v>0</v>
      </c>
      <c r="U85" s="43">
        <f>SUM(AD85,AL85,AT85)</f>
        <v>0</v>
      </c>
      <c r="V85" s="43">
        <f>SUM(AE85,AM85,AU85)</f>
        <v>0</v>
      </c>
      <c r="W85" s="43">
        <f>SUM(AF85,AN85,AV85)</f>
        <v>0</v>
      </c>
      <c r="X85" s="43">
        <f>SUM(AG85,AO85,AW85)</f>
        <v>0</v>
      </c>
      <c r="Y85" s="43">
        <f>SUM(AH85,AP85,AX85)</f>
        <v>0</v>
      </c>
      <c r="Z85" s="43">
        <f>SUM(AI85,AQ85,AY85)</f>
        <v>0</v>
      </c>
      <c r="AA85" s="43">
        <f>SUM(AJ85,AR85,AZ85)</f>
        <v>0</v>
      </c>
      <c r="AC85" s="631">
        <f>SUM($D85:$E85)*H85</f>
        <v>0</v>
      </c>
      <c r="AD85" s="631">
        <f>SUM($D85:$E85)*I85</f>
        <v>0</v>
      </c>
      <c r="AE85" s="631">
        <f>SUM($D85:$E85)*J85</f>
        <v>0</v>
      </c>
      <c r="AF85" s="631">
        <f>SUM($D85:$E85)*K85</f>
        <v>0</v>
      </c>
      <c r="AG85" s="631">
        <f>SUM($D85:$E85)*L85</f>
        <v>0</v>
      </c>
      <c r="AH85" s="631">
        <f>SUM($D85:$E85)*M85</f>
        <v>0</v>
      </c>
      <c r="AI85" s="631">
        <f>SUM($D85:$E85)*N85</f>
        <v>0</v>
      </c>
      <c r="AJ85" s="631">
        <f>SUM($D85:$E85)*O85</f>
        <v>0</v>
      </c>
      <c r="AK85" s="56">
        <f>IF($G85="",0,IF(NOT(OR($G85="A - All employees not in groups B, C, J, H, M or Z",$G85="B - Married women and widows entitled to reduced NI",$G85="C - Over the State Pension age",$G85="H - Apprentice under 25",$G85="J – Deferment",$G85="M - Under 21",$G85="Z - Deferment (Under 21)",$G85="Please Enter The NI Cont. in ££££")),$G85,SUM(MAX(MIN(AC85-'Input Data'!$BG$3,'Input Data'!$BG$5-'Input Data'!$BG$3),0)*VLOOKUP($G85,'Input Data'!$BI$3:$BL$10,2,FALSE),MAX(MIN(AC85-'Input Data'!$BG$5,IF(OR($G85="M (under 21)",$G85="Z (under 21 - deferment)"),'Input Data'!$BG$6,IF($G85="H (Apprentice under 25)",'Input Data'!$BG$7,'Input Data'!$BG$8))-'Input Data'!$BG$5),0)*VLOOKUP($G85,'Input Data'!$BI$3:$BL$10,3,FALSE),MAX((AC85-IF(OR($G85="M (under 21)",$G85="Z (under 21 - deferment)"),'Input Data'!$BG$6,IF($G85="H (Apprentice under 25)",'Input Data'!$BG$7,'Input Data'!$BG$8))),0)*VLOOKUP($G85,'Input Data'!$BI$3:$BL$10,4,FALSE))))</f>
        <v>0</v>
      </c>
      <c r="AL85" s="56">
        <f>IF($G85="",0,IF(NOT(OR($G85="A - All employees not in groups B, C, J, H, M or Z",$G85="B - Married women and widows entitled to reduced NI",$G85="C - Over the State Pension age",$G85="H - Apprentice under 25",$G85="J – Deferment",$G85="M - Under 21",$G85="Z - Deferment (Under 21)",$G85="Please Enter The NI Cont. in ££££")),$G85,SUM(MAX(MIN(AD85-'Input Data'!$BG$3,'Input Data'!$BG$5-'Input Data'!$BG$3),0)*VLOOKUP($G85,'Input Data'!$BI$3:$BL$10,2,FALSE),MAX(MIN(AD85-'Input Data'!$BG$5,IF(OR($G85="M (under 21)",$G85="Z (under 21 - deferment)"),'Input Data'!$BG$6,IF($G85="H (Apprentice under 25)",'Input Data'!$BG$7,'Input Data'!$BG$8))-'Input Data'!$BG$5),0)*VLOOKUP($G85,'Input Data'!$BI$3:$BL$10,3,FALSE),MAX((AD85-IF(OR($G85="M (under 21)",$G85="Z (under 21 - deferment)"),'Input Data'!$BG$6,IF($G85="H (Apprentice under 25)",'Input Data'!$BG$7,'Input Data'!$BG$8))),0)*VLOOKUP($G85,'Input Data'!$BI$3:$BL$10,4,FALSE))))</f>
        <v>0</v>
      </c>
      <c r="AM85" s="56">
        <f>IF($G85="",0,IF(NOT(OR($G85="A - All employees not in groups B, C, J, H, M or Z",$G85="B - Married women and widows entitled to reduced NI",$G85="C - Over the State Pension age",$G85="H - Apprentice under 25",$G85="J – Deferment",$G85="M - Under 21",$G85="Z - Deferment (Under 21)",$G85="Please Enter The NI Cont. in ££££")),$G85,SUM(MAX(MIN(AE85-'Input Data'!$BG$3,'Input Data'!$BG$5-'Input Data'!$BG$3),0)*VLOOKUP($G85,'Input Data'!$BI$3:$BL$10,2,FALSE),MAX(MIN(AE85-'Input Data'!$BG$5,IF(OR($G85="M (under 21)",$G85="Z (under 21 - deferment)"),'Input Data'!$BG$6,IF($G85="H (Apprentice under 25)",'Input Data'!$BG$7,'Input Data'!$BG$8))-'Input Data'!$BG$5),0)*VLOOKUP($G85,'Input Data'!$BI$3:$BL$10,3,FALSE),MAX((AE85-IF(OR($G85="M (under 21)",$G85="Z (under 21 - deferment)"),'Input Data'!$BG$6,IF($G85="H (Apprentice under 25)",'Input Data'!$BG$7,'Input Data'!$BG$8))),0)*VLOOKUP($G85,'Input Data'!$BI$3:$BL$10,4,FALSE))))</f>
        <v>0</v>
      </c>
      <c r="AN85" s="56">
        <f>IF($G85="",0,IF(NOT(OR($G85="A - All employees not in groups B, C, J, H, M or Z",$G85="B - Married women and widows entitled to reduced NI",$G85="C - Over the State Pension age",$G85="H - Apprentice under 25",$G85="J – Deferment",$G85="M - Under 21",$G85="Z - Deferment (Under 21)",$G85="Please Enter The NI Cont. in ££££")),$G85,SUM(MAX(MIN(AF85-'Input Data'!$BG$3,'Input Data'!$BG$5-'Input Data'!$BG$3),0)*VLOOKUP($G85,'Input Data'!$BI$3:$BL$10,2,FALSE),MAX(MIN(AF85-'Input Data'!$BG$5,IF(OR($G85="M (under 21)",$G85="Z (under 21 - deferment)"),'Input Data'!$BG$6,IF($G85="H (Apprentice under 25)",'Input Data'!$BG$7,'Input Data'!$BG$8))-'Input Data'!$BG$5),0)*VLOOKUP($G85,'Input Data'!$BI$3:$BL$10,3,FALSE),MAX((AF85-IF(OR($G85="M (under 21)",$G85="Z (under 21 - deferment)"),'Input Data'!$BG$6,IF($G85="H (Apprentice under 25)",'Input Data'!$BG$7,'Input Data'!$BG$8))),0)*VLOOKUP($G85,'Input Data'!$BI$3:$BL$10,4,FALSE))))</f>
        <v>0</v>
      </c>
      <c r="AO85" s="56">
        <f>IF($G85="",0,IF(NOT(OR($G85="A - All employees not in groups B, C, J, H, M or Z",$G85="B - Married women and widows entitled to reduced NI",$G85="C - Over the State Pension age",$G85="H - Apprentice under 25",$G85="J – Deferment",$G85="M - Under 21",$G85="Z - Deferment (Under 21)",$G85="Please Enter The NI Cont. in ££££")),$G85,SUM(MAX(MIN(AG85-'Input Data'!$BG$3,'Input Data'!$BG$5-'Input Data'!$BG$3),0)*VLOOKUP($G85,'Input Data'!$BI$3:$BL$10,2,FALSE),MAX(MIN(AG85-'Input Data'!$BG$5,IF(OR($G85="M (under 21)",$G85="Z (under 21 - deferment)"),'Input Data'!$BG$6,IF($G85="H (Apprentice under 25)",'Input Data'!$BG$7,'Input Data'!$BG$8))-'Input Data'!$BG$5),0)*VLOOKUP($G85,'Input Data'!$BI$3:$BL$10,3,FALSE),MAX((AG85-IF(OR($G85="M (under 21)",$G85="Z (under 21 - deferment)"),'Input Data'!$BG$6,IF($G85="H (Apprentice under 25)",'Input Data'!$BG$7,'Input Data'!$BG$8))),0)*VLOOKUP($G85,'Input Data'!$BI$3:$BL$10,4,FALSE))))</f>
        <v>0</v>
      </c>
      <c r="AP85" s="56">
        <f>IF($G85="",0,IF(NOT(OR($G85="A - All employees not in groups B, C, J, H, M or Z",$G85="B - Married women and widows entitled to reduced NI",$G85="C - Over the State Pension age",$G85="H - Apprentice under 25",$G85="J – Deferment",$G85="M - Under 21",$G85="Z - Deferment (Under 21)",$G85="Please Enter The NI Cont. in ££££")),$G85,SUM(MAX(MIN(AH85-'Input Data'!$BG$3,'Input Data'!$BG$5-'Input Data'!$BG$3),0)*VLOOKUP($G85,'Input Data'!$BI$3:$BL$10,2,FALSE),MAX(MIN(AH85-'Input Data'!$BG$5,IF(OR($G85="M (under 21)",$G85="Z (under 21 - deferment)"),'Input Data'!$BG$6,IF($G85="H (Apprentice under 25)",'Input Data'!$BG$7,'Input Data'!$BG$8))-'Input Data'!$BG$5),0)*VLOOKUP($G85,'Input Data'!$BI$3:$BL$10,3,FALSE),MAX((AH85-IF(OR($G85="M (under 21)",$G85="Z (under 21 - deferment)"),'Input Data'!$BG$6,IF($G85="H (Apprentice under 25)",'Input Data'!$BG$7,'Input Data'!$BG$8))),0)*VLOOKUP($G85,'Input Data'!$BI$3:$BL$10,4,FALSE))))</f>
        <v>0</v>
      </c>
      <c r="AQ85" s="56">
        <f>IF($G85="",0,IF(NOT(OR($G85="A - All employees not in groups B, C, J, H, M or Z",$G85="B - Married women and widows entitled to reduced NI",$G85="C - Over the State Pension age",$G85="H - Apprentice under 25",$G85="J – Deferment",$G85="M - Under 21",$G85="Z - Deferment (Under 21)",$G85="Please Enter The NI Cont. in ££££")),$G85,SUM(MAX(MIN(AI85-'Input Data'!$BG$3,'Input Data'!$BG$5-'Input Data'!$BG$3),0)*VLOOKUP($G85,'Input Data'!$BI$3:$BL$10,2,FALSE),MAX(MIN(AI85-'Input Data'!$BG$5,IF(OR($G85="M (under 21)",$G85="Z (under 21 - deferment)"),'Input Data'!$BG$6,IF($G85="H (Apprentice under 25)",'Input Data'!$BG$7,'Input Data'!$BG$8))-'Input Data'!$BG$5),0)*VLOOKUP($G85,'Input Data'!$BI$3:$BL$10,3,FALSE),MAX((AI85-IF(OR($G85="M (under 21)",$G85="Z (under 21 - deferment)"),'Input Data'!$BG$6,IF($G85="H (Apprentice under 25)",'Input Data'!$BG$7,'Input Data'!$BG$8))),0)*VLOOKUP($G85,'Input Data'!$BI$3:$BL$10,4,FALSE))))</f>
        <v>0</v>
      </c>
      <c r="AR85" s="56">
        <f>IF($G85="",0,IF(NOT(OR($G85="A - All employees not in groups B, C, J, H, M or Z",$G85="B - Married women and widows entitled to reduced NI",$G85="C - Over the State Pension age",$G85="H - Apprentice under 25",$G85="J – Deferment",$G85="M - Under 21",$G85="Z - Deferment (Under 21)",$G85="Please Enter The NI Cont. in ££££")),$G85,SUM(MAX(MIN(AJ85-'Input Data'!$BG$3,'Input Data'!$BG$5-'Input Data'!$BG$3),0)*VLOOKUP($G85,'Input Data'!$BI$3:$BL$10,2,FALSE),MAX(MIN(AJ85-'Input Data'!$BG$5,IF(OR($G85="M (under 21)",$G85="Z (under 21 - deferment)"),'Input Data'!$BG$6,IF($G85="H (Apprentice under 25)",'Input Data'!$BG$7,'Input Data'!$BG$8))-'Input Data'!$BG$5),0)*VLOOKUP($G85,'Input Data'!$BI$3:$BL$10,3,FALSE),MAX((AJ85-IF(OR($G85="M (under 21)",$G85="Z (under 21 - deferment)"),'Input Data'!$BG$6,IF($G85="H (Apprentice under 25)",'Input Data'!$BG$7,'Input Data'!$BG$8))),0)*VLOOKUP($G85,'Input Data'!$BI$3:$BL$10,4,FALSE))))</f>
        <v>0</v>
      </c>
      <c r="AS85" s="56">
        <f>AC85*$F85</f>
        <v>0</v>
      </c>
      <c r="AT85" s="56">
        <f>AD85*$F85</f>
        <v>0</v>
      </c>
      <c r="AU85" s="56">
        <f>AE85*$F85</f>
        <v>0</v>
      </c>
      <c r="AV85" s="56">
        <f>AF85*$F85</f>
        <v>0</v>
      </c>
      <c r="AW85" s="56">
        <f>AG85*$F85</f>
        <v>0</v>
      </c>
      <c r="AX85" s="56">
        <f>AH85*$F85</f>
        <v>0</v>
      </c>
      <c r="AY85" s="56">
        <f>AI85*$F85</f>
        <v>0</v>
      </c>
      <c r="AZ85" s="56">
        <f>AJ85*$F85</f>
        <v>0</v>
      </c>
    </row>
    <row r="86" spans="2:52" ht="25.5">
      <c r="B86" s="60"/>
      <c r="C86" s="57" t="s">
        <v>120</v>
      </c>
      <c r="D86" s="58"/>
      <c r="E86" s="58"/>
      <c r="F86" s="535"/>
      <c r="G86" s="693" t="s">
        <v>1149</v>
      </c>
      <c r="H86" s="65"/>
      <c r="I86" s="65"/>
      <c r="J86" s="65"/>
      <c r="K86" s="65"/>
      <c r="L86" s="65"/>
      <c r="M86" s="65"/>
      <c r="N86" s="65"/>
      <c r="O86" s="65"/>
      <c r="P86" s="29"/>
      <c r="Q86" s="597"/>
      <c r="R86" s="61"/>
      <c r="T86" s="43">
        <f>SUM(AC86,AK86,AS86)</f>
        <v>0</v>
      </c>
      <c r="U86" s="43">
        <f>SUM(AD86,AL86,AT86)</f>
        <v>0</v>
      </c>
      <c r="V86" s="43">
        <f>SUM(AE86,AM86,AU86)</f>
        <v>0</v>
      </c>
      <c r="W86" s="43">
        <f>SUM(AF86,AN86,AV86)</f>
        <v>0</v>
      </c>
      <c r="X86" s="43">
        <f>SUM(AG86,AO86,AW86)</f>
        <v>0</v>
      </c>
      <c r="Y86" s="43">
        <f>SUM(AH86,AP86,AX86)</f>
        <v>0</v>
      </c>
      <c r="Z86" s="43">
        <f>SUM(AI86,AQ86,AY86)</f>
        <v>0</v>
      </c>
      <c r="AA86" s="43">
        <f>SUM(AJ86,AR86,AZ86)</f>
        <v>0</v>
      </c>
      <c r="AC86" s="631">
        <f>SUM($D86:$E86)*H86</f>
        <v>0</v>
      </c>
      <c r="AD86" s="631">
        <f>SUM($D86:$E86)*I86</f>
        <v>0</v>
      </c>
      <c r="AE86" s="631">
        <f>SUM($D86:$E86)*J86</f>
        <v>0</v>
      </c>
      <c r="AF86" s="631">
        <f>SUM($D86:$E86)*K86</f>
        <v>0</v>
      </c>
      <c r="AG86" s="631">
        <f>SUM($D86:$E86)*L86</f>
        <v>0</v>
      </c>
      <c r="AH86" s="631">
        <f>SUM($D86:$E86)*M86</f>
        <v>0</v>
      </c>
      <c r="AI86" s="631">
        <f>SUM($D86:$E86)*N86</f>
        <v>0</v>
      </c>
      <c r="AJ86" s="631">
        <f>SUM($D86:$E86)*O86</f>
        <v>0</v>
      </c>
      <c r="AK86" s="56">
        <f>IF($G86="",0,IF(NOT(OR($G86="A - All employees not in groups B, C, J, H, M or Z",$G86="B - Married women and widows entitled to reduced NI",$G86="C - Over the State Pension age",$G86="H - Apprentice under 25",$G86="J – Deferment",$G86="M - Under 21",$G86="Z - Deferment (Under 21)",$G86="Please Enter The NI Cont. in ££££")),$G86,SUM(MAX(MIN(AC86-'Input Data'!$BG$3,'Input Data'!$BG$5-'Input Data'!$BG$3),0)*VLOOKUP($G86,'Input Data'!$BI$3:$BL$10,2,FALSE),MAX(MIN(AC86-'Input Data'!$BG$5,IF(OR($G86="M (under 21)",$G86="Z (under 21 - deferment)"),'Input Data'!$BG$6,IF($G86="H (Apprentice under 25)",'Input Data'!$BG$7,'Input Data'!$BG$8))-'Input Data'!$BG$5),0)*VLOOKUP($G86,'Input Data'!$BI$3:$BL$10,3,FALSE),MAX((AC86-IF(OR($G86="M (under 21)",$G86="Z (under 21 - deferment)"),'Input Data'!$BG$6,IF($G86="H (Apprentice under 25)",'Input Data'!$BG$7,'Input Data'!$BG$8))),0)*VLOOKUP($G86,'Input Data'!$BI$3:$BL$10,4,FALSE))))</f>
        <v>0</v>
      </c>
      <c r="AL86" s="56">
        <f>IF($G86="",0,IF(NOT(OR($G86="A - All employees not in groups B, C, J, H, M or Z",$G86="B - Married women and widows entitled to reduced NI",$G86="C - Over the State Pension age",$G86="H - Apprentice under 25",$G86="J – Deferment",$G86="M - Under 21",$G86="Z - Deferment (Under 21)",$G86="Please Enter The NI Cont. in ££££")),$G86,SUM(MAX(MIN(AD86-'Input Data'!$BG$3,'Input Data'!$BG$5-'Input Data'!$BG$3),0)*VLOOKUP($G86,'Input Data'!$BI$3:$BL$10,2,FALSE),MAX(MIN(AD86-'Input Data'!$BG$5,IF(OR($G86="M (under 21)",$G86="Z (under 21 - deferment)"),'Input Data'!$BG$6,IF($G86="H (Apprentice under 25)",'Input Data'!$BG$7,'Input Data'!$BG$8))-'Input Data'!$BG$5),0)*VLOOKUP($G86,'Input Data'!$BI$3:$BL$10,3,FALSE),MAX((AD86-IF(OR($G86="M (under 21)",$G86="Z (under 21 - deferment)"),'Input Data'!$BG$6,IF($G86="H (Apprentice under 25)",'Input Data'!$BG$7,'Input Data'!$BG$8))),0)*VLOOKUP($G86,'Input Data'!$BI$3:$BL$10,4,FALSE))))</f>
        <v>0</v>
      </c>
      <c r="AM86" s="56">
        <f>IF($G86="",0,IF(NOT(OR($G86="A - All employees not in groups B, C, J, H, M or Z",$G86="B - Married women and widows entitled to reduced NI",$G86="C - Over the State Pension age",$G86="H - Apprentice under 25",$G86="J – Deferment",$G86="M - Under 21",$G86="Z - Deferment (Under 21)",$G86="Please Enter The NI Cont. in ££££")),$G86,SUM(MAX(MIN(AE86-'Input Data'!$BG$3,'Input Data'!$BG$5-'Input Data'!$BG$3),0)*VLOOKUP($G86,'Input Data'!$BI$3:$BL$10,2,FALSE),MAX(MIN(AE86-'Input Data'!$BG$5,IF(OR($G86="M (under 21)",$G86="Z (under 21 - deferment)"),'Input Data'!$BG$6,IF($G86="H (Apprentice under 25)",'Input Data'!$BG$7,'Input Data'!$BG$8))-'Input Data'!$BG$5),0)*VLOOKUP($G86,'Input Data'!$BI$3:$BL$10,3,FALSE),MAX((AE86-IF(OR($G86="M (under 21)",$G86="Z (under 21 - deferment)"),'Input Data'!$BG$6,IF($G86="H (Apprentice under 25)",'Input Data'!$BG$7,'Input Data'!$BG$8))),0)*VLOOKUP($G86,'Input Data'!$BI$3:$BL$10,4,FALSE))))</f>
        <v>0</v>
      </c>
      <c r="AN86" s="56">
        <f>IF($G86="",0,IF(NOT(OR($G86="A - All employees not in groups B, C, J, H, M or Z",$G86="B - Married women and widows entitled to reduced NI",$G86="C - Over the State Pension age",$G86="H - Apprentice under 25",$G86="J – Deferment",$G86="M - Under 21",$G86="Z - Deferment (Under 21)",$G86="Please Enter The NI Cont. in ££££")),$G86,SUM(MAX(MIN(AF86-'Input Data'!$BG$3,'Input Data'!$BG$5-'Input Data'!$BG$3),0)*VLOOKUP($G86,'Input Data'!$BI$3:$BL$10,2,FALSE),MAX(MIN(AF86-'Input Data'!$BG$5,IF(OR($G86="M (under 21)",$G86="Z (under 21 - deferment)"),'Input Data'!$BG$6,IF($G86="H (Apprentice under 25)",'Input Data'!$BG$7,'Input Data'!$BG$8))-'Input Data'!$BG$5),0)*VLOOKUP($G86,'Input Data'!$BI$3:$BL$10,3,FALSE),MAX((AF86-IF(OR($G86="M (under 21)",$G86="Z (under 21 - deferment)"),'Input Data'!$BG$6,IF($G86="H (Apprentice under 25)",'Input Data'!$BG$7,'Input Data'!$BG$8))),0)*VLOOKUP($G86,'Input Data'!$BI$3:$BL$10,4,FALSE))))</f>
        <v>0</v>
      </c>
      <c r="AO86" s="56">
        <f>IF($G86="",0,IF(NOT(OR($G86="A - All employees not in groups B, C, J, H, M or Z",$G86="B - Married women and widows entitled to reduced NI",$G86="C - Over the State Pension age",$G86="H - Apprentice under 25",$G86="J – Deferment",$G86="M - Under 21",$G86="Z - Deferment (Under 21)",$G86="Please Enter The NI Cont. in ££££")),$G86,SUM(MAX(MIN(AG86-'Input Data'!$BG$3,'Input Data'!$BG$5-'Input Data'!$BG$3),0)*VLOOKUP($G86,'Input Data'!$BI$3:$BL$10,2,FALSE),MAX(MIN(AG86-'Input Data'!$BG$5,IF(OR($G86="M (under 21)",$G86="Z (under 21 - deferment)"),'Input Data'!$BG$6,IF($G86="H (Apprentice under 25)",'Input Data'!$BG$7,'Input Data'!$BG$8))-'Input Data'!$BG$5),0)*VLOOKUP($G86,'Input Data'!$BI$3:$BL$10,3,FALSE),MAX((AG86-IF(OR($G86="M (under 21)",$G86="Z (under 21 - deferment)"),'Input Data'!$BG$6,IF($G86="H (Apprentice under 25)",'Input Data'!$BG$7,'Input Data'!$BG$8))),0)*VLOOKUP($G86,'Input Data'!$BI$3:$BL$10,4,FALSE))))</f>
        <v>0</v>
      </c>
      <c r="AP86" s="56">
        <f>IF($G86="",0,IF(NOT(OR($G86="A - All employees not in groups B, C, J, H, M or Z",$G86="B - Married women and widows entitled to reduced NI",$G86="C - Over the State Pension age",$G86="H - Apprentice under 25",$G86="J – Deferment",$G86="M - Under 21",$G86="Z - Deferment (Under 21)",$G86="Please Enter The NI Cont. in ££££")),$G86,SUM(MAX(MIN(AH86-'Input Data'!$BG$3,'Input Data'!$BG$5-'Input Data'!$BG$3),0)*VLOOKUP($G86,'Input Data'!$BI$3:$BL$10,2,FALSE),MAX(MIN(AH86-'Input Data'!$BG$5,IF(OR($G86="M (under 21)",$G86="Z (under 21 - deferment)"),'Input Data'!$BG$6,IF($G86="H (Apprentice under 25)",'Input Data'!$BG$7,'Input Data'!$BG$8))-'Input Data'!$BG$5),0)*VLOOKUP($G86,'Input Data'!$BI$3:$BL$10,3,FALSE),MAX((AH86-IF(OR($G86="M (under 21)",$G86="Z (under 21 - deferment)"),'Input Data'!$BG$6,IF($G86="H (Apprentice under 25)",'Input Data'!$BG$7,'Input Data'!$BG$8))),0)*VLOOKUP($G86,'Input Data'!$BI$3:$BL$10,4,FALSE))))</f>
        <v>0</v>
      </c>
      <c r="AQ86" s="56">
        <f>IF($G86="",0,IF(NOT(OR($G86="A - All employees not in groups B, C, J, H, M or Z",$G86="B - Married women and widows entitled to reduced NI",$G86="C - Over the State Pension age",$G86="H - Apprentice under 25",$G86="J – Deferment",$G86="M - Under 21",$G86="Z - Deferment (Under 21)",$G86="Please Enter The NI Cont. in ££££")),$G86,SUM(MAX(MIN(AI86-'Input Data'!$BG$3,'Input Data'!$BG$5-'Input Data'!$BG$3),0)*VLOOKUP($G86,'Input Data'!$BI$3:$BL$10,2,FALSE),MAX(MIN(AI86-'Input Data'!$BG$5,IF(OR($G86="M (under 21)",$G86="Z (under 21 - deferment)"),'Input Data'!$BG$6,IF($G86="H (Apprentice under 25)",'Input Data'!$BG$7,'Input Data'!$BG$8))-'Input Data'!$BG$5),0)*VLOOKUP($G86,'Input Data'!$BI$3:$BL$10,3,FALSE),MAX((AI86-IF(OR($G86="M (under 21)",$G86="Z (under 21 - deferment)"),'Input Data'!$BG$6,IF($G86="H (Apprentice under 25)",'Input Data'!$BG$7,'Input Data'!$BG$8))),0)*VLOOKUP($G86,'Input Data'!$BI$3:$BL$10,4,FALSE))))</f>
        <v>0</v>
      </c>
      <c r="AR86" s="56">
        <f>IF($G86="",0,IF(NOT(OR($G86="A - All employees not in groups B, C, J, H, M or Z",$G86="B - Married women and widows entitled to reduced NI",$G86="C - Over the State Pension age",$G86="H - Apprentice under 25",$G86="J – Deferment",$G86="M - Under 21",$G86="Z - Deferment (Under 21)",$G86="Please Enter The NI Cont. in ££££")),$G86,SUM(MAX(MIN(AJ86-'Input Data'!$BG$3,'Input Data'!$BG$5-'Input Data'!$BG$3),0)*VLOOKUP($G86,'Input Data'!$BI$3:$BL$10,2,FALSE),MAX(MIN(AJ86-'Input Data'!$BG$5,IF(OR($G86="M (under 21)",$G86="Z (under 21 - deferment)"),'Input Data'!$BG$6,IF($G86="H (Apprentice under 25)",'Input Data'!$BG$7,'Input Data'!$BG$8))-'Input Data'!$BG$5),0)*VLOOKUP($G86,'Input Data'!$BI$3:$BL$10,3,FALSE),MAX((AJ86-IF(OR($G86="M (under 21)",$G86="Z (under 21 - deferment)"),'Input Data'!$BG$6,IF($G86="H (Apprentice under 25)",'Input Data'!$BG$7,'Input Data'!$BG$8))),0)*VLOOKUP($G86,'Input Data'!$BI$3:$BL$10,4,FALSE))))</f>
        <v>0</v>
      </c>
      <c r="AS86" s="56">
        <f>AC86*$F86</f>
        <v>0</v>
      </c>
      <c r="AT86" s="56">
        <f>AD86*$F86</f>
        <v>0</v>
      </c>
      <c r="AU86" s="56">
        <f>AE86*$F86</f>
        <v>0</v>
      </c>
      <c r="AV86" s="56">
        <f>AF86*$F86</f>
        <v>0</v>
      </c>
      <c r="AW86" s="56">
        <f>AG86*$F86</f>
        <v>0</v>
      </c>
      <c r="AX86" s="56">
        <f>AH86*$F86</f>
        <v>0</v>
      </c>
      <c r="AY86" s="56">
        <f>AI86*$F86</f>
        <v>0</v>
      </c>
      <c r="AZ86" s="56">
        <f>AJ86*$F86</f>
        <v>0</v>
      </c>
    </row>
    <row r="87" spans="2:52" ht="25.5">
      <c r="B87" s="60"/>
      <c r="C87" s="57" t="s">
        <v>121</v>
      </c>
      <c r="D87" s="58"/>
      <c r="E87" s="58"/>
      <c r="F87" s="535"/>
      <c r="G87" s="693" t="s">
        <v>1149</v>
      </c>
      <c r="H87" s="65"/>
      <c r="I87" s="65"/>
      <c r="J87" s="65"/>
      <c r="K87" s="65"/>
      <c r="L87" s="65"/>
      <c r="M87" s="65"/>
      <c r="N87" s="65"/>
      <c r="O87" s="65"/>
      <c r="P87" s="29"/>
      <c r="Q87" s="597"/>
      <c r="R87" s="61"/>
      <c r="T87" s="43">
        <f>SUM(AC87,AK87,AS87)</f>
        <v>0</v>
      </c>
      <c r="U87" s="43">
        <f>SUM(AD87,AL87,AT87)</f>
        <v>0</v>
      </c>
      <c r="V87" s="43">
        <f>SUM(AE87,AM87,AU87)</f>
        <v>0</v>
      </c>
      <c r="W87" s="43">
        <f>SUM(AF87,AN87,AV87)</f>
        <v>0</v>
      </c>
      <c r="X87" s="43">
        <f>SUM(AG87,AO87,AW87)</f>
        <v>0</v>
      </c>
      <c r="Y87" s="43">
        <f>SUM(AH87,AP87,AX87)</f>
        <v>0</v>
      </c>
      <c r="Z87" s="43">
        <f>SUM(AI87,AQ87,AY87)</f>
        <v>0</v>
      </c>
      <c r="AA87" s="43">
        <f>SUM(AJ87,AR87,AZ87)</f>
        <v>0</v>
      </c>
      <c r="AC87" s="631">
        <f>SUM($D87:$E87)*H87</f>
        <v>0</v>
      </c>
      <c r="AD87" s="631">
        <f>SUM($D87:$E87)*I87</f>
        <v>0</v>
      </c>
      <c r="AE87" s="631">
        <f>SUM($D87:$E87)*J87</f>
        <v>0</v>
      </c>
      <c r="AF87" s="631">
        <f>SUM($D87:$E87)*K87</f>
        <v>0</v>
      </c>
      <c r="AG87" s="631">
        <f>SUM($D87:$E87)*L87</f>
        <v>0</v>
      </c>
      <c r="AH87" s="631">
        <f>SUM($D87:$E87)*M87</f>
        <v>0</v>
      </c>
      <c r="AI87" s="631">
        <f>SUM($D87:$E87)*N87</f>
        <v>0</v>
      </c>
      <c r="AJ87" s="631">
        <f>SUM($D87:$E87)*O87</f>
        <v>0</v>
      </c>
      <c r="AK87" s="56">
        <f>IF($G87="",0,IF(NOT(OR($G87="A - All employees not in groups B, C, J, H, M or Z",$G87="B - Married women and widows entitled to reduced NI",$G87="C - Over the State Pension age",$G87="H - Apprentice under 25",$G87="J – Deferment",$G87="M - Under 21",$G87="Z - Deferment (Under 21)",$G87="Please Enter The NI Cont. in ££££")),$G87,SUM(MAX(MIN(AC87-'Input Data'!$BG$3,'Input Data'!$BG$5-'Input Data'!$BG$3),0)*VLOOKUP($G87,'Input Data'!$BI$3:$BL$10,2,FALSE),MAX(MIN(AC87-'Input Data'!$BG$5,IF(OR($G87="M (under 21)",$G87="Z (under 21 - deferment)"),'Input Data'!$BG$6,IF($G87="H (Apprentice under 25)",'Input Data'!$BG$7,'Input Data'!$BG$8))-'Input Data'!$BG$5),0)*VLOOKUP($G87,'Input Data'!$BI$3:$BL$10,3,FALSE),MAX((AC87-IF(OR($G87="M (under 21)",$G87="Z (under 21 - deferment)"),'Input Data'!$BG$6,IF($G87="H (Apprentice under 25)",'Input Data'!$BG$7,'Input Data'!$BG$8))),0)*VLOOKUP($G87,'Input Data'!$BI$3:$BL$10,4,FALSE))))</f>
        <v>0</v>
      </c>
      <c r="AL87" s="56">
        <f>IF($G87="",0,IF(NOT(OR($G87="A - All employees not in groups B, C, J, H, M or Z",$G87="B - Married women and widows entitled to reduced NI",$G87="C - Over the State Pension age",$G87="H - Apprentice under 25",$G87="J – Deferment",$G87="M - Under 21",$G87="Z - Deferment (Under 21)",$G87="Please Enter The NI Cont. in ££££")),$G87,SUM(MAX(MIN(AD87-'Input Data'!$BG$3,'Input Data'!$BG$5-'Input Data'!$BG$3),0)*VLOOKUP($G87,'Input Data'!$BI$3:$BL$10,2,FALSE),MAX(MIN(AD87-'Input Data'!$BG$5,IF(OR($G87="M (under 21)",$G87="Z (under 21 - deferment)"),'Input Data'!$BG$6,IF($G87="H (Apprentice under 25)",'Input Data'!$BG$7,'Input Data'!$BG$8))-'Input Data'!$BG$5),0)*VLOOKUP($G87,'Input Data'!$BI$3:$BL$10,3,FALSE),MAX((AD87-IF(OR($G87="M (under 21)",$G87="Z (under 21 - deferment)"),'Input Data'!$BG$6,IF($G87="H (Apprentice under 25)",'Input Data'!$BG$7,'Input Data'!$BG$8))),0)*VLOOKUP($G87,'Input Data'!$BI$3:$BL$10,4,FALSE))))</f>
        <v>0</v>
      </c>
      <c r="AM87" s="56">
        <f>IF($G87="",0,IF(NOT(OR($G87="A - All employees not in groups B, C, J, H, M or Z",$G87="B - Married women and widows entitled to reduced NI",$G87="C - Over the State Pension age",$G87="H - Apprentice under 25",$G87="J – Deferment",$G87="M - Under 21",$G87="Z - Deferment (Under 21)",$G87="Please Enter The NI Cont. in ££££")),$G87,SUM(MAX(MIN(AE87-'Input Data'!$BG$3,'Input Data'!$BG$5-'Input Data'!$BG$3),0)*VLOOKUP($G87,'Input Data'!$BI$3:$BL$10,2,FALSE),MAX(MIN(AE87-'Input Data'!$BG$5,IF(OR($G87="M (under 21)",$G87="Z (under 21 - deferment)"),'Input Data'!$BG$6,IF($G87="H (Apprentice under 25)",'Input Data'!$BG$7,'Input Data'!$BG$8))-'Input Data'!$BG$5),0)*VLOOKUP($G87,'Input Data'!$BI$3:$BL$10,3,FALSE),MAX((AE87-IF(OR($G87="M (under 21)",$G87="Z (under 21 - deferment)"),'Input Data'!$BG$6,IF($G87="H (Apprentice under 25)",'Input Data'!$BG$7,'Input Data'!$BG$8))),0)*VLOOKUP($G87,'Input Data'!$BI$3:$BL$10,4,FALSE))))</f>
        <v>0</v>
      </c>
      <c r="AN87" s="56">
        <f>IF($G87="",0,IF(NOT(OR($G87="A - All employees not in groups B, C, J, H, M or Z",$G87="B - Married women and widows entitled to reduced NI",$G87="C - Over the State Pension age",$G87="H - Apprentice under 25",$G87="J – Deferment",$G87="M - Under 21",$G87="Z - Deferment (Under 21)",$G87="Please Enter The NI Cont. in ££££")),$G87,SUM(MAX(MIN(AF87-'Input Data'!$BG$3,'Input Data'!$BG$5-'Input Data'!$BG$3),0)*VLOOKUP($G87,'Input Data'!$BI$3:$BL$10,2,FALSE),MAX(MIN(AF87-'Input Data'!$BG$5,IF(OR($G87="M (under 21)",$G87="Z (under 21 - deferment)"),'Input Data'!$BG$6,IF($G87="H (Apprentice under 25)",'Input Data'!$BG$7,'Input Data'!$BG$8))-'Input Data'!$BG$5),0)*VLOOKUP($G87,'Input Data'!$BI$3:$BL$10,3,FALSE),MAX((AF87-IF(OR($G87="M (under 21)",$G87="Z (under 21 - deferment)"),'Input Data'!$BG$6,IF($G87="H (Apprentice under 25)",'Input Data'!$BG$7,'Input Data'!$BG$8))),0)*VLOOKUP($G87,'Input Data'!$BI$3:$BL$10,4,FALSE))))</f>
        <v>0</v>
      </c>
      <c r="AO87" s="56">
        <f>IF($G87="",0,IF(NOT(OR($G87="A - All employees not in groups B, C, J, H, M or Z",$G87="B - Married women and widows entitled to reduced NI",$G87="C - Over the State Pension age",$G87="H - Apprentice under 25",$G87="J – Deferment",$G87="M - Under 21",$G87="Z - Deferment (Under 21)",$G87="Please Enter The NI Cont. in ££££")),$G87,SUM(MAX(MIN(AG87-'Input Data'!$BG$3,'Input Data'!$BG$5-'Input Data'!$BG$3),0)*VLOOKUP($G87,'Input Data'!$BI$3:$BL$10,2,FALSE),MAX(MIN(AG87-'Input Data'!$BG$5,IF(OR($G87="M (under 21)",$G87="Z (under 21 - deferment)"),'Input Data'!$BG$6,IF($G87="H (Apprentice under 25)",'Input Data'!$BG$7,'Input Data'!$BG$8))-'Input Data'!$BG$5),0)*VLOOKUP($G87,'Input Data'!$BI$3:$BL$10,3,FALSE),MAX((AG87-IF(OR($G87="M (under 21)",$G87="Z (under 21 - deferment)"),'Input Data'!$BG$6,IF($G87="H (Apprentice under 25)",'Input Data'!$BG$7,'Input Data'!$BG$8))),0)*VLOOKUP($G87,'Input Data'!$BI$3:$BL$10,4,FALSE))))</f>
        <v>0</v>
      </c>
      <c r="AP87" s="56">
        <f>IF($G87="",0,IF(NOT(OR($G87="A - All employees not in groups B, C, J, H, M or Z",$G87="B - Married women and widows entitled to reduced NI",$G87="C - Over the State Pension age",$G87="H - Apprentice under 25",$G87="J – Deferment",$G87="M - Under 21",$G87="Z - Deferment (Under 21)",$G87="Please Enter The NI Cont. in ££££")),$G87,SUM(MAX(MIN(AH87-'Input Data'!$BG$3,'Input Data'!$BG$5-'Input Data'!$BG$3),0)*VLOOKUP($G87,'Input Data'!$BI$3:$BL$10,2,FALSE),MAX(MIN(AH87-'Input Data'!$BG$5,IF(OR($G87="M (under 21)",$G87="Z (under 21 - deferment)"),'Input Data'!$BG$6,IF($G87="H (Apprentice under 25)",'Input Data'!$BG$7,'Input Data'!$BG$8))-'Input Data'!$BG$5),0)*VLOOKUP($G87,'Input Data'!$BI$3:$BL$10,3,FALSE),MAX((AH87-IF(OR($G87="M (under 21)",$G87="Z (under 21 - deferment)"),'Input Data'!$BG$6,IF($G87="H (Apprentice under 25)",'Input Data'!$BG$7,'Input Data'!$BG$8))),0)*VLOOKUP($G87,'Input Data'!$BI$3:$BL$10,4,FALSE))))</f>
        <v>0</v>
      </c>
      <c r="AQ87" s="56">
        <f>IF($G87="",0,IF(NOT(OR($G87="A - All employees not in groups B, C, J, H, M or Z",$G87="B - Married women and widows entitled to reduced NI",$G87="C - Over the State Pension age",$G87="H - Apprentice under 25",$G87="J – Deferment",$G87="M - Under 21",$G87="Z - Deferment (Under 21)",$G87="Please Enter The NI Cont. in ££££")),$G87,SUM(MAX(MIN(AI87-'Input Data'!$BG$3,'Input Data'!$BG$5-'Input Data'!$BG$3),0)*VLOOKUP($G87,'Input Data'!$BI$3:$BL$10,2,FALSE),MAX(MIN(AI87-'Input Data'!$BG$5,IF(OR($G87="M (under 21)",$G87="Z (under 21 - deferment)"),'Input Data'!$BG$6,IF($G87="H (Apprentice under 25)",'Input Data'!$BG$7,'Input Data'!$BG$8))-'Input Data'!$BG$5),0)*VLOOKUP($G87,'Input Data'!$BI$3:$BL$10,3,FALSE),MAX((AI87-IF(OR($G87="M (under 21)",$G87="Z (under 21 - deferment)"),'Input Data'!$BG$6,IF($G87="H (Apprentice under 25)",'Input Data'!$BG$7,'Input Data'!$BG$8))),0)*VLOOKUP($G87,'Input Data'!$BI$3:$BL$10,4,FALSE))))</f>
        <v>0</v>
      </c>
      <c r="AR87" s="56">
        <f>IF($G87="",0,IF(NOT(OR($G87="A - All employees not in groups B, C, J, H, M or Z",$G87="B - Married women and widows entitled to reduced NI",$G87="C - Over the State Pension age",$G87="H - Apprentice under 25",$G87="J – Deferment",$G87="M - Under 21",$G87="Z - Deferment (Under 21)",$G87="Please Enter The NI Cont. in ££££")),$G87,SUM(MAX(MIN(AJ87-'Input Data'!$BG$3,'Input Data'!$BG$5-'Input Data'!$BG$3),0)*VLOOKUP($G87,'Input Data'!$BI$3:$BL$10,2,FALSE),MAX(MIN(AJ87-'Input Data'!$BG$5,IF(OR($G87="M (under 21)",$G87="Z (under 21 - deferment)"),'Input Data'!$BG$6,IF($G87="H (Apprentice under 25)",'Input Data'!$BG$7,'Input Data'!$BG$8))-'Input Data'!$BG$5),0)*VLOOKUP($G87,'Input Data'!$BI$3:$BL$10,3,FALSE),MAX((AJ87-IF(OR($G87="M (under 21)",$G87="Z (under 21 - deferment)"),'Input Data'!$BG$6,IF($G87="H (Apprentice under 25)",'Input Data'!$BG$7,'Input Data'!$BG$8))),0)*VLOOKUP($G87,'Input Data'!$BI$3:$BL$10,4,FALSE))))</f>
        <v>0</v>
      </c>
      <c r="AS87" s="56">
        <f>AC87*$F87</f>
        <v>0</v>
      </c>
      <c r="AT87" s="56">
        <f>AD87*$F87</f>
        <v>0</v>
      </c>
      <c r="AU87" s="56">
        <f>AE87*$F87</f>
        <v>0</v>
      </c>
      <c r="AV87" s="56">
        <f>AF87*$F87</f>
        <v>0</v>
      </c>
      <c r="AW87" s="56">
        <f>AG87*$F87</f>
        <v>0</v>
      </c>
      <c r="AX87" s="56">
        <f>AH87*$F87</f>
        <v>0</v>
      </c>
      <c r="AY87" s="56">
        <f>AI87*$F87</f>
        <v>0</v>
      </c>
      <c r="AZ87" s="56">
        <f>AJ87*$F87</f>
        <v>0</v>
      </c>
    </row>
    <row r="88" spans="2:52" ht="25.5">
      <c r="B88" s="60"/>
      <c r="C88" s="57" t="s">
        <v>122</v>
      </c>
      <c r="D88" s="58"/>
      <c r="E88" s="58"/>
      <c r="F88" s="535"/>
      <c r="G88" s="693" t="s">
        <v>1149</v>
      </c>
      <c r="H88" s="65"/>
      <c r="I88" s="65"/>
      <c r="J88" s="65"/>
      <c r="K88" s="65"/>
      <c r="L88" s="65"/>
      <c r="M88" s="65"/>
      <c r="N88" s="65"/>
      <c r="O88" s="65"/>
      <c r="P88" s="29"/>
      <c r="Q88" s="597"/>
      <c r="R88" s="61"/>
      <c r="T88" s="43">
        <f>SUM(AC88,AK88,AS88)</f>
        <v>0</v>
      </c>
      <c r="U88" s="43">
        <f>SUM(AD88,AL88,AT88)</f>
        <v>0</v>
      </c>
      <c r="V88" s="43">
        <f>SUM(AE88,AM88,AU88)</f>
        <v>0</v>
      </c>
      <c r="W88" s="43">
        <f>SUM(AF88,AN88,AV88)</f>
        <v>0</v>
      </c>
      <c r="X88" s="43">
        <f>SUM(AG88,AO88,AW88)</f>
        <v>0</v>
      </c>
      <c r="Y88" s="43">
        <f>SUM(AH88,AP88,AX88)</f>
        <v>0</v>
      </c>
      <c r="Z88" s="43">
        <f>SUM(AI88,AQ88,AY88)</f>
        <v>0</v>
      </c>
      <c r="AA88" s="43">
        <f>SUM(AJ88,AR88,AZ88)</f>
        <v>0</v>
      </c>
      <c r="AC88" s="631">
        <f>SUM($D88:$E88)*H88</f>
        <v>0</v>
      </c>
      <c r="AD88" s="631">
        <f>SUM($D88:$E88)*I88</f>
        <v>0</v>
      </c>
      <c r="AE88" s="631">
        <f>SUM($D88:$E88)*J88</f>
        <v>0</v>
      </c>
      <c r="AF88" s="631">
        <f>SUM($D88:$E88)*K88</f>
        <v>0</v>
      </c>
      <c r="AG88" s="631">
        <f>SUM($D88:$E88)*L88</f>
        <v>0</v>
      </c>
      <c r="AH88" s="631">
        <f>SUM($D88:$E88)*M88</f>
        <v>0</v>
      </c>
      <c r="AI88" s="631">
        <f>SUM($D88:$E88)*N88</f>
        <v>0</v>
      </c>
      <c r="AJ88" s="631">
        <f>SUM($D88:$E88)*O88</f>
        <v>0</v>
      </c>
      <c r="AK88" s="56">
        <f>IF($G88="",0,IF(NOT(OR($G88="A - All employees not in groups B, C, J, H, M or Z",$G88="B - Married women and widows entitled to reduced NI",$G88="C - Over the State Pension age",$G88="H - Apprentice under 25",$G88="J – Deferment",$G88="M - Under 21",$G88="Z - Deferment (Under 21)",$G88="Please Enter The NI Cont. in ££££")),$G88,SUM(MAX(MIN(AC88-'Input Data'!$BG$3,'Input Data'!$BG$5-'Input Data'!$BG$3),0)*VLOOKUP($G88,'Input Data'!$BI$3:$BL$10,2,FALSE),MAX(MIN(AC88-'Input Data'!$BG$5,IF(OR($G88="M (under 21)",$G88="Z (under 21 - deferment)"),'Input Data'!$BG$6,IF($G88="H (Apprentice under 25)",'Input Data'!$BG$7,'Input Data'!$BG$8))-'Input Data'!$BG$5),0)*VLOOKUP($G88,'Input Data'!$BI$3:$BL$10,3,FALSE),MAX((AC88-IF(OR($G88="M (under 21)",$G88="Z (under 21 - deferment)"),'Input Data'!$BG$6,IF($G88="H (Apprentice under 25)",'Input Data'!$BG$7,'Input Data'!$BG$8))),0)*VLOOKUP($G88,'Input Data'!$BI$3:$BL$10,4,FALSE))))</f>
        <v>0</v>
      </c>
      <c r="AL88" s="56">
        <f>IF($G88="",0,IF(NOT(OR($G88="A - All employees not in groups B, C, J, H, M or Z",$G88="B - Married women and widows entitled to reduced NI",$G88="C - Over the State Pension age",$G88="H - Apprentice under 25",$G88="J – Deferment",$G88="M - Under 21",$G88="Z - Deferment (Under 21)",$G88="Please Enter The NI Cont. in ££££")),$G88,SUM(MAX(MIN(AD88-'Input Data'!$BG$3,'Input Data'!$BG$5-'Input Data'!$BG$3),0)*VLOOKUP($G88,'Input Data'!$BI$3:$BL$10,2,FALSE),MAX(MIN(AD88-'Input Data'!$BG$5,IF(OR($G88="M (under 21)",$G88="Z (under 21 - deferment)"),'Input Data'!$BG$6,IF($G88="H (Apprentice under 25)",'Input Data'!$BG$7,'Input Data'!$BG$8))-'Input Data'!$BG$5),0)*VLOOKUP($G88,'Input Data'!$BI$3:$BL$10,3,FALSE),MAX((AD88-IF(OR($G88="M (under 21)",$G88="Z (under 21 - deferment)"),'Input Data'!$BG$6,IF($G88="H (Apprentice under 25)",'Input Data'!$BG$7,'Input Data'!$BG$8))),0)*VLOOKUP($G88,'Input Data'!$BI$3:$BL$10,4,FALSE))))</f>
        <v>0</v>
      </c>
      <c r="AM88" s="56">
        <f>IF($G88="",0,IF(NOT(OR($G88="A - All employees not in groups B, C, J, H, M or Z",$G88="B - Married women and widows entitled to reduced NI",$G88="C - Over the State Pension age",$G88="H - Apprentice under 25",$G88="J – Deferment",$G88="M - Under 21",$G88="Z - Deferment (Under 21)",$G88="Please Enter The NI Cont. in ££££")),$G88,SUM(MAX(MIN(AE88-'Input Data'!$BG$3,'Input Data'!$BG$5-'Input Data'!$BG$3),0)*VLOOKUP($G88,'Input Data'!$BI$3:$BL$10,2,FALSE),MAX(MIN(AE88-'Input Data'!$BG$5,IF(OR($G88="M (under 21)",$G88="Z (under 21 - deferment)"),'Input Data'!$BG$6,IF($G88="H (Apprentice under 25)",'Input Data'!$BG$7,'Input Data'!$BG$8))-'Input Data'!$BG$5),0)*VLOOKUP($G88,'Input Data'!$BI$3:$BL$10,3,FALSE),MAX((AE88-IF(OR($G88="M (under 21)",$G88="Z (under 21 - deferment)"),'Input Data'!$BG$6,IF($G88="H (Apprentice under 25)",'Input Data'!$BG$7,'Input Data'!$BG$8))),0)*VLOOKUP($G88,'Input Data'!$BI$3:$BL$10,4,FALSE))))</f>
        <v>0</v>
      </c>
      <c r="AN88" s="56">
        <f>IF($G88="",0,IF(NOT(OR($G88="A - All employees not in groups B, C, J, H, M or Z",$G88="B - Married women and widows entitled to reduced NI",$G88="C - Over the State Pension age",$G88="H - Apprentice under 25",$G88="J – Deferment",$G88="M - Under 21",$G88="Z - Deferment (Under 21)",$G88="Please Enter The NI Cont. in ££££")),$G88,SUM(MAX(MIN(AF88-'Input Data'!$BG$3,'Input Data'!$BG$5-'Input Data'!$BG$3),0)*VLOOKUP($G88,'Input Data'!$BI$3:$BL$10,2,FALSE),MAX(MIN(AF88-'Input Data'!$BG$5,IF(OR($G88="M (under 21)",$G88="Z (under 21 - deferment)"),'Input Data'!$BG$6,IF($G88="H (Apprentice under 25)",'Input Data'!$BG$7,'Input Data'!$BG$8))-'Input Data'!$BG$5),0)*VLOOKUP($G88,'Input Data'!$BI$3:$BL$10,3,FALSE),MAX((AF88-IF(OR($G88="M (under 21)",$G88="Z (under 21 - deferment)"),'Input Data'!$BG$6,IF($G88="H (Apprentice under 25)",'Input Data'!$BG$7,'Input Data'!$BG$8))),0)*VLOOKUP($G88,'Input Data'!$BI$3:$BL$10,4,FALSE))))</f>
        <v>0</v>
      </c>
      <c r="AO88" s="56">
        <f>IF($G88="",0,IF(NOT(OR($G88="A - All employees not in groups B, C, J, H, M or Z",$G88="B - Married women and widows entitled to reduced NI",$G88="C - Over the State Pension age",$G88="H - Apprentice under 25",$G88="J – Deferment",$G88="M - Under 21",$G88="Z - Deferment (Under 21)",$G88="Please Enter The NI Cont. in ££££")),$G88,SUM(MAX(MIN(AG88-'Input Data'!$BG$3,'Input Data'!$BG$5-'Input Data'!$BG$3),0)*VLOOKUP($G88,'Input Data'!$BI$3:$BL$10,2,FALSE),MAX(MIN(AG88-'Input Data'!$BG$5,IF(OR($G88="M (under 21)",$G88="Z (under 21 - deferment)"),'Input Data'!$BG$6,IF($G88="H (Apprentice under 25)",'Input Data'!$BG$7,'Input Data'!$BG$8))-'Input Data'!$BG$5),0)*VLOOKUP($G88,'Input Data'!$BI$3:$BL$10,3,FALSE),MAX((AG88-IF(OR($G88="M (under 21)",$G88="Z (under 21 - deferment)"),'Input Data'!$BG$6,IF($G88="H (Apprentice under 25)",'Input Data'!$BG$7,'Input Data'!$BG$8))),0)*VLOOKUP($G88,'Input Data'!$BI$3:$BL$10,4,FALSE))))</f>
        <v>0</v>
      </c>
      <c r="AP88" s="56">
        <f>IF($G88="",0,IF(NOT(OR($G88="A - All employees not in groups B, C, J, H, M or Z",$G88="B - Married women and widows entitled to reduced NI",$G88="C - Over the State Pension age",$G88="H - Apprentice under 25",$G88="J – Deferment",$G88="M - Under 21",$G88="Z - Deferment (Under 21)",$G88="Please Enter The NI Cont. in ££££")),$G88,SUM(MAX(MIN(AH88-'Input Data'!$BG$3,'Input Data'!$BG$5-'Input Data'!$BG$3),0)*VLOOKUP($G88,'Input Data'!$BI$3:$BL$10,2,FALSE),MAX(MIN(AH88-'Input Data'!$BG$5,IF(OR($G88="M (under 21)",$G88="Z (under 21 - deferment)"),'Input Data'!$BG$6,IF($G88="H (Apprentice under 25)",'Input Data'!$BG$7,'Input Data'!$BG$8))-'Input Data'!$BG$5),0)*VLOOKUP($G88,'Input Data'!$BI$3:$BL$10,3,FALSE),MAX((AH88-IF(OR($G88="M (under 21)",$G88="Z (under 21 - deferment)"),'Input Data'!$BG$6,IF($G88="H (Apprentice under 25)",'Input Data'!$BG$7,'Input Data'!$BG$8))),0)*VLOOKUP($G88,'Input Data'!$BI$3:$BL$10,4,FALSE))))</f>
        <v>0</v>
      </c>
      <c r="AQ88" s="56">
        <f>IF($G88="",0,IF(NOT(OR($G88="A - All employees not in groups B, C, J, H, M or Z",$G88="B - Married women and widows entitled to reduced NI",$G88="C - Over the State Pension age",$G88="H - Apprentice under 25",$G88="J – Deferment",$G88="M - Under 21",$G88="Z - Deferment (Under 21)",$G88="Please Enter The NI Cont. in ££££")),$G88,SUM(MAX(MIN(AI88-'Input Data'!$BG$3,'Input Data'!$BG$5-'Input Data'!$BG$3),0)*VLOOKUP($G88,'Input Data'!$BI$3:$BL$10,2,FALSE),MAX(MIN(AI88-'Input Data'!$BG$5,IF(OR($G88="M (under 21)",$G88="Z (under 21 - deferment)"),'Input Data'!$BG$6,IF($G88="H (Apprentice under 25)",'Input Data'!$BG$7,'Input Data'!$BG$8))-'Input Data'!$BG$5),0)*VLOOKUP($G88,'Input Data'!$BI$3:$BL$10,3,FALSE),MAX((AI88-IF(OR($G88="M (under 21)",$G88="Z (under 21 - deferment)"),'Input Data'!$BG$6,IF($G88="H (Apprentice under 25)",'Input Data'!$BG$7,'Input Data'!$BG$8))),0)*VLOOKUP($G88,'Input Data'!$BI$3:$BL$10,4,FALSE))))</f>
        <v>0</v>
      </c>
      <c r="AR88" s="56">
        <f>IF($G88="",0,IF(NOT(OR($G88="A - All employees not in groups B, C, J, H, M or Z",$G88="B - Married women and widows entitled to reduced NI",$G88="C - Over the State Pension age",$G88="H - Apprentice under 25",$G88="J – Deferment",$G88="M - Under 21",$G88="Z - Deferment (Under 21)",$G88="Please Enter The NI Cont. in ££££")),$G88,SUM(MAX(MIN(AJ88-'Input Data'!$BG$3,'Input Data'!$BG$5-'Input Data'!$BG$3),0)*VLOOKUP($G88,'Input Data'!$BI$3:$BL$10,2,FALSE),MAX(MIN(AJ88-'Input Data'!$BG$5,IF(OR($G88="M (under 21)",$G88="Z (under 21 - deferment)"),'Input Data'!$BG$6,IF($G88="H (Apprentice under 25)",'Input Data'!$BG$7,'Input Data'!$BG$8))-'Input Data'!$BG$5),0)*VLOOKUP($G88,'Input Data'!$BI$3:$BL$10,3,FALSE),MAX((AJ88-IF(OR($G88="M (under 21)",$G88="Z (under 21 - deferment)"),'Input Data'!$BG$6,IF($G88="H (Apprentice under 25)",'Input Data'!$BG$7,'Input Data'!$BG$8))),0)*VLOOKUP($G88,'Input Data'!$BI$3:$BL$10,4,FALSE))))</f>
        <v>0</v>
      </c>
      <c r="AS88" s="56">
        <f>AC88*$F88</f>
        <v>0</v>
      </c>
      <c r="AT88" s="56">
        <f>AD88*$F88</f>
        <v>0</v>
      </c>
      <c r="AU88" s="56">
        <f>AE88*$F88</f>
        <v>0</v>
      </c>
      <c r="AV88" s="56">
        <f>AF88*$F88</f>
        <v>0</v>
      </c>
      <c r="AW88" s="56">
        <f>AG88*$F88</f>
        <v>0</v>
      </c>
      <c r="AX88" s="56">
        <f>AH88*$F88</f>
        <v>0</v>
      </c>
      <c r="AY88" s="56">
        <f>AI88*$F88</f>
        <v>0</v>
      </c>
      <c r="AZ88" s="56">
        <f>AJ88*$F88</f>
        <v>0</v>
      </c>
    </row>
    <row r="89" spans="2:52" ht="25.5">
      <c r="B89" s="60"/>
      <c r="C89" s="57" t="s">
        <v>123</v>
      </c>
      <c r="D89" s="58"/>
      <c r="E89" s="58"/>
      <c r="F89" s="535"/>
      <c r="G89" s="693" t="s">
        <v>1149</v>
      </c>
      <c r="H89" s="65"/>
      <c r="I89" s="65"/>
      <c r="J89" s="65"/>
      <c r="K89" s="65"/>
      <c r="L89" s="65"/>
      <c r="M89" s="65"/>
      <c r="N89" s="65"/>
      <c r="O89" s="65"/>
      <c r="P89" s="29"/>
      <c r="Q89" s="597"/>
      <c r="R89" s="61"/>
      <c r="T89" s="43">
        <f>SUM(AC89,AK89,AS89)</f>
        <v>0</v>
      </c>
      <c r="U89" s="43">
        <f>SUM(AD89,AL89,AT89)</f>
        <v>0</v>
      </c>
      <c r="V89" s="43">
        <f>SUM(AE89,AM89,AU89)</f>
        <v>0</v>
      </c>
      <c r="W89" s="43">
        <f>SUM(AF89,AN89,AV89)</f>
        <v>0</v>
      </c>
      <c r="X89" s="43">
        <f>SUM(AG89,AO89,AW89)</f>
        <v>0</v>
      </c>
      <c r="Y89" s="43">
        <f>SUM(AH89,AP89,AX89)</f>
        <v>0</v>
      </c>
      <c r="Z89" s="43">
        <f>SUM(AI89,AQ89,AY89)</f>
        <v>0</v>
      </c>
      <c r="AA89" s="43">
        <f>SUM(AJ89,AR89,AZ89)</f>
        <v>0</v>
      </c>
      <c r="AC89" s="631">
        <f>SUM($D89:$E89)*H89</f>
        <v>0</v>
      </c>
      <c r="AD89" s="631">
        <f>SUM($D89:$E89)*I89</f>
        <v>0</v>
      </c>
      <c r="AE89" s="631">
        <f>SUM($D89:$E89)*J89</f>
        <v>0</v>
      </c>
      <c r="AF89" s="631">
        <f>SUM($D89:$E89)*K89</f>
        <v>0</v>
      </c>
      <c r="AG89" s="631">
        <f>SUM($D89:$E89)*L89</f>
        <v>0</v>
      </c>
      <c r="AH89" s="631">
        <f>SUM($D89:$E89)*M89</f>
        <v>0</v>
      </c>
      <c r="AI89" s="631">
        <f>SUM($D89:$E89)*N89</f>
        <v>0</v>
      </c>
      <c r="AJ89" s="631">
        <f>SUM($D89:$E89)*O89</f>
        <v>0</v>
      </c>
      <c r="AK89" s="56">
        <f>IF($G89="",0,IF(NOT(OR($G89="A - All employees not in groups B, C, J, H, M or Z",$G89="B - Married women and widows entitled to reduced NI",$G89="C - Over the State Pension age",$G89="H - Apprentice under 25",$G89="J – Deferment",$G89="M - Under 21",$G89="Z - Deferment (Under 21)",$G89="Please Enter The NI Cont. in ££££")),$G89,SUM(MAX(MIN(AC89-'Input Data'!$BG$3,'Input Data'!$BG$5-'Input Data'!$BG$3),0)*VLOOKUP($G89,'Input Data'!$BI$3:$BL$10,2,FALSE),MAX(MIN(AC89-'Input Data'!$BG$5,IF(OR($G89="M (under 21)",$G89="Z (under 21 - deferment)"),'Input Data'!$BG$6,IF($G89="H (Apprentice under 25)",'Input Data'!$BG$7,'Input Data'!$BG$8))-'Input Data'!$BG$5),0)*VLOOKUP($G89,'Input Data'!$BI$3:$BL$10,3,FALSE),MAX((AC89-IF(OR($G89="M (under 21)",$G89="Z (under 21 - deferment)"),'Input Data'!$BG$6,IF($G89="H (Apprentice under 25)",'Input Data'!$BG$7,'Input Data'!$BG$8))),0)*VLOOKUP($G89,'Input Data'!$BI$3:$BL$10,4,FALSE))))</f>
        <v>0</v>
      </c>
      <c r="AL89" s="56">
        <f>IF($G89="",0,IF(NOT(OR($G89="A - All employees not in groups B, C, J, H, M or Z",$G89="B - Married women and widows entitled to reduced NI",$G89="C - Over the State Pension age",$G89="H - Apprentice under 25",$G89="J – Deferment",$G89="M - Under 21",$G89="Z - Deferment (Under 21)",$G89="Please Enter The NI Cont. in ££££")),$G89,SUM(MAX(MIN(AD89-'Input Data'!$BG$3,'Input Data'!$BG$5-'Input Data'!$BG$3),0)*VLOOKUP($G89,'Input Data'!$BI$3:$BL$10,2,FALSE),MAX(MIN(AD89-'Input Data'!$BG$5,IF(OR($G89="M (under 21)",$G89="Z (under 21 - deferment)"),'Input Data'!$BG$6,IF($G89="H (Apprentice under 25)",'Input Data'!$BG$7,'Input Data'!$BG$8))-'Input Data'!$BG$5),0)*VLOOKUP($G89,'Input Data'!$BI$3:$BL$10,3,FALSE),MAX((AD89-IF(OR($G89="M (under 21)",$G89="Z (under 21 - deferment)"),'Input Data'!$BG$6,IF($G89="H (Apprentice under 25)",'Input Data'!$BG$7,'Input Data'!$BG$8))),0)*VLOOKUP($G89,'Input Data'!$BI$3:$BL$10,4,FALSE))))</f>
        <v>0</v>
      </c>
      <c r="AM89" s="56">
        <f>IF($G89="",0,IF(NOT(OR($G89="A - All employees not in groups B, C, J, H, M or Z",$G89="B - Married women and widows entitled to reduced NI",$G89="C - Over the State Pension age",$G89="H - Apprentice under 25",$G89="J – Deferment",$G89="M - Under 21",$G89="Z - Deferment (Under 21)",$G89="Please Enter The NI Cont. in ££££")),$G89,SUM(MAX(MIN(AE89-'Input Data'!$BG$3,'Input Data'!$BG$5-'Input Data'!$BG$3),0)*VLOOKUP($G89,'Input Data'!$BI$3:$BL$10,2,FALSE),MAX(MIN(AE89-'Input Data'!$BG$5,IF(OR($G89="M (under 21)",$G89="Z (under 21 - deferment)"),'Input Data'!$BG$6,IF($G89="H (Apprentice under 25)",'Input Data'!$BG$7,'Input Data'!$BG$8))-'Input Data'!$BG$5),0)*VLOOKUP($G89,'Input Data'!$BI$3:$BL$10,3,FALSE),MAX((AE89-IF(OR($G89="M (under 21)",$G89="Z (under 21 - deferment)"),'Input Data'!$BG$6,IF($G89="H (Apprentice under 25)",'Input Data'!$BG$7,'Input Data'!$BG$8))),0)*VLOOKUP($G89,'Input Data'!$BI$3:$BL$10,4,FALSE))))</f>
        <v>0</v>
      </c>
      <c r="AN89" s="56">
        <f>IF($G89="",0,IF(NOT(OR($G89="A - All employees not in groups B, C, J, H, M or Z",$G89="B - Married women and widows entitled to reduced NI",$G89="C - Over the State Pension age",$G89="H - Apprentice under 25",$G89="J – Deferment",$G89="M - Under 21",$G89="Z - Deferment (Under 21)",$G89="Please Enter The NI Cont. in ££££")),$G89,SUM(MAX(MIN(AF89-'Input Data'!$BG$3,'Input Data'!$BG$5-'Input Data'!$BG$3),0)*VLOOKUP($G89,'Input Data'!$BI$3:$BL$10,2,FALSE),MAX(MIN(AF89-'Input Data'!$BG$5,IF(OR($G89="M (under 21)",$G89="Z (under 21 - deferment)"),'Input Data'!$BG$6,IF($G89="H (Apprentice under 25)",'Input Data'!$BG$7,'Input Data'!$BG$8))-'Input Data'!$BG$5),0)*VLOOKUP($G89,'Input Data'!$BI$3:$BL$10,3,FALSE),MAX((AF89-IF(OR($G89="M (under 21)",$G89="Z (under 21 - deferment)"),'Input Data'!$BG$6,IF($G89="H (Apprentice under 25)",'Input Data'!$BG$7,'Input Data'!$BG$8))),0)*VLOOKUP($G89,'Input Data'!$BI$3:$BL$10,4,FALSE))))</f>
        <v>0</v>
      </c>
      <c r="AO89" s="56">
        <f>IF($G89="",0,IF(NOT(OR($G89="A - All employees not in groups B, C, J, H, M or Z",$G89="B - Married women and widows entitled to reduced NI",$G89="C - Over the State Pension age",$G89="H - Apprentice under 25",$G89="J – Deferment",$G89="M - Under 21",$G89="Z - Deferment (Under 21)",$G89="Please Enter The NI Cont. in ££££")),$G89,SUM(MAX(MIN(AG89-'Input Data'!$BG$3,'Input Data'!$BG$5-'Input Data'!$BG$3),0)*VLOOKUP($G89,'Input Data'!$BI$3:$BL$10,2,FALSE),MAX(MIN(AG89-'Input Data'!$BG$5,IF(OR($G89="M (under 21)",$G89="Z (under 21 - deferment)"),'Input Data'!$BG$6,IF($G89="H (Apprentice under 25)",'Input Data'!$BG$7,'Input Data'!$BG$8))-'Input Data'!$BG$5),0)*VLOOKUP($G89,'Input Data'!$BI$3:$BL$10,3,FALSE),MAX((AG89-IF(OR($G89="M (under 21)",$G89="Z (under 21 - deferment)"),'Input Data'!$BG$6,IF($G89="H (Apprentice under 25)",'Input Data'!$BG$7,'Input Data'!$BG$8))),0)*VLOOKUP($G89,'Input Data'!$BI$3:$BL$10,4,FALSE))))</f>
        <v>0</v>
      </c>
      <c r="AP89" s="56">
        <f>IF($G89="",0,IF(NOT(OR($G89="A - All employees not in groups B, C, J, H, M or Z",$G89="B - Married women and widows entitled to reduced NI",$G89="C - Over the State Pension age",$G89="H - Apprentice under 25",$G89="J – Deferment",$G89="M - Under 21",$G89="Z - Deferment (Under 21)",$G89="Please Enter The NI Cont. in ££££")),$G89,SUM(MAX(MIN(AH89-'Input Data'!$BG$3,'Input Data'!$BG$5-'Input Data'!$BG$3),0)*VLOOKUP($G89,'Input Data'!$BI$3:$BL$10,2,FALSE),MAX(MIN(AH89-'Input Data'!$BG$5,IF(OR($G89="M (under 21)",$G89="Z (under 21 - deferment)"),'Input Data'!$BG$6,IF($G89="H (Apprentice under 25)",'Input Data'!$BG$7,'Input Data'!$BG$8))-'Input Data'!$BG$5),0)*VLOOKUP($G89,'Input Data'!$BI$3:$BL$10,3,FALSE),MAX((AH89-IF(OR($G89="M (under 21)",$G89="Z (under 21 - deferment)"),'Input Data'!$BG$6,IF($G89="H (Apprentice under 25)",'Input Data'!$BG$7,'Input Data'!$BG$8))),0)*VLOOKUP($G89,'Input Data'!$BI$3:$BL$10,4,FALSE))))</f>
        <v>0</v>
      </c>
      <c r="AQ89" s="56">
        <f>IF($G89="",0,IF(NOT(OR($G89="A - All employees not in groups B, C, J, H, M or Z",$G89="B - Married women and widows entitled to reduced NI",$G89="C - Over the State Pension age",$G89="H - Apprentice under 25",$G89="J – Deferment",$G89="M - Under 21",$G89="Z - Deferment (Under 21)",$G89="Please Enter The NI Cont. in ££££")),$G89,SUM(MAX(MIN(AI89-'Input Data'!$BG$3,'Input Data'!$BG$5-'Input Data'!$BG$3),0)*VLOOKUP($G89,'Input Data'!$BI$3:$BL$10,2,FALSE),MAX(MIN(AI89-'Input Data'!$BG$5,IF(OR($G89="M (under 21)",$G89="Z (under 21 - deferment)"),'Input Data'!$BG$6,IF($G89="H (Apprentice under 25)",'Input Data'!$BG$7,'Input Data'!$BG$8))-'Input Data'!$BG$5),0)*VLOOKUP($G89,'Input Data'!$BI$3:$BL$10,3,FALSE),MAX((AI89-IF(OR($G89="M (under 21)",$G89="Z (under 21 - deferment)"),'Input Data'!$BG$6,IF($G89="H (Apprentice under 25)",'Input Data'!$BG$7,'Input Data'!$BG$8))),0)*VLOOKUP($G89,'Input Data'!$BI$3:$BL$10,4,FALSE))))</f>
        <v>0</v>
      </c>
      <c r="AR89" s="56">
        <f>IF($G89="",0,IF(NOT(OR($G89="A - All employees not in groups B, C, J, H, M or Z",$G89="B - Married women and widows entitled to reduced NI",$G89="C - Over the State Pension age",$G89="H - Apprentice under 25",$G89="J – Deferment",$G89="M - Under 21",$G89="Z - Deferment (Under 21)",$G89="Please Enter The NI Cont. in ££££")),$G89,SUM(MAX(MIN(AJ89-'Input Data'!$BG$3,'Input Data'!$BG$5-'Input Data'!$BG$3),0)*VLOOKUP($G89,'Input Data'!$BI$3:$BL$10,2,FALSE),MAX(MIN(AJ89-'Input Data'!$BG$5,IF(OR($G89="M (under 21)",$G89="Z (under 21 - deferment)"),'Input Data'!$BG$6,IF($G89="H (Apprentice under 25)",'Input Data'!$BG$7,'Input Data'!$BG$8))-'Input Data'!$BG$5),0)*VLOOKUP($G89,'Input Data'!$BI$3:$BL$10,3,FALSE),MAX((AJ89-IF(OR($G89="M (under 21)",$G89="Z (under 21 - deferment)"),'Input Data'!$BG$6,IF($G89="H (Apprentice under 25)",'Input Data'!$BG$7,'Input Data'!$BG$8))),0)*VLOOKUP($G89,'Input Data'!$BI$3:$BL$10,4,FALSE))))</f>
        <v>0</v>
      </c>
      <c r="AS89" s="56">
        <f>AC89*$F89</f>
        <v>0</v>
      </c>
      <c r="AT89" s="56">
        <f>AD89*$F89</f>
        <v>0</v>
      </c>
      <c r="AU89" s="56">
        <f>AE89*$F89</f>
        <v>0</v>
      </c>
      <c r="AV89" s="56">
        <f>AF89*$F89</f>
        <v>0</v>
      </c>
      <c r="AW89" s="56">
        <f>AG89*$F89</f>
        <v>0</v>
      </c>
      <c r="AX89" s="56">
        <f>AH89*$F89</f>
        <v>0</v>
      </c>
      <c r="AY89" s="56">
        <f>AI89*$F89</f>
        <v>0</v>
      </c>
      <c r="AZ89" s="56">
        <f>AJ89*$F89</f>
        <v>0</v>
      </c>
    </row>
    <row r="90" spans="2:52" ht="25.5">
      <c r="B90" s="60"/>
      <c r="C90" s="57" t="s">
        <v>124</v>
      </c>
      <c r="D90" s="58"/>
      <c r="E90" s="58"/>
      <c r="F90" s="535"/>
      <c r="G90" s="693" t="s">
        <v>1149</v>
      </c>
      <c r="H90" s="65"/>
      <c r="I90" s="65"/>
      <c r="J90" s="65"/>
      <c r="K90" s="65"/>
      <c r="L90" s="65"/>
      <c r="M90" s="65"/>
      <c r="N90" s="65"/>
      <c r="O90" s="65"/>
      <c r="P90" s="29"/>
      <c r="Q90" s="597"/>
      <c r="R90" s="61"/>
      <c r="T90" s="43">
        <f>SUM(AC90,AK90,AS90)</f>
        <v>0</v>
      </c>
      <c r="U90" s="43">
        <f>SUM(AD90,AL90,AT90)</f>
        <v>0</v>
      </c>
      <c r="V90" s="43">
        <f>SUM(AE90,AM90,AU90)</f>
        <v>0</v>
      </c>
      <c r="W90" s="43">
        <f>SUM(AF90,AN90,AV90)</f>
        <v>0</v>
      </c>
      <c r="X90" s="43">
        <f>SUM(AG90,AO90,AW90)</f>
        <v>0</v>
      </c>
      <c r="Y90" s="43">
        <f>SUM(AH90,AP90,AX90)</f>
        <v>0</v>
      </c>
      <c r="Z90" s="43">
        <f>SUM(AI90,AQ90,AY90)</f>
        <v>0</v>
      </c>
      <c r="AA90" s="43">
        <f>SUM(AJ90,AR90,AZ90)</f>
        <v>0</v>
      </c>
      <c r="AC90" s="631">
        <f>SUM($D90:$E90)*H90</f>
        <v>0</v>
      </c>
      <c r="AD90" s="631">
        <f>SUM($D90:$E90)*I90</f>
        <v>0</v>
      </c>
      <c r="AE90" s="631">
        <f>SUM($D90:$E90)*J90</f>
        <v>0</v>
      </c>
      <c r="AF90" s="631">
        <f>SUM($D90:$E90)*K90</f>
        <v>0</v>
      </c>
      <c r="AG90" s="631">
        <f>SUM($D90:$E90)*L90</f>
        <v>0</v>
      </c>
      <c r="AH90" s="631">
        <f>SUM($D90:$E90)*M90</f>
        <v>0</v>
      </c>
      <c r="AI90" s="631">
        <f>SUM($D90:$E90)*N90</f>
        <v>0</v>
      </c>
      <c r="AJ90" s="631">
        <f>SUM($D90:$E90)*O90</f>
        <v>0</v>
      </c>
      <c r="AK90" s="56">
        <f>IF($G90="",0,IF(NOT(OR($G90="A - All employees not in groups B, C, J, H, M or Z",$G90="B - Married women and widows entitled to reduced NI",$G90="C - Over the State Pension age",$G90="H - Apprentice under 25",$G90="J – Deferment",$G90="M - Under 21",$G90="Z - Deferment (Under 21)",$G90="Please Enter The NI Cont. in ££££")),$G90,SUM(MAX(MIN(AC90-'Input Data'!$BG$3,'Input Data'!$BG$5-'Input Data'!$BG$3),0)*VLOOKUP($G90,'Input Data'!$BI$3:$BL$10,2,FALSE),MAX(MIN(AC90-'Input Data'!$BG$5,IF(OR($G90="M (under 21)",$G90="Z (under 21 - deferment)"),'Input Data'!$BG$6,IF($G90="H (Apprentice under 25)",'Input Data'!$BG$7,'Input Data'!$BG$8))-'Input Data'!$BG$5),0)*VLOOKUP($G90,'Input Data'!$BI$3:$BL$10,3,FALSE),MAX((AC90-IF(OR($G90="M (under 21)",$G90="Z (under 21 - deferment)"),'Input Data'!$BG$6,IF($G90="H (Apprentice under 25)",'Input Data'!$BG$7,'Input Data'!$BG$8))),0)*VLOOKUP($G90,'Input Data'!$BI$3:$BL$10,4,FALSE))))</f>
        <v>0</v>
      </c>
      <c r="AL90" s="56">
        <f>IF($G90="",0,IF(NOT(OR($G90="A - All employees not in groups B, C, J, H, M or Z",$G90="B - Married women and widows entitled to reduced NI",$G90="C - Over the State Pension age",$G90="H - Apprentice under 25",$G90="J – Deferment",$G90="M - Under 21",$G90="Z - Deferment (Under 21)",$G90="Please Enter The NI Cont. in ££££")),$G90,SUM(MAX(MIN(AD90-'Input Data'!$BG$3,'Input Data'!$BG$5-'Input Data'!$BG$3),0)*VLOOKUP($G90,'Input Data'!$BI$3:$BL$10,2,FALSE),MAX(MIN(AD90-'Input Data'!$BG$5,IF(OR($G90="M (under 21)",$G90="Z (under 21 - deferment)"),'Input Data'!$BG$6,IF($G90="H (Apprentice under 25)",'Input Data'!$BG$7,'Input Data'!$BG$8))-'Input Data'!$BG$5),0)*VLOOKUP($G90,'Input Data'!$BI$3:$BL$10,3,FALSE),MAX((AD90-IF(OR($G90="M (under 21)",$G90="Z (under 21 - deferment)"),'Input Data'!$BG$6,IF($G90="H (Apprentice under 25)",'Input Data'!$BG$7,'Input Data'!$BG$8))),0)*VLOOKUP($G90,'Input Data'!$BI$3:$BL$10,4,FALSE))))</f>
        <v>0</v>
      </c>
      <c r="AM90" s="56">
        <f>IF($G90="",0,IF(NOT(OR($G90="A - All employees not in groups B, C, J, H, M or Z",$G90="B - Married women and widows entitled to reduced NI",$G90="C - Over the State Pension age",$G90="H - Apprentice under 25",$G90="J – Deferment",$G90="M - Under 21",$G90="Z - Deferment (Under 21)",$G90="Please Enter The NI Cont. in ££££")),$G90,SUM(MAX(MIN(AE90-'Input Data'!$BG$3,'Input Data'!$BG$5-'Input Data'!$BG$3),0)*VLOOKUP($G90,'Input Data'!$BI$3:$BL$10,2,FALSE),MAX(MIN(AE90-'Input Data'!$BG$5,IF(OR($G90="M (under 21)",$G90="Z (under 21 - deferment)"),'Input Data'!$BG$6,IF($G90="H (Apprentice under 25)",'Input Data'!$BG$7,'Input Data'!$BG$8))-'Input Data'!$BG$5),0)*VLOOKUP($G90,'Input Data'!$BI$3:$BL$10,3,FALSE),MAX((AE90-IF(OR($G90="M (under 21)",$G90="Z (under 21 - deferment)"),'Input Data'!$BG$6,IF($G90="H (Apprentice under 25)",'Input Data'!$BG$7,'Input Data'!$BG$8))),0)*VLOOKUP($G90,'Input Data'!$BI$3:$BL$10,4,FALSE))))</f>
        <v>0</v>
      </c>
      <c r="AN90" s="56">
        <f>IF($G90="",0,IF(NOT(OR($G90="A - All employees not in groups B, C, J, H, M or Z",$G90="B - Married women and widows entitled to reduced NI",$G90="C - Over the State Pension age",$G90="H - Apprentice under 25",$G90="J – Deferment",$G90="M - Under 21",$G90="Z - Deferment (Under 21)",$G90="Please Enter The NI Cont. in ££££")),$G90,SUM(MAX(MIN(AF90-'Input Data'!$BG$3,'Input Data'!$BG$5-'Input Data'!$BG$3),0)*VLOOKUP($G90,'Input Data'!$BI$3:$BL$10,2,FALSE),MAX(MIN(AF90-'Input Data'!$BG$5,IF(OR($G90="M (under 21)",$G90="Z (under 21 - deferment)"),'Input Data'!$BG$6,IF($G90="H (Apprentice under 25)",'Input Data'!$BG$7,'Input Data'!$BG$8))-'Input Data'!$BG$5),0)*VLOOKUP($G90,'Input Data'!$BI$3:$BL$10,3,FALSE),MAX((AF90-IF(OR($G90="M (under 21)",$G90="Z (under 21 - deferment)"),'Input Data'!$BG$6,IF($G90="H (Apprentice under 25)",'Input Data'!$BG$7,'Input Data'!$BG$8))),0)*VLOOKUP($G90,'Input Data'!$BI$3:$BL$10,4,FALSE))))</f>
        <v>0</v>
      </c>
      <c r="AO90" s="56">
        <f>IF($G90="",0,IF(NOT(OR($G90="A - All employees not in groups B, C, J, H, M or Z",$G90="B - Married women and widows entitled to reduced NI",$G90="C - Over the State Pension age",$G90="H - Apprentice under 25",$G90="J – Deferment",$G90="M - Under 21",$G90="Z - Deferment (Under 21)",$G90="Please Enter The NI Cont. in ££££")),$G90,SUM(MAX(MIN(AG90-'Input Data'!$BG$3,'Input Data'!$BG$5-'Input Data'!$BG$3),0)*VLOOKUP($G90,'Input Data'!$BI$3:$BL$10,2,FALSE),MAX(MIN(AG90-'Input Data'!$BG$5,IF(OR($G90="M (under 21)",$G90="Z (under 21 - deferment)"),'Input Data'!$BG$6,IF($G90="H (Apprentice under 25)",'Input Data'!$BG$7,'Input Data'!$BG$8))-'Input Data'!$BG$5),0)*VLOOKUP($G90,'Input Data'!$BI$3:$BL$10,3,FALSE),MAX((AG90-IF(OR($G90="M (under 21)",$G90="Z (under 21 - deferment)"),'Input Data'!$BG$6,IF($G90="H (Apprentice under 25)",'Input Data'!$BG$7,'Input Data'!$BG$8))),0)*VLOOKUP($G90,'Input Data'!$BI$3:$BL$10,4,FALSE))))</f>
        <v>0</v>
      </c>
      <c r="AP90" s="56">
        <f>IF($G90="",0,IF(NOT(OR($G90="A - All employees not in groups B, C, J, H, M or Z",$G90="B - Married women and widows entitled to reduced NI",$G90="C - Over the State Pension age",$G90="H - Apprentice under 25",$G90="J – Deferment",$G90="M - Under 21",$G90="Z - Deferment (Under 21)",$G90="Please Enter The NI Cont. in ££££")),$G90,SUM(MAX(MIN(AH90-'Input Data'!$BG$3,'Input Data'!$BG$5-'Input Data'!$BG$3),0)*VLOOKUP($G90,'Input Data'!$BI$3:$BL$10,2,FALSE),MAX(MIN(AH90-'Input Data'!$BG$5,IF(OR($G90="M (under 21)",$G90="Z (under 21 - deferment)"),'Input Data'!$BG$6,IF($G90="H (Apprentice under 25)",'Input Data'!$BG$7,'Input Data'!$BG$8))-'Input Data'!$BG$5),0)*VLOOKUP($G90,'Input Data'!$BI$3:$BL$10,3,FALSE),MAX((AH90-IF(OR($G90="M (under 21)",$G90="Z (under 21 - deferment)"),'Input Data'!$BG$6,IF($G90="H (Apprentice under 25)",'Input Data'!$BG$7,'Input Data'!$BG$8))),0)*VLOOKUP($G90,'Input Data'!$BI$3:$BL$10,4,FALSE))))</f>
        <v>0</v>
      </c>
      <c r="AQ90" s="56">
        <f>IF($G90="",0,IF(NOT(OR($G90="A - All employees not in groups B, C, J, H, M or Z",$G90="B - Married women and widows entitled to reduced NI",$G90="C - Over the State Pension age",$G90="H - Apprentice under 25",$G90="J – Deferment",$G90="M - Under 21",$G90="Z - Deferment (Under 21)",$G90="Please Enter The NI Cont. in ££££")),$G90,SUM(MAX(MIN(AI90-'Input Data'!$BG$3,'Input Data'!$BG$5-'Input Data'!$BG$3),0)*VLOOKUP($G90,'Input Data'!$BI$3:$BL$10,2,FALSE),MAX(MIN(AI90-'Input Data'!$BG$5,IF(OR($G90="M (under 21)",$G90="Z (under 21 - deferment)"),'Input Data'!$BG$6,IF($G90="H (Apprentice under 25)",'Input Data'!$BG$7,'Input Data'!$BG$8))-'Input Data'!$BG$5),0)*VLOOKUP($G90,'Input Data'!$BI$3:$BL$10,3,FALSE),MAX((AI90-IF(OR($G90="M (under 21)",$G90="Z (under 21 - deferment)"),'Input Data'!$BG$6,IF($G90="H (Apprentice under 25)",'Input Data'!$BG$7,'Input Data'!$BG$8))),0)*VLOOKUP($G90,'Input Data'!$BI$3:$BL$10,4,FALSE))))</f>
        <v>0</v>
      </c>
      <c r="AR90" s="56">
        <f>IF($G90="",0,IF(NOT(OR($G90="A - All employees not in groups B, C, J, H, M or Z",$G90="B - Married women and widows entitled to reduced NI",$G90="C - Over the State Pension age",$G90="H - Apprentice under 25",$G90="J – Deferment",$G90="M - Under 21",$G90="Z - Deferment (Under 21)",$G90="Please Enter The NI Cont. in ££££")),$G90,SUM(MAX(MIN(AJ90-'Input Data'!$BG$3,'Input Data'!$BG$5-'Input Data'!$BG$3),0)*VLOOKUP($G90,'Input Data'!$BI$3:$BL$10,2,FALSE),MAX(MIN(AJ90-'Input Data'!$BG$5,IF(OR($G90="M (under 21)",$G90="Z (under 21 - deferment)"),'Input Data'!$BG$6,IF($G90="H (Apprentice under 25)",'Input Data'!$BG$7,'Input Data'!$BG$8))-'Input Data'!$BG$5),0)*VLOOKUP($G90,'Input Data'!$BI$3:$BL$10,3,FALSE),MAX((AJ90-IF(OR($G90="M (under 21)",$G90="Z (under 21 - deferment)"),'Input Data'!$BG$6,IF($G90="H (Apprentice under 25)",'Input Data'!$BG$7,'Input Data'!$BG$8))),0)*VLOOKUP($G90,'Input Data'!$BI$3:$BL$10,4,FALSE))))</f>
        <v>0</v>
      </c>
      <c r="AS90" s="56">
        <f>AC90*$F90</f>
        <v>0</v>
      </c>
      <c r="AT90" s="56">
        <f>AD90*$F90</f>
        <v>0</v>
      </c>
      <c r="AU90" s="56">
        <f>AE90*$F90</f>
        <v>0</v>
      </c>
      <c r="AV90" s="56">
        <f>AF90*$F90</f>
        <v>0</v>
      </c>
      <c r="AW90" s="56">
        <f>AG90*$F90</f>
        <v>0</v>
      </c>
      <c r="AX90" s="56">
        <f>AH90*$F90</f>
        <v>0</v>
      </c>
      <c r="AY90" s="56">
        <f>AI90*$F90</f>
        <v>0</v>
      </c>
      <c r="AZ90" s="56">
        <f>AJ90*$F90</f>
        <v>0</v>
      </c>
    </row>
    <row r="91" spans="2:52" ht="25.5">
      <c r="B91" s="60"/>
      <c r="C91" s="57" t="s">
        <v>125</v>
      </c>
      <c r="D91" s="58"/>
      <c r="E91" s="58"/>
      <c r="F91" s="535"/>
      <c r="G91" s="693" t="s">
        <v>1149</v>
      </c>
      <c r="H91" s="65"/>
      <c r="I91" s="65"/>
      <c r="J91" s="65"/>
      <c r="K91" s="65"/>
      <c r="L91" s="65"/>
      <c r="M91" s="65"/>
      <c r="N91" s="65"/>
      <c r="O91" s="65"/>
      <c r="P91" s="29"/>
      <c r="Q91" s="597"/>
      <c r="R91" s="61"/>
      <c r="T91" s="43">
        <f>SUM(AC91,AK91,AS91)</f>
        <v>0</v>
      </c>
      <c r="U91" s="43">
        <f>SUM(AD91,AL91,AT91)</f>
        <v>0</v>
      </c>
      <c r="V91" s="43">
        <f>SUM(AE91,AM91,AU91)</f>
        <v>0</v>
      </c>
      <c r="W91" s="43">
        <f>SUM(AF91,AN91,AV91)</f>
        <v>0</v>
      </c>
      <c r="X91" s="43">
        <f>SUM(AG91,AO91,AW91)</f>
        <v>0</v>
      </c>
      <c r="Y91" s="43">
        <f>SUM(AH91,AP91,AX91)</f>
        <v>0</v>
      </c>
      <c r="Z91" s="43">
        <f>SUM(AI91,AQ91,AY91)</f>
        <v>0</v>
      </c>
      <c r="AA91" s="43">
        <f>SUM(AJ91,AR91,AZ91)</f>
        <v>0</v>
      </c>
      <c r="AC91" s="631">
        <f>SUM($D91:$E91)*H91</f>
        <v>0</v>
      </c>
      <c r="AD91" s="631">
        <f>SUM($D91:$E91)*I91</f>
        <v>0</v>
      </c>
      <c r="AE91" s="631">
        <f>SUM($D91:$E91)*J91</f>
        <v>0</v>
      </c>
      <c r="AF91" s="631">
        <f>SUM($D91:$E91)*K91</f>
        <v>0</v>
      </c>
      <c r="AG91" s="631">
        <f>SUM($D91:$E91)*L91</f>
        <v>0</v>
      </c>
      <c r="AH91" s="631">
        <f>SUM($D91:$E91)*M91</f>
        <v>0</v>
      </c>
      <c r="AI91" s="631">
        <f>SUM($D91:$E91)*N91</f>
        <v>0</v>
      </c>
      <c r="AJ91" s="631">
        <f>SUM($D91:$E91)*O91</f>
        <v>0</v>
      </c>
      <c r="AK91" s="56">
        <f>IF($G91="",0,IF(NOT(OR($G91="A - All employees not in groups B, C, J, H, M or Z",$G91="B - Married women and widows entitled to reduced NI",$G91="C - Over the State Pension age",$G91="H - Apprentice under 25",$G91="J – Deferment",$G91="M - Under 21",$G91="Z - Deferment (Under 21)",$G91="Please Enter The NI Cont. in ££££")),$G91,SUM(MAX(MIN(AC91-'Input Data'!$BG$3,'Input Data'!$BG$5-'Input Data'!$BG$3),0)*VLOOKUP($G91,'Input Data'!$BI$3:$BL$10,2,FALSE),MAX(MIN(AC91-'Input Data'!$BG$5,IF(OR($G91="M (under 21)",$G91="Z (under 21 - deferment)"),'Input Data'!$BG$6,IF($G91="H (Apprentice under 25)",'Input Data'!$BG$7,'Input Data'!$BG$8))-'Input Data'!$BG$5),0)*VLOOKUP($G91,'Input Data'!$BI$3:$BL$10,3,FALSE),MAX((AC91-IF(OR($G91="M (under 21)",$G91="Z (under 21 - deferment)"),'Input Data'!$BG$6,IF($G91="H (Apprentice under 25)",'Input Data'!$BG$7,'Input Data'!$BG$8))),0)*VLOOKUP($G91,'Input Data'!$BI$3:$BL$10,4,FALSE))))</f>
        <v>0</v>
      </c>
      <c r="AL91" s="56">
        <f>IF($G91="",0,IF(NOT(OR($G91="A - All employees not in groups B, C, J, H, M or Z",$G91="B - Married women and widows entitled to reduced NI",$G91="C - Over the State Pension age",$G91="H - Apprentice under 25",$G91="J – Deferment",$G91="M - Under 21",$G91="Z - Deferment (Under 21)",$G91="Please Enter The NI Cont. in ££££")),$G91,SUM(MAX(MIN(AD91-'Input Data'!$BG$3,'Input Data'!$BG$5-'Input Data'!$BG$3),0)*VLOOKUP($G91,'Input Data'!$BI$3:$BL$10,2,FALSE),MAX(MIN(AD91-'Input Data'!$BG$5,IF(OR($G91="M (under 21)",$G91="Z (under 21 - deferment)"),'Input Data'!$BG$6,IF($G91="H (Apprentice under 25)",'Input Data'!$BG$7,'Input Data'!$BG$8))-'Input Data'!$BG$5),0)*VLOOKUP($G91,'Input Data'!$BI$3:$BL$10,3,FALSE),MAX((AD91-IF(OR($G91="M (under 21)",$G91="Z (under 21 - deferment)"),'Input Data'!$BG$6,IF($G91="H (Apprentice under 25)",'Input Data'!$BG$7,'Input Data'!$BG$8))),0)*VLOOKUP($G91,'Input Data'!$BI$3:$BL$10,4,FALSE))))</f>
        <v>0</v>
      </c>
      <c r="AM91" s="56">
        <f>IF($G91="",0,IF(NOT(OR($G91="A - All employees not in groups B, C, J, H, M or Z",$G91="B - Married women and widows entitled to reduced NI",$G91="C - Over the State Pension age",$G91="H - Apprentice under 25",$G91="J – Deferment",$G91="M - Under 21",$G91="Z - Deferment (Under 21)",$G91="Please Enter The NI Cont. in ££££")),$G91,SUM(MAX(MIN(AE91-'Input Data'!$BG$3,'Input Data'!$BG$5-'Input Data'!$BG$3),0)*VLOOKUP($G91,'Input Data'!$BI$3:$BL$10,2,FALSE),MAX(MIN(AE91-'Input Data'!$BG$5,IF(OR($G91="M (under 21)",$G91="Z (under 21 - deferment)"),'Input Data'!$BG$6,IF($G91="H (Apprentice under 25)",'Input Data'!$BG$7,'Input Data'!$BG$8))-'Input Data'!$BG$5),0)*VLOOKUP($G91,'Input Data'!$BI$3:$BL$10,3,FALSE),MAX((AE91-IF(OR($G91="M (under 21)",$G91="Z (under 21 - deferment)"),'Input Data'!$BG$6,IF($G91="H (Apprentice under 25)",'Input Data'!$BG$7,'Input Data'!$BG$8))),0)*VLOOKUP($G91,'Input Data'!$BI$3:$BL$10,4,FALSE))))</f>
        <v>0</v>
      </c>
      <c r="AN91" s="56">
        <f>IF($G91="",0,IF(NOT(OR($G91="A - All employees not in groups B, C, J, H, M or Z",$G91="B - Married women and widows entitled to reduced NI",$G91="C - Over the State Pension age",$G91="H - Apprentice under 25",$G91="J – Deferment",$G91="M - Under 21",$G91="Z - Deferment (Under 21)",$G91="Please Enter The NI Cont. in ££££")),$G91,SUM(MAX(MIN(AF91-'Input Data'!$BG$3,'Input Data'!$BG$5-'Input Data'!$BG$3),0)*VLOOKUP($G91,'Input Data'!$BI$3:$BL$10,2,FALSE),MAX(MIN(AF91-'Input Data'!$BG$5,IF(OR($G91="M (under 21)",$G91="Z (under 21 - deferment)"),'Input Data'!$BG$6,IF($G91="H (Apprentice under 25)",'Input Data'!$BG$7,'Input Data'!$BG$8))-'Input Data'!$BG$5),0)*VLOOKUP($G91,'Input Data'!$BI$3:$BL$10,3,FALSE),MAX((AF91-IF(OR($G91="M (under 21)",$G91="Z (under 21 - deferment)"),'Input Data'!$BG$6,IF($G91="H (Apprentice under 25)",'Input Data'!$BG$7,'Input Data'!$BG$8))),0)*VLOOKUP($G91,'Input Data'!$BI$3:$BL$10,4,FALSE))))</f>
        <v>0</v>
      </c>
      <c r="AO91" s="56">
        <f>IF($G91="",0,IF(NOT(OR($G91="A - All employees not in groups B, C, J, H, M or Z",$G91="B - Married women and widows entitled to reduced NI",$G91="C - Over the State Pension age",$G91="H - Apprentice under 25",$G91="J – Deferment",$G91="M - Under 21",$G91="Z - Deferment (Under 21)",$G91="Please Enter The NI Cont. in ££££")),$G91,SUM(MAX(MIN(AG91-'Input Data'!$BG$3,'Input Data'!$BG$5-'Input Data'!$BG$3),0)*VLOOKUP($G91,'Input Data'!$BI$3:$BL$10,2,FALSE),MAX(MIN(AG91-'Input Data'!$BG$5,IF(OR($G91="M (under 21)",$G91="Z (under 21 - deferment)"),'Input Data'!$BG$6,IF($G91="H (Apprentice under 25)",'Input Data'!$BG$7,'Input Data'!$BG$8))-'Input Data'!$BG$5),0)*VLOOKUP($G91,'Input Data'!$BI$3:$BL$10,3,FALSE),MAX((AG91-IF(OR($G91="M (under 21)",$G91="Z (under 21 - deferment)"),'Input Data'!$BG$6,IF($G91="H (Apprentice under 25)",'Input Data'!$BG$7,'Input Data'!$BG$8))),0)*VLOOKUP($G91,'Input Data'!$BI$3:$BL$10,4,FALSE))))</f>
        <v>0</v>
      </c>
      <c r="AP91" s="56">
        <f>IF($G91="",0,IF(NOT(OR($G91="A - All employees not in groups B, C, J, H, M or Z",$G91="B - Married women and widows entitled to reduced NI",$G91="C - Over the State Pension age",$G91="H - Apprentice under 25",$G91="J – Deferment",$G91="M - Under 21",$G91="Z - Deferment (Under 21)",$G91="Please Enter The NI Cont. in ££££")),$G91,SUM(MAX(MIN(AH91-'Input Data'!$BG$3,'Input Data'!$BG$5-'Input Data'!$BG$3),0)*VLOOKUP($G91,'Input Data'!$BI$3:$BL$10,2,FALSE),MAX(MIN(AH91-'Input Data'!$BG$5,IF(OR($G91="M (under 21)",$G91="Z (under 21 - deferment)"),'Input Data'!$BG$6,IF($G91="H (Apprentice under 25)",'Input Data'!$BG$7,'Input Data'!$BG$8))-'Input Data'!$BG$5),0)*VLOOKUP($G91,'Input Data'!$BI$3:$BL$10,3,FALSE),MAX((AH91-IF(OR($G91="M (under 21)",$G91="Z (under 21 - deferment)"),'Input Data'!$BG$6,IF($G91="H (Apprentice under 25)",'Input Data'!$BG$7,'Input Data'!$BG$8))),0)*VLOOKUP($G91,'Input Data'!$BI$3:$BL$10,4,FALSE))))</f>
        <v>0</v>
      </c>
      <c r="AQ91" s="56">
        <f>IF($G91="",0,IF(NOT(OR($G91="A - All employees not in groups B, C, J, H, M or Z",$G91="B - Married women and widows entitled to reduced NI",$G91="C - Over the State Pension age",$G91="H - Apprentice under 25",$G91="J – Deferment",$G91="M - Under 21",$G91="Z - Deferment (Under 21)",$G91="Please Enter The NI Cont. in ££££")),$G91,SUM(MAX(MIN(AI91-'Input Data'!$BG$3,'Input Data'!$BG$5-'Input Data'!$BG$3),0)*VLOOKUP($G91,'Input Data'!$BI$3:$BL$10,2,FALSE),MAX(MIN(AI91-'Input Data'!$BG$5,IF(OR($G91="M (under 21)",$G91="Z (under 21 - deferment)"),'Input Data'!$BG$6,IF($G91="H (Apprentice under 25)",'Input Data'!$BG$7,'Input Data'!$BG$8))-'Input Data'!$BG$5),0)*VLOOKUP($G91,'Input Data'!$BI$3:$BL$10,3,FALSE),MAX((AI91-IF(OR($G91="M (under 21)",$G91="Z (under 21 - deferment)"),'Input Data'!$BG$6,IF($G91="H (Apprentice under 25)",'Input Data'!$BG$7,'Input Data'!$BG$8))),0)*VLOOKUP($G91,'Input Data'!$BI$3:$BL$10,4,FALSE))))</f>
        <v>0</v>
      </c>
      <c r="AR91" s="56">
        <f>IF($G91="",0,IF(NOT(OR($G91="A - All employees not in groups B, C, J, H, M or Z",$G91="B - Married women and widows entitled to reduced NI",$G91="C - Over the State Pension age",$G91="H - Apprentice under 25",$G91="J – Deferment",$G91="M - Under 21",$G91="Z - Deferment (Under 21)",$G91="Please Enter The NI Cont. in ££££")),$G91,SUM(MAX(MIN(AJ91-'Input Data'!$BG$3,'Input Data'!$BG$5-'Input Data'!$BG$3),0)*VLOOKUP($G91,'Input Data'!$BI$3:$BL$10,2,FALSE),MAX(MIN(AJ91-'Input Data'!$BG$5,IF(OR($G91="M (under 21)",$G91="Z (under 21 - deferment)"),'Input Data'!$BG$6,IF($G91="H (Apprentice under 25)",'Input Data'!$BG$7,'Input Data'!$BG$8))-'Input Data'!$BG$5),0)*VLOOKUP($G91,'Input Data'!$BI$3:$BL$10,3,FALSE),MAX((AJ91-IF(OR($G91="M (under 21)",$G91="Z (under 21 - deferment)"),'Input Data'!$BG$6,IF($G91="H (Apprentice under 25)",'Input Data'!$BG$7,'Input Data'!$BG$8))),0)*VLOOKUP($G91,'Input Data'!$BI$3:$BL$10,4,FALSE))))</f>
        <v>0</v>
      </c>
      <c r="AS91" s="56">
        <f>AC91*$F91</f>
        <v>0</v>
      </c>
      <c r="AT91" s="56">
        <f>AD91*$F91</f>
        <v>0</v>
      </c>
      <c r="AU91" s="56">
        <f>AE91*$F91</f>
        <v>0</v>
      </c>
      <c r="AV91" s="56">
        <f>AF91*$F91</f>
        <v>0</v>
      </c>
      <c r="AW91" s="56">
        <f>AG91*$F91</f>
        <v>0</v>
      </c>
      <c r="AX91" s="56">
        <f>AH91*$F91</f>
        <v>0</v>
      </c>
      <c r="AY91" s="56">
        <f>AI91*$F91</f>
        <v>0</v>
      </c>
      <c r="AZ91" s="56">
        <f>AJ91*$F91</f>
        <v>0</v>
      </c>
    </row>
    <row r="92" spans="2:52" ht="15">
      <c r="B92" s="60"/>
      <c r="C92" s="33"/>
      <c r="D92" s="33"/>
      <c r="E92" s="33"/>
      <c r="F92" s="33"/>
      <c r="G92" s="34"/>
      <c r="H92" s="53"/>
      <c r="I92" s="53"/>
      <c r="J92" s="53"/>
      <c r="K92" s="53"/>
      <c r="L92" s="53"/>
      <c r="M92" s="53"/>
      <c r="N92" s="53"/>
      <c r="O92" s="53"/>
      <c r="P92" s="26"/>
      <c r="Q92" s="33"/>
      <c r="R92" s="61"/>
      <c r="T92"/>
      <c r="U92"/>
      <c r="V92"/>
      <c r="W92"/>
      <c r="X92"/>
      <c r="Y92"/>
      <c r="Z92"/>
      <c r="AA92"/>
      <c r="AB92"/>
      <c r="AC92"/>
      <c r="AD92"/>
      <c r="AE92"/>
      <c r="AF92"/>
      <c r="AG92"/>
      <c r="AH92"/>
      <c r="AI92"/>
      <c r="AJ92"/>
      <c r="AK92" s="56"/>
      <c r="AL92" s="56"/>
      <c r="AM92" s="56"/>
      <c r="AN92" s="56"/>
      <c r="AO92" s="56"/>
      <c r="AP92" s="56"/>
      <c r="AQ92" s="56"/>
      <c r="AR92" s="56"/>
      <c r="AS92"/>
      <c r="AT92"/>
      <c r="AU92"/>
      <c r="AV92"/>
      <c r="AW92"/>
      <c r="AX92"/>
      <c r="AY92"/>
      <c r="AZ92"/>
    </row>
    <row r="93" spans="2:52" ht="15">
      <c r="B93" s="60"/>
      <c r="C93" s="33"/>
      <c r="D93" s="33"/>
      <c r="E93" s="33"/>
      <c r="F93" s="33"/>
      <c r="G93" s="35" t="s">
        <v>1142</v>
      </c>
      <c r="H93" s="53"/>
      <c r="I93" s="53"/>
      <c r="J93" s="53"/>
      <c r="K93" s="53"/>
      <c r="L93" s="53"/>
      <c r="M93" s="53"/>
      <c r="N93" s="53"/>
      <c r="O93" s="53"/>
      <c r="P93" s="26"/>
      <c r="Q93" s="33"/>
      <c r="R93" s="61"/>
      <c r="T93"/>
      <c r="U93"/>
      <c r="V93"/>
      <c r="W93"/>
      <c r="X93"/>
      <c r="Y93"/>
      <c r="Z93"/>
      <c r="AA93"/>
      <c r="AB93"/>
      <c r="AC93"/>
      <c r="AD93"/>
      <c r="AE93"/>
      <c r="AF93"/>
      <c r="AG93"/>
      <c r="AH93"/>
      <c r="AI93"/>
      <c r="AJ93"/>
      <c r="AK93" s="56"/>
      <c r="AL93" s="56"/>
      <c r="AM93" s="56"/>
      <c r="AN93" s="56"/>
      <c r="AO93" s="56"/>
      <c r="AP93" s="56"/>
      <c r="AQ93" s="56"/>
      <c r="AR93" s="56"/>
      <c r="AS93"/>
      <c r="AT93"/>
      <c r="AU93"/>
      <c r="AV93"/>
      <c r="AW93"/>
      <c r="AX93"/>
      <c r="AY93"/>
      <c r="AZ93"/>
    </row>
    <row r="94" spans="2:52" ht="15">
      <c r="B94" s="60"/>
      <c r="C94" s="33" t="s">
        <v>126</v>
      </c>
      <c r="D94" s="33"/>
      <c r="E94" s="33"/>
      <c r="F94" s="33"/>
      <c r="G94" s="34"/>
      <c r="H94" s="53"/>
      <c r="I94" s="53"/>
      <c r="J94" s="53"/>
      <c r="K94" s="53"/>
      <c r="L94" s="53"/>
      <c r="M94" s="53"/>
      <c r="N94" s="53"/>
      <c r="O94" s="53"/>
      <c r="P94" s="26"/>
      <c r="Q94" s="33"/>
      <c r="R94" s="61"/>
      <c r="T94"/>
      <c r="U94"/>
      <c r="V94"/>
      <c r="W94"/>
      <c r="X94"/>
      <c r="Y94"/>
      <c r="Z94"/>
      <c r="AA94"/>
      <c r="AB94"/>
      <c r="AC94"/>
      <c r="AD94"/>
      <c r="AE94"/>
      <c r="AF94"/>
      <c r="AG94"/>
      <c r="AH94"/>
      <c r="AI94"/>
      <c r="AJ94"/>
      <c r="AK94" s="56"/>
      <c r="AL94" s="56"/>
      <c r="AM94" s="56"/>
      <c r="AN94" s="56"/>
      <c r="AO94" s="56"/>
      <c r="AP94" s="56"/>
      <c r="AQ94" s="56"/>
      <c r="AR94" s="56"/>
      <c r="AS94"/>
      <c r="AT94"/>
      <c r="AU94"/>
      <c r="AV94"/>
      <c r="AW94"/>
      <c r="AX94"/>
      <c r="AY94"/>
      <c r="AZ94"/>
    </row>
    <row r="95" spans="2:52" ht="25.5">
      <c r="B95" s="60"/>
      <c r="C95" s="57" t="s">
        <v>65</v>
      </c>
      <c r="D95" s="58"/>
      <c r="E95" s="58"/>
      <c r="F95" s="535"/>
      <c r="G95" s="693" t="s">
        <v>1149</v>
      </c>
      <c r="H95" s="65"/>
      <c r="I95" s="65"/>
      <c r="J95" s="65"/>
      <c r="K95" s="65"/>
      <c r="L95" s="65"/>
      <c r="M95" s="65"/>
      <c r="N95" s="65"/>
      <c r="O95" s="65"/>
      <c r="P95" s="29"/>
      <c r="Q95" s="597"/>
      <c r="R95" s="61"/>
      <c r="T95" s="43">
        <f>SUM(AC95,AK95,AS95)</f>
        <v>0</v>
      </c>
      <c r="U95" s="43">
        <f>SUM(AD95,AL95,AT95)</f>
        <v>0</v>
      </c>
      <c r="V95" s="43">
        <f>SUM(AE95,AM95,AU95)</f>
        <v>0</v>
      </c>
      <c r="W95" s="43">
        <f>SUM(AF95,AN95,AV95)</f>
        <v>0</v>
      </c>
      <c r="X95" s="43">
        <f>SUM(AG95,AO95,AW95)</f>
        <v>0</v>
      </c>
      <c r="Y95" s="43">
        <f>SUM(AH95,AP95,AX95)</f>
        <v>0</v>
      </c>
      <c r="Z95" s="43">
        <f>SUM(AI95,AQ95,AY95)</f>
        <v>0</v>
      </c>
      <c r="AA95" s="43">
        <f>SUM(AJ95,AR95,AZ95)</f>
        <v>0</v>
      </c>
      <c r="AC95" s="631">
        <f>SUM($D95:$E95)*H95</f>
        <v>0</v>
      </c>
      <c r="AD95" s="631">
        <f>SUM($D95:$E95)*I95</f>
        <v>0</v>
      </c>
      <c r="AE95" s="631">
        <f>SUM($D95:$E95)*J95</f>
        <v>0</v>
      </c>
      <c r="AF95" s="631">
        <f>SUM($D95:$E95)*K95</f>
        <v>0</v>
      </c>
      <c r="AG95" s="631">
        <f>SUM($D95:$E95)*L95</f>
        <v>0</v>
      </c>
      <c r="AH95" s="631">
        <f>SUM($D95:$E95)*M95</f>
        <v>0</v>
      </c>
      <c r="AI95" s="631">
        <f>SUM($D95:$E95)*N95</f>
        <v>0</v>
      </c>
      <c r="AJ95" s="631">
        <f>SUM($D95:$E95)*O95</f>
        <v>0</v>
      </c>
      <c r="AK95" s="56">
        <f>IF($G95="",0,IF(NOT(OR($G95="A - All employees not in groups B, C, J, H, M or Z",$G95="B - Married women and widows entitled to reduced NI",$G95="C - Over the State Pension age",$G95="H - Apprentice under 25",$G95="J – Deferment",$G95="M - Under 21",$G95="Z - Deferment (Under 21)",$G95="Please Enter The NI Cont. in ££££")),$G95,SUM(MAX(MIN(AC95-'Input Data'!$BG$3,'Input Data'!$BG$5-'Input Data'!$BG$3),0)*VLOOKUP($G95,'Input Data'!$BI$3:$BL$10,2,FALSE),MAX(MIN(AC95-'Input Data'!$BG$5,IF(OR($G95="M (under 21)",$G95="Z (under 21 - deferment)"),'Input Data'!$BG$6,IF($G95="H (Apprentice under 25)",'Input Data'!$BG$7,'Input Data'!$BG$8))-'Input Data'!$BG$5),0)*VLOOKUP($G95,'Input Data'!$BI$3:$BL$10,3,FALSE),MAX((AC95-IF(OR($G95="M (under 21)",$G95="Z (under 21 - deferment)"),'Input Data'!$BG$6,IF($G95="H (Apprentice under 25)",'Input Data'!$BG$7,'Input Data'!$BG$8))),0)*VLOOKUP($G95,'Input Data'!$BI$3:$BL$10,4,FALSE))))</f>
        <v>0</v>
      </c>
      <c r="AL95" s="56">
        <f>IF($G95="",0,IF(NOT(OR($G95="A - All employees not in groups B, C, J, H, M or Z",$G95="B - Married women and widows entitled to reduced NI",$G95="C - Over the State Pension age",$G95="H - Apprentice under 25",$G95="J – Deferment",$G95="M - Under 21",$G95="Z - Deferment (Under 21)",$G95="Please Enter The NI Cont. in ££££")),$G95,SUM(MAX(MIN(AD95-'Input Data'!$BG$3,'Input Data'!$BG$5-'Input Data'!$BG$3),0)*VLOOKUP($G95,'Input Data'!$BI$3:$BL$10,2,FALSE),MAX(MIN(AD95-'Input Data'!$BG$5,IF(OR($G95="M (under 21)",$G95="Z (under 21 - deferment)"),'Input Data'!$BG$6,IF($G95="H (Apprentice under 25)",'Input Data'!$BG$7,'Input Data'!$BG$8))-'Input Data'!$BG$5),0)*VLOOKUP($G95,'Input Data'!$BI$3:$BL$10,3,FALSE),MAX((AD95-IF(OR($G95="M (under 21)",$G95="Z (under 21 - deferment)"),'Input Data'!$BG$6,IF($G95="H (Apprentice under 25)",'Input Data'!$BG$7,'Input Data'!$BG$8))),0)*VLOOKUP($G95,'Input Data'!$BI$3:$BL$10,4,FALSE))))</f>
        <v>0</v>
      </c>
      <c r="AM95" s="56">
        <f>IF($G95="",0,IF(NOT(OR($G95="A - All employees not in groups B, C, J, H, M or Z",$G95="B - Married women and widows entitled to reduced NI",$G95="C - Over the State Pension age",$G95="H - Apprentice under 25",$G95="J – Deferment",$G95="M - Under 21",$G95="Z - Deferment (Under 21)",$G95="Please Enter The NI Cont. in ££££")),$G95,SUM(MAX(MIN(AE95-'Input Data'!$BG$3,'Input Data'!$BG$5-'Input Data'!$BG$3),0)*VLOOKUP($G95,'Input Data'!$BI$3:$BL$10,2,FALSE),MAX(MIN(AE95-'Input Data'!$BG$5,IF(OR($G95="M (under 21)",$G95="Z (under 21 - deferment)"),'Input Data'!$BG$6,IF($G95="H (Apprentice under 25)",'Input Data'!$BG$7,'Input Data'!$BG$8))-'Input Data'!$BG$5),0)*VLOOKUP($G95,'Input Data'!$BI$3:$BL$10,3,FALSE),MAX((AE95-IF(OR($G95="M (under 21)",$G95="Z (under 21 - deferment)"),'Input Data'!$BG$6,IF($G95="H (Apprentice under 25)",'Input Data'!$BG$7,'Input Data'!$BG$8))),0)*VLOOKUP($G95,'Input Data'!$BI$3:$BL$10,4,FALSE))))</f>
        <v>0</v>
      </c>
      <c r="AN95" s="56">
        <f>IF($G95="",0,IF(NOT(OR($G95="A - All employees not in groups B, C, J, H, M or Z",$G95="B - Married women and widows entitled to reduced NI",$G95="C - Over the State Pension age",$G95="H - Apprentice under 25",$G95="J – Deferment",$G95="M - Under 21",$G95="Z - Deferment (Under 21)",$G95="Please Enter The NI Cont. in ££££")),$G95,SUM(MAX(MIN(AF95-'Input Data'!$BG$3,'Input Data'!$BG$5-'Input Data'!$BG$3),0)*VLOOKUP($G95,'Input Data'!$BI$3:$BL$10,2,FALSE),MAX(MIN(AF95-'Input Data'!$BG$5,IF(OR($G95="M (under 21)",$G95="Z (under 21 - deferment)"),'Input Data'!$BG$6,IF($G95="H (Apprentice under 25)",'Input Data'!$BG$7,'Input Data'!$BG$8))-'Input Data'!$BG$5),0)*VLOOKUP($G95,'Input Data'!$BI$3:$BL$10,3,FALSE),MAX((AF95-IF(OR($G95="M (under 21)",$G95="Z (under 21 - deferment)"),'Input Data'!$BG$6,IF($G95="H (Apprentice under 25)",'Input Data'!$BG$7,'Input Data'!$BG$8))),0)*VLOOKUP($G95,'Input Data'!$BI$3:$BL$10,4,FALSE))))</f>
        <v>0</v>
      </c>
      <c r="AO95" s="56">
        <f>IF($G95="",0,IF(NOT(OR($G95="A - All employees not in groups B, C, J, H, M or Z",$G95="B - Married women and widows entitled to reduced NI",$G95="C - Over the State Pension age",$G95="H - Apprentice under 25",$G95="J – Deferment",$G95="M - Under 21",$G95="Z - Deferment (Under 21)",$G95="Please Enter The NI Cont. in ££££")),$G95,SUM(MAX(MIN(AG95-'Input Data'!$BG$3,'Input Data'!$BG$5-'Input Data'!$BG$3),0)*VLOOKUP($G95,'Input Data'!$BI$3:$BL$10,2,FALSE),MAX(MIN(AG95-'Input Data'!$BG$5,IF(OR($G95="M (under 21)",$G95="Z (under 21 - deferment)"),'Input Data'!$BG$6,IF($G95="H (Apprentice under 25)",'Input Data'!$BG$7,'Input Data'!$BG$8))-'Input Data'!$BG$5),0)*VLOOKUP($G95,'Input Data'!$BI$3:$BL$10,3,FALSE),MAX((AG95-IF(OR($G95="M (under 21)",$G95="Z (under 21 - deferment)"),'Input Data'!$BG$6,IF($G95="H (Apprentice under 25)",'Input Data'!$BG$7,'Input Data'!$BG$8))),0)*VLOOKUP($G95,'Input Data'!$BI$3:$BL$10,4,FALSE))))</f>
        <v>0</v>
      </c>
      <c r="AP95" s="56">
        <f>IF($G95="",0,IF(NOT(OR($G95="A - All employees not in groups B, C, J, H, M or Z",$G95="B - Married women and widows entitled to reduced NI",$G95="C - Over the State Pension age",$G95="H - Apprentice under 25",$G95="J – Deferment",$G95="M - Under 21",$G95="Z - Deferment (Under 21)",$G95="Please Enter The NI Cont. in ££££")),$G95,SUM(MAX(MIN(AH95-'Input Data'!$BG$3,'Input Data'!$BG$5-'Input Data'!$BG$3),0)*VLOOKUP($G95,'Input Data'!$BI$3:$BL$10,2,FALSE),MAX(MIN(AH95-'Input Data'!$BG$5,IF(OR($G95="M (under 21)",$G95="Z (under 21 - deferment)"),'Input Data'!$BG$6,IF($G95="H (Apprentice under 25)",'Input Data'!$BG$7,'Input Data'!$BG$8))-'Input Data'!$BG$5),0)*VLOOKUP($G95,'Input Data'!$BI$3:$BL$10,3,FALSE),MAX((AH95-IF(OR($G95="M (under 21)",$G95="Z (under 21 - deferment)"),'Input Data'!$BG$6,IF($G95="H (Apprentice under 25)",'Input Data'!$BG$7,'Input Data'!$BG$8))),0)*VLOOKUP($G95,'Input Data'!$BI$3:$BL$10,4,FALSE))))</f>
        <v>0</v>
      </c>
      <c r="AQ95" s="56">
        <f>IF($G95="",0,IF(NOT(OR($G95="A - All employees not in groups B, C, J, H, M or Z",$G95="B - Married women and widows entitled to reduced NI",$G95="C - Over the State Pension age",$G95="H - Apprentice under 25",$G95="J – Deferment",$G95="M - Under 21",$G95="Z - Deferment (Under 21)",$G95="Please Enter The NI Cont. in ££££")),$G95,SUM(MAX(MIN(AI95-'Input Data'!$BG$3,'Input Data'!$BG$5-'Input Data'!$BG$3),0)*VLOOKUP($G95,'Input Data'!$BI$3:$BL$10,2,FALSE),MAX(MIN(AI95-'Input Data'!$BG$5,IF(OR($G95="M (under 21)",$G95="Z (under 21 - deferment)"),'Input Data'!$BG$6,IF($G95="H (Apprentice under 25)",'Input Data'!$BG$7,'Input Data'!$BG$8))-'Input Data'!$BG$5),0)*VLOOKUP($G95,'Input Data'!$BI$3:$BL$10,3,FALSE),MAX((AI95-IF(OR($G95="M (under 21)",$G95="Z (under 21 - deferment)"),'Input Data'!$BG$6,IF($G95="H (Apprentice under 25)",'Input Data'!$BG$7,'Input Data'!$BG$8))),0)*VLOOKUP($G95,'Input Data'!$BI$3:$BL$10,4,FALSE))))</f>
        <v>0</v>
      </c>
      <c r="AR95" s="56">
        <f>IF($G95="",0,IF(NOT(OR($G95="A - All employees not in groups B, C, J, H, M or Z",$G95="B - Married women and widows entitled to reduced NI",$G95="C - Over the State Pension age",$G95="H - Apprentice under 25",$G95="J – Deferment",$G95="M - Under 21",$G95="Z - Deferment (Under 21)",$G95="Please Enter The NI Cont. in ££££")),$G95,SUM(MAX(MIN(AJ95-'Input Data'!$BG$3,'Input Data'!$BG$5-'Input Data'!$BG$3),0)*VLOOKUP($G95,'Input Data'!$BI$3:$BL$10,2,FALSE),MAX(MIN(AJ95-'Input Data'!$BG$5,IF(OR($G95="M (under 21)",$G95="Z (under 21 - deferment)"),'Input Data'!$BG$6,IF($G95="H (Apprentice under 25)",'Input Data'!$BG$7,'Input Data'!$BG$8))-'Input Data'!$BG$5),0)*VLOOKUP($G95,'Input Data'!$BI$3:$BL$10,3,FALSE),MAX((AJ95-IF(OR($G95="M (under 21)",$G95="Z (under 21 - deferment)"),'Input Data'!$BG$6,IF($G95="H (Apprentice under 25)",'Input Data'!$BG$7,'Input Data'!$BG$8))),0)*VLOOKUP($G95,'Input Data'!$BI$3:$BL$10,4,FALSE))))</f>
        <v>0</v>
      </c>
      <c r="AS95" s="56">
        <f>AC95*$F95</f>
        <v>0</v>
      </c>
      <c r="AT95" s="56">
        <f>AD95*$F95</f>
        <v>0</v>
      </c>
      <c r="AU95" s="56">
        <f>AE95*$F95</f>
        <v>0</v>
      </c>
      <c r="AV95" s="56">
        <f>AF95*$F95</f>
        <v>0</v>
      </c>
      <c r="AW95" s="56">
        <f>AG95*$F95</f>
        <v>0</v>
      </c>
      <c r="AX95" s="56">
        <f>AH95*$F95</f>
        <v>0</v>
      </c>
      <c r="AY95" s="56">
        <f>AI95*$F95</f>
        <v>0</v>
      </c>
      <c r="AZ95" s="56">
        <f>AJ95*$F95</f>
        <v>0</v>
      </c>
    </row>
    <row r="96" spans="2:52" ht="25.5">
      <c r="B96" s="60"/>
      <c r="C96" s="57" t="s">
        <v>66</v>
      </c>
      <c r="D96" s="58"/>
      <c r="E96" s="58"/>
      <c r="F96" s="535"/>
      <c r="G96" s="693" t="s">
        <v>1149</v>
      </c>
      <c r="H96" s="65"/>
      <c r="I96" s="65"/>
      <c r="J96" s="65"/>
      <c r="K96" s="65"/>
      <c r="L96" s="65"/>
      <c r="M96" s="65"/>
      <c r="N96" s="65"/>
      <c r="O96" s="65"/>
      <c r="P96" s="29"/>
      <c r="Q96" s="597"/>
      <c r="R96" s="61"/>
      <c r="T96" s="43">
        <f>SUM(AC96,AK96,AS96)</f>
        <v>0</v>
      </c>
      <c r="U96" s="43">
        <f>SUM(AD96,AL96,AT96)</f>
        <v>0</v>
      </c>
      <c r="V96" s="43">
        <f>SUM(AE96,AM96,AU96)</f>
        <v>0</v>
      </c>
      <c r="W96" s="43">
        <f>SUM(AF96,AN96,AV96)</f>
        <v>0</v>
      </c>
      <c r="X96" s="43">
        <f>SUM(AG96,AO96,AW96)</f>
        <v>0</v>
      </c>
      <c r="Y96" s="43">
        <f>SUM(AH96,AP96,AX96)</f>
        <v>0</v>
      </c>
      <c r="Z96" s="43">
        <f>SUM(AI96,AQ96,AY96)</f>
        <v>0</v>
      </c>
      <c r="AA96" s="43">
        <f>SUM(AJ96,AR96,AZ96)</f>
        <v>0</v>
      </c>
      <c r="AC96" s="631">
        <f>SUM($D96:$E96)*H96</f>
        <v>0</v>
      </c>
      <c r="AD96" s="631">
        <f>SUM($D96:$E96)*I96</f>
        <v>0</v>
      </c>
      <c r="AE96" s="631">
        <f>SUM($D96:$E96)*J96</f>
        <v>0</v>
      </c>
      <c r="AF96" s="631">
        <f>SUM($D96:$E96)*K96</f>
        <v>0</v>
      </c>
      <c r="AG96" s="631">
        <f>SUM($D96:$E96)*L96</f>
        <v>0</v>
      </c>
      <c r="AH96" s="631">
        <f>SUM($D96:$E96)*M96</f>
        <v>0</v>
      </c>
      <c r="AI96" s="631">
        <f>SUM($D96:$E96)*N96</f>
        <v>0</v>
      </c>
      <c r="AJ96" s="631">
        <f>SUM($D96:$E96)*O96</f>
        <v>0</v>
      </c>
      <c r="AK96" s="56">
        <f>IF($G96="",0,IF(NOT(OR($G96="A - All employees not in groups B, C, J, H, M or Z",$G96="B - Married women and widows entitled to reduced NI",$G96="C - Over the State Pension age",$G96="H - Apprentice under 25",$G96="J – Deferment",$G96="M - Under 21",$G96="Z - Deferment (Under 21)",$G96="Please Enter The NI Cont. in ££££")),$G96,SUM(MAX(MIN(AC96-'Input Data'!$BG$3,'Input Data'!$BG$5-'Input Data'!$BG$3),0)*VLOOKUP($G96,'Input Data'!$BI$3:$BL$10,2,FALSE),MAX(MIN(AC96-'Input Data'!$BG$5,IF(OR($G96="M (under 21)",$G96="Z (under 21 - deferment)"),'Input Data'!$BG$6,IF($G96="H (Apprentice under 25)",'Input Data'!$BG$7,'Input Data'!$BG$8))-'Input Data'!$BG$5),0)*VLOOKUP($G96,'Input Data'!$BI$3:$BL$10,3,FALSE),MAX((AC96-IF(OR($G96="M (under 21)",$G96="Z (under 21 - deferment)"),'Input Data'!$BG$6,IF($G96="H (Apprentice under 25)",'Input Data'!$BG$7,'Input Data'!$BG$8))),0)*VLOOKUP($G96,'Input Data'!$BI$3:$BL$10,4,FALSE))))</f>
        <v>0</v>
      </c>
      <c r="AL96" s="56">
        <f>IF($G96="",0,IF(NOT(OR($G96="A - All employees not in groups B, C, J, H, M or Z",$G96="B - Married women and widows entitled to reduced NI",$G96="C - Over the State Pension age",$G96="H - Apprentice under 25",$G96="J – Deferment",$G96="M - Under 21",$G96="Z - Deferment (Under 21)",$G96="Please Enter The NI Cont. in ££££")),$G96,SUM(MAX(MIN(AD96-'Input Data'!$BG$3,'Input Data'!$BG$5-'Input Data'!$BG$3),0)*VLOOKUP($G96,'Input Data'!$BI$3:$BL$10,2,FALSE),MAX(MIN(AD96-'Input Data'!$BG$5,IF(OR($G96="M (under 21)",$G96="Z (under 21 - deferment)"),'Input Data'!$BG$6,IF($G96="H (Apprentice under 25)",'Input Data'!$BG$7,'Input Data'!$BG$8))-'Input Data'!$BG$5),0)*VLOOKUP($G96,'Input Data'!$BI$3:$BL$10,3,FALSE),MAX((AD96-IF(OR($G96="M (under 21)",$G96="Z (under 21 - deferment)"),'Input Data'!$BG$6,IF($G96="H (Apprentice under 25)",'Input Data'!$BG$7,'Input Data'!$BG$8))),0)*VLOOKUP($G96,'Input Data'!$BI$3:$BL$10,4,FALSE))))</f>
        <v>0</v>
      </c>
      <c r="AM96" s="56">
        <f>IF($G96="",0,IF(NOT(OR($G96="A - All employees not in groups B, C, J, H, M or Z",$G96="B - Married women and widows entitled to reduced NI",$G96="C - Over the State Pension age",$G96="H - Apprentice under 25",$G96="J – Deferment",$G96="M - Under 21",$G96="Z - Deferment (Under 21)",$G96="Please Enter The NI Cont. in ££££")),$G96,SUM(MAX(MIN(AE96-'Input Data'!$BG$3,'Input Data'!$BG$5-'Input Data'!$BG$3),0)*VLOOKUP($G96,'Input Data'!$BI$3:$BL$10,2,FALSE),MAX(MIN(AE96-'Input Data'!$BG$5,IF(OR($G96="M (under 21)",$G96="Z (under 21 - deferment)"),'Input Data'!$BG$6,IF($G96="H (Apprentice under 25)",'Input Data'!$BG$7,'Input Data'!$BG$8))-'Input Data'!$BG$5),0)*VLOOKUP($G96,'Input Data'!$BI$3:$BL$10,3,FALSE),MAX((AE96-IF(OR($G96="M (under 21)",$G96="Z (under 21 - deferment)"),'Input Data'!$BG$6,IF($G96="H (Apprentice under 25)",'Input Data'!$BG$7,'Input Data'!$BG$8))),0)*VLOOKUP($G96,'Input Data'!$BI$3:$BL$10,4,FALSE))))</f>
        <v>0</v>
      </c>
      <c r="AN96" s="56">
        <f>IF($G96="",0,IF(NOT(OR($G96="A - All employees not in groups B, C, J, H, M or Z",$G96="B - Married women and widows entitled to reduced NI",$G96="C - Over the State Pension age",$G96="H - Apprentice under 25",$G96="J – Deferment",$G96="M - Under 21",$G96="Z - Deferment (Under 21)",$G96="Please Enter The NI Cont. in ££££")),$G96,SUM(MAX(MIN(AF96-'Input Data'!$BG$3,'Input Data'!$BG$5-'Input Data'!$BG$3),0)*VLOOKUP($G96,'Input Data'!$BI$3:$BL$10,2,FALSE),MAX(MIN(AF96-'Input Data'!$BG$5,IF(OR($G96="M (under 21)",$G96="Z (under 21 - deferment)"),'Input Data'!$BG$6,IF($G96="H (Apprentice under 25)",'Input Data'!$BG$7,'Input Data'!$BG$8))-'Input Data'!$BG$5),0)*VLOOKUP($G96,'Input Data'!$BI$3:$BL$10,3,FALSE),MAX((AF96-IF(OR($G96="M (under 21)",$G96="Z (under 21 - deferment)"),'Input Data'!$BG$6,IF($G96="H (Apprentice under 25)",'Input Data'!$BG$7,'Input Data'!$BG$8))),0)*VLOOKUP($G96,'Input Data'!$BI$3:$BL$10,4,FALSE))))</f>
        <v>0</v>
      </c>
      <c r="AO96" s="56">
        <f>IF($G96="",0,IF(NOT(OR($G96="A - All employees not in groups B, C, J, H, M or Z",$G96="B - Married women and widows entitled to reduced NI",$G96="C - Over the State Pension age",$G96="H - Apprentice under 25",$G96="J – Deferment",$G96="M - Under 21",$G96="Z - Deferment (Under 21)",$G96="Please Enter The NI Cont. in ££££")),$G96,SUM(MAX(MIN(AG96-'Input Data'!$BG$3,'Input Data'!$BG$5-'Input Data'!$BG$3),0)*VLOOKUP($G96,'Input Data'!$BI$3:$BL$10,2,FALSE),MAX(MIN(AG96-'Input Data'!$BG$5,IF(OR($G96="M (under 21)",$G96="Z (under 21 - deferment)"),'Input Data'!$BG$6,IF($G96="H (Apprentice under 25)",'Input Data'!$BG$7,'Input Data'!$BG$8))-'Input Data'!$BG$5),0)*VLOOKUP($G96,'Input Data'!$BI$3:$BL$10,3,FALSE),MAX((AG96-IF(OR($G96="M (under 21)",$G96="Z (under 21 - deferment)"),'Input Data'!$BG$6,IF($G96="H (Apprentice under 25)",'Input Data'!$BG$7,'Input Data'!$BG$8))),0)*VLOOKUP($G96,'Input Data'!$BI$3:$BL$10,4,FALSE))))</f>
        <v>0</v>
      </c>
      <c r="AP96" s="56">
        <f>IF($G96="",0,IF(NOT(OR($G96="A - All employees not in groups B, C, J, H, M or Z",$G96="B - Married women and widows entitled to reduced NI",$G96="C - Over the State Pension age",$G96="H - Apprentice under 25",$G96="J – Deferment",$G96="M - Under 21",$G96="Z - Deferment (Under 21)",$G96="Please Enter The NI Cont. in ££££")),$G96,SUM(MAX(MIN(AH96-'Input Data'!$BG$3,'Input Data'!$BG$5-'Input Data'!$BG$3),0)*VLOOKUP($G96,'Input Data'!$BI$3:$BL$10,2,FALSE),MAX(MIN(AH96-'Input Data'!$BG$5,IF(OR($G96="M (under 21)",$G96="Z (under 21 - deferment)"),'Input Data'!$BG$6,IF($G96="H (Apprentice under 25)",'Input Data'!$BG$7,'Input Data'!$BG$8))-'Input Data'!$BG$5),0)*VLOOKUP($G96,'Input Data'!$BI$3:$BL$10,3,FALSE),MAX((AH96-IF(OR($G96="M (under 21)",$G96="Z (under 21 - deferment)"),'Input Data'!$BG$6,IF($G96="H (Apprentice under 25)",'Input Data'!$BG$7,'Input Data'!$BG$8))),0)*VLOOKUP($G96,'Input Data'!$BI$3:$BL$10,4,FALSE))))</f>
        <v>0</v>
      </c>
      <c r="AQ96" s="56">
        <f>IF($G96="",0,IF(NOT(OR($G96="A - All employees not in groups B, C, J, H, M or Z",$G96="B - Married women and widows entitled to reduced NI",$G96="C - Over the State Pension age",$G96="H - Apprentice under 25",$G96="J – Deferment",$G96="M - Under 21",$G96="Z - Deferment (Under 21)",$G96="Please Enter The NI Cont. in ££££")),$G96,SUM(MAX(MIN(AI96-'Input Data'!$BG$3,'Input Data'!$BG$5-'Input Data'!$BG$3),0)*VLOOKUP($G96,'Input Data'!$BI$3:$BL$10,2,FALSE),MAX(MIN(AI96-'Input Data'!$BG$5,IF(OR($G96="M (under 21)",$G96="Z (under 21 - deferment)"),'Input Data'!$BG$6,IF($G96="H (Apprentice under 25)",'Input Data'!$BG$7,'Input Data'!$BG$8))-'Input Data'!$BG$5),0)*VLOOKUP($G96,'Input Data'!$BI$3:$BL$10,3,FALSE),MAX((AI96-IF(OR($G96="M (under 21)",$G96="Z (under 21 - deferment)"),'Input Data'!$BG$6,IF($G96="H (Apprentice under 25)",'Input Data'!$BG$7,'Input Data'!$BG$8))),0)*VLOOKUP($G96,'Input Data'!$BI$3:$BL$10,4,FALSE))))</f>
        <v>0</v>
      </c>
      <c r="AR96" s="56">
        <f>IF($G96="",0,IF(NOT(OR($G96="A - All employees not in groups B, C, J, H, M or Z",$G96="B - Married women and widows entitled to reduced NI",$G96="C - Over the State Pension age",$G96="H - Apprentice under 25",$G96="J – Deferment",$G96="M - Under 21",$G96="Z - Deferment (Under 21)",$G96="Please Enter The NI Cont. in ££££")),$G96,SUM(MAX(MIN(AJ96-'Input Data'!$BG$3,'Input Data'!$BG$5-'Input Data'!$BG$3),0)*VLOOKUP($G96,'Input Data'!$BI$3:$BL$10,2,FALSE),MAX(MIN(AJ96-'Input Data'!$BG$5,IF(OR($G96="M (under 21)",$G96="Z (under 21 - deferment)"),'Input Data'!$BG$6,IF($G96="H (Apprentice under 25)",'Input Data'!$BG$7,'Input Data'!$BG$8))-'Input Data'!$BG$5),0)*VLOOKUP($G96,'Input Data'!$BI$3:$BL$10,3,FALSE),MAX((AJ96-IF(OR($G96="M (under 21)",$G96="Z (under 21 - deferment)"),'Input Data'!$BG$6,IF($G96="H (Apprentice under 25)",'Input Data'!$BG$7,'Input Data'!$BG$8))),0)*VLOOKUP($G96,'Input Data'!$BI$3:$BL$10,4,FALSE))))</f>
        <v>0</v>
      </c>
      <c r="AS96" s="56">
        <f>AC96*$F96</f>
        <v>0</v>
      </c>
      <c r="AT96" s="56">
        <f>AD96*$F96</f>
        <v>0</v>
      </c>
      <c r="AU96" s="56">
        <f>AE96*$F96</f>
        <v>0</v>
      </c>
      <c r="AV96" s="56">
        <f>AF96*$F96</f>
        <v>0</v>
      </c>
      <c r="AW96" s="56">
        <f>AG96*$F96</f>
        <v>0</v>
      </c>
      <c r="AX96" s="56">
        <f>AH96*$F96</f>
        <v>0</v>
      </c>
      <c r="AY96" s="56">
        <f>AI96*$F96</f>
        <v>0</v>
      </c>
      <c r="AZ96" s="56">
        <f>AJ96*$F96</f>
        <v>0</v>
      </c>
    </row>
    <row r="97" spans="2:52" ht="25.5">
      <c r="B97" s="60"/>
      <c r="C97" s="57" t="s">
        <v>67</v>
      </c>
      <c r="D97" s="58"/>
      <c r="E97" s="58"/>
      <c r="F97" s="535"/>
      <c r="G97" s="693" t="s">
        <v>1149</v>
      </c>
      <c r="H97" s="65"/>
      <c r="I97" s="65"/>
      <c r="J97" s="65"/>
      <c r="K97" s="65"/>
      <c r="L97" s="65"/>
      <c r="M97" s="65"/>
      <c r="N97" s="65"/>
      <c r="O97" s="65"/>
      <c r="P97" s="29"/>
      <c r="Q97" s="597"/>
      <c r="R97" s="61"/>
      <c r="T97" s="43">
        <f>SUM(AC97,AK97,AS97)</f>
        <v>0</v>
      </c>
      <c r="U97" s="43">
        <f>SUM(AD97,AL97,AT97)</f>
        <v>0</v>
      </c>
      <c r="V97" s="43">
        <f>SUM(AE97,AM97,AU97)</f>
        <v>0</v>
      </c>
      <c r="W97" s="43">
        <f>SUM(AF97,AN97,AV97)</f>
        <v>0</v>
      </c>
      <c r="X97" s="43">
        <f>SUM(AG97,AO97,AW97)</f>
        <v>0</v>
      </c>
      <c r="Y97" s="43">
        <f>SUM(AH97,AP97,AX97)</f>
        <v>0</v>
      </c>
      <c r="Z97" s="43">
        <f>SUM(AI97,AQ97,AY97)</f>
        <v>0</v>
      </c>
      <c r="AA97" s="43">
        <f>SUM(AJ97,AR97,AZ97)</f>
        <v>0</v>
      </c>
      <c r="AC97" s="631">
        <f>SUM($D97:$E97)*H97</f>
        <v>0</v>
      </c>
      <c r="AD97" s="631">
        <f>SUM($D97:$E97)*I97</f>
        <v>0</v>
      </c>
      <c r="AE97" s="631">
        <f>SUM($D97:$E97)*J97</f>
        <v>0</v>
      </c>
      <c r="AF97" s="631">
        <f>SUM($D97:$E97)*K97</f>
        <v>0</v>
      </c>
      <c r="AG97" s="631">
        <f>SUM($D97:$E97)*L97</f>
        <v>0</v>
      </c>
      <c r="AH97" s="631">
        <f>SUM($D97:$E97)*M97</f>
        <v>0</v>
      </c>
      <c r="AI97" s="631">
        <f>SUM($D97:$E97)*N97</f>
        <v>0</v>
      </c>
      <c r="AJ97" s="631">
        <f>SUM($D97:$E97)*O97</f>
        <v>0</v>
      </c>
      <c r="AK97" s="56">
        <f>IF($G97="",0,IF(NOT(OR($G97="A - All employees not in groups B, C, J, H, M or Z",$G97="B - Married women and widows entitled to reduced NI",$G97="C - Over the State Pension age",$G97="H - Apprentice under 25",$G97="J – Deferment",$G97="M - Under 21",$G97="Z - Deferment (Under 21)",$G97="Please Enter The NI Cont. in ££££")),$G97,SUM(MAX(MIN(AC97-'Input Data'!$BG$3,'Input Data'!$BG$5-'Input Data'!$BG$3),0)*VLOOKUP($G97,'Input Data'!$BI$3:$BL$10,2,FALSE),MAX(MIN(AC97-'Input Data'!$BG$5,IF(OR($G97="M (under 21)",$G97="Z (under 21 - deferment)"),'Input Data'!$BG$6,IF($G97="H (Apprentice under 25)",'Input Data'!$BG$7,'Input Data'!$BG$8))-'Input Data'!$BG$5),0)*VLOOKUP($G97,'Input Data'!$BI$3:$BL$10,3,FALSE),MAX((AC97-IF(OR($G97="M (under 21)",$G97="Z (under 21 - deferment)"),'Input Data'!$BG$6,IF($G97="H (Apprentice under 25)",'Input Data'!$BG$7,'Input Data'!$BG$8))),0)*VLOOKUP($G97,'Input Data'!$BI$3:$BL$10,4,FALSE))))</f>
        <v>0</v>
      </c>
      <c r="AL97" s="56">
        <f>IF($G97="",0,IF(NOT(OR($G97="A - All employees not in groups B, C, J, H, M or Z",$G97="B - Married women and widows entitled to reduced NI",$G97="C - Over the State Pension age",$G97="H - Apprentice under 25",$G97="J – Deferment",$G97="M - Under 21",$G97="Z - Deferment (Under 21)",$G97="Please Enter The NI Cont. in ££££")),$G97,SUM(MAX(MIN(AD97-'Input Data'!$BG$3,'Input Data'!$BG$5-'Input Data'!$BG$3),0)*VLOOKUP($G97,'Input Data'!$BI$3:$BL$10,2,FALSE),MAX(MIN(AD97-'Input Data'!$BG$5,IF(OR($G97="M (under 21)",$G97="Z (under 21 - deferment)"),'Input Data'!$BG$6,IF($G97="H (Apprentice under 25)",'Input Data'!$BG$7,'Input Data'!$BG$8))-'Input Data'!$BG$5),0)*VLOOKUP($G97,'Input Data'!$BI$3:$BL$10,3,FALSE),MAX((AD97-IF(OR($G97="M (under 21)",$G97="Z (under 21 - deferment)"),'Input Data'!$BG$6,IF($G97="H (Apprentice under 25)",'Input Data'!$BG$7,'Input Data'!$BG$8))),0)*VLOOKUP($G97,'Input Data'!$BI$3:$BL$10,4,FALSE))))</f>
        <v>0</v>
      </c>
      <c r="AM97" s="56">
        <f>IF($G97="",0,IF(NOT(OR($G97="A - All employees not in groups B, C, J, H, M or Z",$G97="B - Married women and widows entitled to reduced NI",$G97="C - Over the State Pension age",$G97="H - Apprentice under 25",$G97="J – Deferment",$G97="M - Under 21",$G97="Z - Deferment (Under 21)",$G97="Please Enter The NI Cont. in ££££")),$G97,SUM(MAX(MIN(AE97-'Input Data'!$BG$3,'Input Data'!$BG$5-'Input Data'!$BG$3),0)*VLOOKUP($G97,'Input Data'!$BI$3:$BL$10,2,FALSE),MAX(MIN(AE97-'Input Data'!$BG$5,IF(OR($G97="M (under 21)",$G97="Z (under 21 - deferment)"),'Input Data'!$BG$6,IF($G97="H (Apprentice under 25)",'Input Data'!$BG$7,'Input Data'!$BG$8))-'Input Data'!$BG$5),0)*VLOOKUP($G97,'Input Data'!$BI$3:$BL$10,3,FALSE),MAX((AE97-IF(OR($G97="M (under 21)",$G97="Z (under 21 - deferment)"),'Input Data'!$BG$6,IF($G97="H (Apprentice under 25)",'Input Data'!$BG$7,'Input Data'!$BG$8))),0)*VLOOKUP($G97,'Input Data'!$BI$3:$BL$10,4,FALSE))))</f>
        <v>0</v>
      </c>
      <c r="AN97" s="56">
        <f>IF($G97="",0,IF(NOT(OR($G97="A - All employees not in groups B, C, J, H, M or Z",$G97="B - Married women and widows entitled to reduced NI",$G97="C - Over the State Pension age",$G97="H - Apprentice under 25",$G97="J – Deferment",$G97="M - Under 21",$G97="Z - Deferment (Under 21)",$G97="Please Enter The NI Cont. in ££££")),$G97,SUM(MAX(MIN(AF97-'Input Data'!$BG$3,'Input Data'!$BG$5-'Input Data'!$BG$3),0)*VLOOKUP($G97,'Input Data'!$BI$3:$BL$10,2,FALSE),MAX(MIN(AF97-'Input Data'!$BG$5,IF(OR($G97="M (under 21)",$G97="Z (under 21 - deferment)"),'Input Data'!$BG$6,IF($G97="H (Apprentice under 25)",'Input Data'!$BG$7,'Input Data'!$BG$8))-'Input Data'!$BG$5),0)*VLOOKUP($G97,'Input Data'!$BI$3:$BL$10,3,FALSE),MAX((AF97-IF(OR($G97="M (under 21)",$G97="Z (under 21 - deferment)"),'Input Data'!$BG$6,IF($G97="H (Apprentice under 25)",'Input Data'!$BG$7,'Input Data'!$BG$8))),0)*VLOOKUP($G97,'Input Data'!$BI$3:$BL$10,4,FALSE))))</f>
        <v>0</v>
      </c>
      <c r="AO97" s="56">
        <f>IF($G97="",0,IF(NOT(OR($G97="A - All employees not in groups B, C, J, H, M or Z",$G97="B - Married women and widows entitled to reduced NI",$G97="C - Over the State Pension age",$G97="H - Apprentice under 25",$G97="J – Deferment",$G97="M - Under 21",$G97="Z - Deferment (Under 21)",$G97="Please Enter The NI Cont. in ££££")),$G97,SUM(MAX(MIN(AG97-'Input Data'!$BG$3,'Input Data'!$BG$5-'Input Data'!$BG$3),0)*VLOOKUP($G97,'Input Data'!$BI$3:$BL$10,2,FALSE),MAX(MIN(AG97-'Input Data'!$BG$5,IF(OR($G97="M (under 21)",$G97="Z (under 21 - deferment)"),'Input Data'!$BG$6,IF($G97="H (Apprentice under 25)",'Input Data'!$BG$7,'Input Data'!$BG$8))-'Input Data'!$BG$5),0)*VLOOKUP($G97,'Input Data'!$BI$3:$BL$10,3,FALSE),MAX((AG97-IF(OR($G97="M (under 21)",$G97="Z (under 21 - deferment)"),'Input Data'!$BG$6,IF($G97="H (Apprentice under 25)",'Input Data'!$BG$7,'Input Data'!$BG$8))),0)*VLOOKUP($G97,'Input Data'!$BI$3:$BL$10,4,FALSE))))</f>
        <v>0</v>
      </c>
      <c r="AP97" s="56">
        <f>IF($G97="",0,IF(NOT(OR($G97="A - All employees not in groups B, C, J, H, M or Z",$G97="B - Married women and widows entitled to reduced NI",$G97="C - Over the State Pension age",$G97="H - Apprentice under 25",$G97="J – Deferment",$G97="M - Under 21",$G97="Z - Deferment (Under 21)",$G97="Please Enter The NI Cont. in ££££")),$G97,SUM(MAX(MIN(AH97-'Input Data'!$BG$3,'Input Data'!$BG$5-'Input Data'!$BG$3),0)*VLOOKUP($G97,'Input Data'!$BI$3:$BL$10,2,FALSE),MAX(MIN(AH97-'Input Data'!$BG$5,IF(OR($G97="M (under 21)",$G97="Z (under 21 - deferment)"),'Input Data'!$BG$6,IF($G97="H (Apprentice under 25)",'Input Data'!$BG$7,'Input Data'!$BG$8))-'Input Data'!$BG$5),0)*VLOOKUP($G97,'Input Data'!$BI$3:$BL$10,3,FALSE),MAX((AH97-IF(OR($G97="M (under 21)",$G97="Z (under 21 - deferment)"),'Input Data'!$BG$6,IF($G97="H (Apprentice under 25)",'Input Data'!$BG$7,'Input Data'!$BG$8))),0)*VLOOKUP($G97,'Input Data'!$BI$3:$BL$10,4,FALSE))))</f>
        <v>0</v>
      </c>
      <c r="AQ97" s="56">
        <f>IF($G97="",0,IF(NOT(OR($G97="A - All employees not in groups B, C, J, H, M or Z",$G97="B - Married women and widows entitled to reduced NI",$G97="C - Over the State Pension age",$G97="H - Apprentice under 25",$G97="J – Deferment",$G97="M - Under 21",$G97="Z - Deferment (Under 21)",$G97="Please Enter The NI Cont. in ££££")),$G97,SUM(MAX(MIN(AI97-'Input Data'!$BG$3,'Input Data'!$BG$5-'Input Data'!$BG$3),0)*VLOOKUP($G97,'Input Data'!$BI$3:$BL$10,2,FALSE),MAX(MIN(AI97-'Input Data'!$BG$5,IF(OR($G97="M (under 21)",$G97="Z (under 21 - deferment)"),'Input Data'!$BG$6,IF($G97="H (Apprentice under 25)",'Input Data'!$BG$7,'Input Data'!$BG$8))-'Input Data'!$BG$5),0)*VLOOKUP($G97,'Input Data'!$BI$3:$BL$10,3,FALSE),MAX((AI97-IF(OR($G97="M (under 21)",$G97="Z (under 21 - deferment)"),'Input Data'!$BG$6,IF($G97="H (Apprentice under 25)",'Input Data'!$BG$7,'Input Data'!$BG$8))),0)*VLOOKUP($G97,'Input Data'!$BI$3:$BL$10,4,FALSE))))</f>
        <v>0</v>
      </c>
      <c r="AR97" s="56">
        <f>IF($G97="",0,IF(NOT(OR($G97="A - All employees not in groups B, C, J, H, M or Z",$G97="B - Married women and widows entitled to reduced NI",$G97="C - Over the State Pension age",$G97="H - Apprentice under 25",$G97="J – Deferment",$G97="M - Under 21",$G97="Z - Deferment (Under 21)",$G97="Please Enter The NI Cont. in ££££")),$G97,SUM(MAX(MIN(AJ97-'Input Data'!$BG$3,'Input Data'!$BG$5-'Input Data'!$BG$3),0)*VLOOKUP($G97,'Input Data'!$BI$3:$BL$10,2,FALSE),MAX(MIN(AJ97-'Input Data'!$BG$5,IF(OR($G97="M (under 21)",$G97="Z (under 21 - deferment)"),'Input Data'!$BG$6,IF($G97="H (Apprentice under 25)",'Input Data'!$BG$7,'Input Data'!$BG$8))-'Input Data'!$BG$5),0)*VLOOKUP($G97,'Input Data'!$BI$3:$BL$10,3,FALSE),MAX((AJ97-IF(OR($G97="M (under 21)",$G97="Z (under 21 - deferment)"),'Input Data'!$BG$6,IF($G97="H (Apprentice under 25)",'Input Data'!$BG$7,'Input Data'!$BG$8))),0)*VLOOKUP($G97,'Input Data'!$BI$3:$BL$10,4,FALSE))))</f>
        <v>0</v>
      </c>
      <c r="AS97" s="56">
        <f>AC97*$F97</f>
        <v>0</v>
      </c>
      <c r="AT97" s="56">
        <f>AD97*$F97</f>
        <v>0</v>
      </c>
      <c r="AU97" s="56">
        <f>AE97*$F97</f>
        <v>0</v>
      </c>
      <c r="AV97" s="56">
        <f>AF97*$F97</f>
        <v>0</v>
      </c>
      <c r="AW97" s="56">
        <f>AG97*$F97</f>
        <v>0</v>
      </c>
      <c r="AX97" s="56">
        <f>AH97*$F97</f>
        <v>0</v>
      </c>
      <c r="AY97" s="56">
        <f>AI97*$F97</f>
        <v>0</v>
      </c>
      <c r="AZ97" s="56">
        <f>AJ97*$F97</f>
        <v>0</v>
      </c>
    </row>
    <row r="98" spans="2:52" ht="25.5">
      <c r="B98" s="60"/>
      <c r="C98" s="57" t="s">
        <v>68</v>
      </c>
      <c r="D98" s="58"/>
      <c r="E98" s="58"/>
      <c r="F98" s="535"/>
      <c r="G98" s="693" t="s">
        <v>1149</v>
      </c>
      <c r="H98" s="65"/>
      <c r="I98" s="65"/>
      <c r="J98" s="65"/>
      <c r="K98" s="65"/>
      <c r="L98" s="65"/>
      <c r="M98" s="65"/>
      <c r="N98" s="65"/>
      <c r="O98" s="65"/>
      <c r="P98" s="29"/>
      <c r="Q98" s="597"/>
      <c r="R98" s="61"/>
      <c r="T98" s="43">
        <f>SUM(AC98,AK98,AS98)</f>
        <v>0</v>
      </c>
      <c r="U98" s="43">
        <f>SUM(AD98,AL98,AT98)</f>
        <v>0</v>
      </c>
      <c r="V98" s="43">
        <f>SUM(AE98,AM98,AU98)</f>
        <v>0</v>
      </c>
      <c r="W98" s="43">
        <f>SUM(AF98,AN98,AV98)</f>
        <v>0</v>
      </c>
      <c r="X98" s="43">
        <f>SUM(AG98,AO98,AW98)</f>
        <v>0</v>
      </c>
      <c r="Y98" s="43">
        <f>SUM(AH98,AP98,AX98)</f>
        <v>0</v>
      </c>
      <c r="Z98" s="43">
        <f>SUM(AI98,AQ98,AY98)</f>
        <v>0</v>
      </c>
      <c r="AA98" s="43">
        <f>SUM(AJ98,AR98,AZ98)</f>
        <v>0</v>
      </c>
      <c r="AC98" s="631">
        <f>SUM($D98:$E98)*H98</f>
        <v>0</v>
      </c>
      <c r="AD98" s="631">
        <f>SUM($D98:$E98)*I98</f>
        <v>0</v>
      </c>
      <c r="AE98" s="631">
        <f>SUM($D98:$E98)*J98</f>
        <v>0</v>
      </c>
      <c r="AF98" s="631">
        <f>SUM($D98:$E98)*K98</f>
        <v>0</v>
      </c>
      <c r="AG98" s="631">
        <f>SUM($D98:$E98)*L98</f>
        <v>0</v>
      </c>
      <c r="AH98" s="631">
        <f>SUM($D98:$E98)*M98</f>
        <v>0</v>
      </c>
      <c r="AI98" s="631">
        <f>SUM($D98:$E98)*N98</f>
        <v>0</v>
      </c>
      <c r="AJ98" s="631">
        <f>SUM($D98:$E98)*O98</f>
        <v>0</v>
      </c>
      <c r="AK98" s="56">
        <f>IF($G98="",0,IF(NOT(OR($G98="A - All employees not in groups B, C, J, H, M or Z",$G98="B - Married women and widows entitled to reduced NI",$G98="C - Over the State Pension age",$G98="H - Apprentice under 25",$G98="J – Deferment",$G98="M - Under 21",$G98="Z - Deferment (Under 21)",$G98="Please Enter The NI Cont. in ££££")),$G98,SUM(MAX(MIN(AC98-'Input Data'!$BG$3,'Input Data'!$BG$5-'Input Data'!$BG$3),0)*VLOOKUP($G98,'Input Data'!$BI$3:$BL$10,2,FALSE),MAX(MIN(AC98-'Input Data'!$BG$5,IF(OR($G98="M (under 21)",$G98="Z (under 21 - deferment)"),'Input Data'!$BG$6,IF($G98="H (Apprentice under 25)",'Input Data'!$BG$7,'Input Data'!$BG$8))-'Input Data'!$BG$5),0)*VLOOKUP($G98,'Input Data'!$BI$3:$BL$10,3,FALSE),MAX((AC98-IF(OR($G98="M (under 21)",$G98="Z (under 21 - deferment)"),'Input Data'!$BG$6,IF($G98="H (Apprentice under 25)",'Input Data'!$BG$7,'Input Data'!$BG$8))),0)*VLOOKUP($G98,'Input Data'!$BI$3:$BL$10,4,FALSE))))</f>
        <v>0</v>
      </c>
      <c r="AL98" s="56">
        <f>IF($G98="",0,IF(NOT(OR($G98="A - All employees not in groups B, C, J, H, M or Z",$G98="B - Married women and widows entitled to reduced NI",$G98="C - Over the State Pension age",$G98="H - Apprentice under 25",$G98="J – Deferment",$G98="M - Under 21",$G98="Z - Deferment (Under 21)",$G98="Please Enter The NI Cont. in ££££")),$G98,SUM(MAX(MIN(AD98-'Input Data'!$BG$3,'Input Data'!$BG$5-'Input Data'!$BG$3),0)*VLOOKUP($G98,'Input Data'!$BI$3:$BL$10,2,FALSE),MAX(MIN(AD98-'Input Data'!$BG$5,IF(OR($G98="M (under 21)",$G98="Z (under 21 - deferment)"),'Input Data'!$BG$6,IF($G98="H (Apprentice under 25)",'Input Data'!$BG$7,'Input Data'!$BG$8))-'Input Data'!$BG$5),0)*VLOOKUP($G98,'Input Data'!$BI$3:$BL$10,3,FALSE),MAX((AD98-IF(OR($G98="M (under 21)",$G98="Z (under 21 - deferment)"),'Input Data'!$BG$6,IF($G98="H (Apprentice under 25)",'Input Data'!$BG$7,'Input Data'!$BG$8))),0)*VLOOKUP($G98,'Input Data'!$BI$3:$BL$10,4,FALSE))))</f>
        <v>0</v>
      </c>
      <c r="AM98" s="56">
        <f>IF($G98="",0,IF(NOT(OR($G98="A - All employees not in groups B, C, J, H, M or Z",$G98="B - Married women and widows entitled to reduced NI",$G98="C - Over the State Pension age",$G98="H - Apprentice under 25",$G98="J – Deferment",$G98="M - Under 21",$G98="Z - Deferment (Under 21)",$G98="Please Enter The NI Cont. in ££££")),$G98,SUM(MAX(MIN(AE98-'Input Data'!$BG$3,'Input Data'!$BG$5-'Input Data'!$BG$3),0)*VLOOKUP($G98,'Input Data'!$BI$3:$BL$10,2,FALSE),MAX(MIN(AE98-'Input Data'!$BG$5,IF(OR($G98="M (under 21)",$G98="Z (under 21 - deferment)"),'Input Data'!$BG$6,IF($G98="H (Apprentice under 25)",'Input Data'!$BG$7,'Input Data'!$BG$8))-'Input Data'!$BG$5),0)*VLOOKUP($G98,'Input Data'!$BI$3:$BL$10,3,FALSE),MAX((AE98-IF(OR($G98="M (under 21)",$G98="Z (under 21 - deferment)"),'Input Data'!$BG$6,IF($G98="H (Apprentice under 25)",'Input Data'!$BG$7,'Input Data'!$BG$8))),0)*VLOOKUP($G98,'Input Data'!$BI$3:$BL$10,4,FALSE))))</f>
        <v>0</v>
      </c>
      <c r="AN98" s="56">
        <f>IF($G98="",0,IF(NOT(OR($G98="A - All employees not in groups B, C, J, H, M or Z",$G98="B - Married women and widows entitled to reduced NI",$G98="C - Over the State Pension age",$G98="H - Apprentice under 25",$G98="J – Deferment",$G98="M - Under 21",$G98="Z - Deferment (Under 21)",$G98="Please Enter The NI Cont. in ££££")),$G98,SUM(MAX(MIN(AF98-'Input Data'!$BG$3,'Input Data'!$BG$5-'Input Data'!$BG$3),0)*VLOOKUP($G98,'Input Data'!$BI$3:$BL$10,2,FALSE),MAX(MIN(AF98-'Input Data'!$BG$5,IF(OR($G98="M (under 21)",$G98="Z (under 21 - deferment)"),'Input Data'!$BG$6,IF($G98="H (Apprentice under 25)",'Input Data'!$BG$7,'Input Data'!$BG$8))-'Input Data'!$BG$5),0)*VLOOKUP($G98,'Input Data'!$BI$3:$BL$10,3,FALSE),MAX((AF98-IF(OR($G98="M (under 21)",$G98="Z (under 21 - deferment)"),'Input Data'!$BG$6,IF($G98="H (Apprentice under 25)",'Input Data'!$BG$7,'Input Data'!$BG$8))),0)*VLOOKUP($G98,'Input Data'!$BI$3:$BL$10,4,FALSE))))</f>
        <v>0</v>
      </c>
      <c r="AO98" s="56">
        <f>IF($G98="",0,IF(NOT(OR($G98="A - All employees not in groups B, C, J, H, M or Z",$G98="B - Married women and widows entitled to reduced NI",$G98="C - Over the State Pension age",$G98="H - Apprentice under 25",$G98="J – Deferment",$G98="M - Under 21",$G98="Z - Deferment (Under 21)",$G98="Please Enter The NI Cont. in ££££")),$G98,SUM(MAX(MIN(AG98-'Input Data'!$BG$3,'Input Data'!$BG$5-'Input Data'!$BG$3),0)*VLOOKUP($G98,'Input Data'!$BI$3:$BL$10,2,FALSE),MAX(MIN(AG98-'Input Data'!$BG$5,IF(OR($G98="M (under 21)",$G98="Z (under 21 - deferment)"),'Input Data'!$BG$6,IF($G98="H (Apprentice under 25)",'Input Data'!$BG$7,'Input Data'!$BG$8))-'Input Data'!$BG$5),0)*VLOOKUP($G98,'Input Data'!$BI$3:$BL$10,3,FALSE),MAX((AG98-IF(OR($G98="M (under 21)",$G98="Z (under 21 - deferment)"),'Input Data'!$BG$6,IF($G98="H (Apprentice under 25)",'Input Data'!$BG$7,'Input Data'!$BG$8))),0)*VLOOKUP($G98,'Input Data'!$BI$3:$BL$10,4,FALSE))))</f>
        <v>0</v>
      </c>
      <c r="AP98" s="56">
        <f>IF($G98="",0,IF(NOT(OR($G98="A - All employees not in groups B, C, J, H, M or Z",$G98="B - Married women and widows entitled to reduced NI",$G98="C - Over the State Pension age",$G98="H - Apprentice under 25",$G98="J – Deferment",$G98="M - Under 21",$G98="Z - Deferment (Under 21)",$G98="Please Enter The NI Cont. in ££££")),$G98,SUM(MAX(MIN(AH98-'Input Data'!$BG$3,'Input Data'!$BG$5-'Input Data'!$BG$3),0)*VLOOKUP($G98,'Input Data'!$BI$3:$BL$10,2,FALSE),MAX(MIN(AH98-'Input Data'!$BG$5,IF(OR($G98="M (under 21)",$G98="Z (under 21 - deferment)"),'Input Data'!$BG$6,IF($G98="H (Apprentice under 25)",'Input Data'!$BG$7,'Input Data'!$BG$8))-'Input Data'!$BG$5),0)*VLOOKUP($G98,'Input Data'!$BI$3:$BL$10,3,FALSE),MAX((AH98-IF(OR($G98="M (under 21)",$G98="Z (under 21 - deferment)"),'Input Data'!$BG$6,IF($G98="H (Apprentice under 25)",'Input Data'!$BG$7,'Input Data'!$BG$8))),0)*VLOOKUP($G98,'Input Data'!$BI$3:$BL$10,4,FALSE))))</f>
        <v>0</v>
      </c>
      <c r="AQ98" s="56">
        <f>IF($G98="",0,IF(NOT(OR($G98="A - All employees not in groups B, C, J, H, M or Z",$G98="B - Married women and widows entitled to reduced NI",$G98="C - Over the State Pension age",$G98="H - Apprentice under 25",$G98="J – Deferment",$G98="M - Under 21",$G98="Z - Deferment (Under 21)",$G98="Please Enter The NI Cont. in ££££")),$G98,SUM(MAX(MIN(AI98-'Input Data'!$BG$3,'Input Data'!$BG$5-'Input Data'!$BG$3),0)*VLOOKUP($G98,'Input Data'!$BI$3:$BL$10,2,FALSE),MAX(MIN(AI98-'Input Data'!$BG$5,IF(OR($G98="M (under 21)",$G98="Z (under 21 - deferment)"),'Input Data'!$BG$6,IF($G98="H (Apprentice under 25)",'Input Data'!$BG$7,'Input Data'!$BG$8))-'Input Data'!$BG$5),0)*VLOOKUP($G98,'Input Data'!$BI$3:$BL$10,3,FALSE),MAX((AI98-IF(OR($G98="M (under 21)",$G98="Z (under 21 - deferment)"),'Input Data'!$BG$6,IF($G98="H (Apprentice under 25)",'Input Data'!$BG$7,'Input Data'!$BG$8))),0)*VLOOKUP($G98,'Input Data'!$BI$3:$BL$10,4,FALSE))))</f>
        <v>0</v>
      </c>
      <c r="AR98" s="56">
        <f>IF($G98="",0,IF(NOT(OR($G98="A - All employees not in groups B, C, J, H, M or Z",$G98="B - Married women and widows entitled to reduced NI",$G98="C - Over the State Pension age",$G98="H - Apprentice under 25",$G98="J – Deferment",$G98="M - Under 21",$G98="Z - Deferment (Under 21)",$G98="Please Enter The NI Cont. in ££££")),$G98,SUM(MAX(MIN(AJ98-'Input Data'!$BG$3,'Input Data'!$BG$5-'Input Data'!$BG$3),0)*VLOOKUP($G98,'Input Data'!$BI$3:$BL$10,2,FALSE),MAX(MIN(AJ98-'Input Data'!$BG$5,IF(OR($G98="M (under 21)",$G98="Z (under 21 - deferment)"),'Input Data'!$BG$6,IF($G98="H (Apprentice under 25)",'Input Data'!$BG$7,'Input Data'!$BG$8))-'Input Data'!$BG$5),0)*VLOOKUP($G98,'Input Data'!$BI$3:$BL$10,3,FALSE),MAX((AJ98-IF(OR($G98="M (under 21)",$G98="Z (under 21 - deferment)"),'Input Data'!$BG$6,IF($G98="H (Apprentice under 25)",'Input Data'!$BG$7,'Input Data'!$BG$8))),0)*VLOOKUP($G98,'Input Data'!$BI$3:$BL$10,4,FALSE))))</f>
        <v>0</v>
      </c>
      <c r="AS98" s="56">
        <f>AC98*$F98</f>
        <v>0</v>
      </c>
      <c r="AT98" s="56">
        <f>AD98*$F98</f>
        <v>0</v>
      </c>
      <c r="AU98" s="56">
        <f>AE98*$F98</f>
        <v>0</v>
      </c>
      <c r="AV98" s="56">
        <f>AF98*$F98</f>
        <v>0</v>
      </c>
      <c r="AW98" s="56">
        <f>AG98*$F98</f>
        <v>0</v>
      </c>
      <c r="AX98" s="56">
        <f>AH98*$F98</f>
        <v>0</v>
      </c>
      <c r="AY98" s="56">
        <f>AI98*$F98</f>
        <v>0</v>
      </c>
      <c r="AZ98" s="56">
        <f>AJ98*$F98</f>
        <v>0</v>
      </c>
    </row>
    <row r="99" spans="2:52" ht="25.5">
      <c r="B99" s="60"/>
      <c r="C99" s="57" t="s">
        <v>69</v>
      </c>
      <c r="D99" s="58"/>
      <c r="E99" s="58"/>
      <c r="F99" s="535"/>
      <c r="G99" s="693" t="s">
        <v>1149</v>
      </c>
      <c r="H99" s="65"/>
      <c r="I99" s="65"/>
      <c r="J99" s="65"/>
      <c r="K99" s="65"/>
      <c r="L99" s="65"/>
      <c r="M99" s="65"/>
      <c r="N99" s="65"/>
      <c r="O99" s="65"/>
      <c r="P99" s="29"/>
      <c r="Q99" s="597"/>
      <c r="R99" s="61"/>
      <c r="T99" s="43">
        <f>SUM(AC99,AK99,AS99)</f>
        <v>0</v>
      </c>
      <c r="U99" s="43">
        <f>SUM(AD99,AL99,AT99)</f>
        <v>0</v>
      </c>
      <c r="V99" s="43">
        <f>SUM(AE99,AM99,AU99)</f>
        <v>0</v>
      </c>
      <c r="W99" s="43">
        <f>SUM(AF99,AN99,AV99)</f>
        <v>0</v>
      </c>
      <c r="X99" s="43">
        <f>SUM(AG99,AO99,AW99)</f>
        <v>0</v>
      </c>
      <c r="Y99" s="43">
        <f>SUM(AH99,AP99,AX99)</f>
        <v>0</v>
      </c>
      <c r="Z99" s="43">
        <f>SUM(AI99,AQ99,AY99)</f>
        <v>0</v>
      </c>
      <c r="AA99" s="43">
        <f>SUM(AJ99,AR99,AZ99)</f>
        <v>0</v>
      </c>
      <c r="AC99" s="631">
        <f>SUM($D99:$E99)*H99</f>
        <v>0</v>
      </c>
      <c r="AD99" s="631">
        <f>SUM($D99:$E99)*I99</f>
        <v>0</v>
      </c>
      <c r="AE99" s="631">
        <f>SUM($D99:$E99)*J99</f>
        <v>0</v>
      </c>
      <c r="AF99" s="631">
        <f>SUM($D99:$E99)*K99</f>
        <v>0</v>
      </c>
      <c r="AG99" s="631">
        <f>SUM($D99:$E99)*L99</f>
        <v>0</v>
      </c>
      <c r="AH99" s="631">
        <f>SUM($D99:$E99)*M99</f>
        <v>0</v>
      </c>
      <c r="AI99" s="631">
        <f>SUM($D99:$E99)*N99</f>
        <v>0</v>
      </c>
      <c r="AJ99" s="631">
        <f>SUM($D99:$E99)*O99</f>
        <v>0</v>
      </c>
      <c r="AK99" s="56">
        <f>IF($G99="",0,IF(NOT(OR($G99="A - All employees not in groups B, C, J, H, M or Z",$G99="B - Married women and widows entitled to reduced NI",$G99="C - Over the State Pension age",$G99="H - Apprentice under 25",$G99="J – Deferment",$G99="M - Under 21",$G99="Z - Deferment (Under 21)",$G99="Please Enter The NI Cont. in ££££")),$G99,SUM(MAX(MIN(AC99-'Input Data'!$BG$3,'Input Data'!$BG$5-'Input Data'!$BG$3),0)*VLOOKUP($G99,'Input Data'!$BI$3:$BL$10,2,FALSE),MAX(MIN(AC99-'Input Data'!$BG$5,IF(OR($G99="M (under 21)",$G99="Z (under 21 - deferment)"),'Input Data'!$BG$6,IF($G99="H (Apprentice under 25)",'Input Data'!$BG$7,'Input Data'!$BG$8))-'Input Data'!$BG$5),0)*VLOOKUP($G99,'Input Data'!$BI$3:$BL$10,3,FALSE),MAX((AC99-IF(OR($G99="M (under 21)",$G99="Z (under 21 - deferment)"),'Input Data'!$BG$6,IF($G99="H (Apprentice under 25)",'Input Data'!$BG$7,'Input Data'!$BG$8))),0)*VLOOKUP($G99,'Input Data'!$BI$3:$BL$10,4,FALSE))))</f>
        <v>0</v>
      </c>
      <c r="AL99" s="56">
        <f>IF($G99="",0,IF(NOT(OR($G99="A - All employees not in groups B, C, J, H, M or Z",$G99="B - Married women and widows entitled to reduced NI",$G99="C - Over the State Pension age",$G99="H - Apprentice under 25",$G99="J – Deferment",$G99="M - Under 21",$G99="Z - Deferment (Under 21)",$G99="Please Enter The NI Cont. in ££££")),$G99,SUM(MAX(MIN(AD99-'Input Data'!$BG$3,'Input Data'!$BG$5-'Input Data'!$BG$3),0)*VLOOKUP($G99,'Input Data'!$BI$3:$BL$10,2,FALSE),MAX(MIN(AD99-'Input Data'!$BG$5,IF(OR($G99="M (under 21)",$G99="Z (under 21 - deferment)"),'Input Data'!$BG$6,IF($G99="H (Apprentice under 25)",'Input Data'!$BG$7,'Input Data'!$BG$8))-'Input Data'!$BG$5),0)*VLOOKUP($G99,'Input Data'!$BI$3:$BL$10,3,FALSE),MAX((AD99-IF(OR($G99="M (under 21)",$G99="Z (under 21 - deferment)"),'Input Data'!$BG$6,IF($G99="H (Apprentice under 25)",'Input Data'!$BG$7,'Input Data'!$BG$8))),0)*VLOOKUP($G99,'Input Data'!$BI$3:$BL$10,4,FALSE))))</f>
        <v>0</v>
      </c>
      <c r="AM99" s="56">
        <f>IF($G99="",0,IF(NOT(OR($G99="A - All employees not in groups B, C, J, H, M or Z",$G99="B - Married women and widows entitled to reduced NI",$G99="C - Over the State Pension age",$G99="H - Apprentice under 25",$G99="J – Deferment",$G99="M - Under 21",$G99="Z - Deferment (Under 21)",$G99="Please Enter The NI Cont. in ££££")),$G99,SUM(MAX(MIN(AE99-'Input Data'!$BG$3,'Input Data'!$BG$5-'Input Data'!$BG$3),0)*VLOOKUP($G99,'Input Data'!$BI$3:$BL$10,2,FALSE),MAX(MIN(AE99-'Input Data'!$BG$5,IF(OR($G99="M (under 21)",$G99="Z (under 21 - deferment)"),'Input Data'!$BG$6,IF($G99="H (Apprentice under 25)",'Input Data'!$BG$7,'Input Data'!$BG$8))-'Input Data'!$BG$5),0)*VLOOKUP($G99,'Input Data'!$BI$3:$BL$10,3,FALSE),MAX((AE99-IF(OR($G99="M (under 21)",$G99="Z (under 21 - deferment)"),'Input Data'!$BG$6,IF($G99="H (Apprentice under 25)",'Input Data'!$BG$7,'Input Data'!$BG$8))),0)*VLOOKUP($G99,'Input Data'!$BI$3:$BL$10,4,FALSE))))</f>
        <v>0</v>
      </c>
      <c r="AN99" s="56">
        <f>IF($G99="",0,IF(NOT(OR($G99="A - All employees not in groups B, C, J, H, M or Z",$G99="B - Married women and widows entitled to reduced NI",$G99="C - Over the State Pension age",$G99="H - Apprentice under 25",$G99="J – Deferment",$G99="M - Under 21",$G99="Z - Deferment (Under 21)",$G99="Please Enter The NI Cont. in ££££")),$G99,SUM(MAX(MIN(AF99-'Input Data'!$BG$3,'Input Data'!$BG$5-'Input Data'!$BG$3),0)*VLOOKUP($G99,'Input Data'!$BI$3:$BL$10,2,FALSE),MAX(MIN(AF99-'Input Data'!$BG$5,IF(OR($G99="M (under 21)",$G99="Z (under 21 - deferment)"),'Input Data'!$BG$6,IF($G99="H (Apprentice under 25)",'Input Data'!$BG$7,'Input Data'!$BG$8))-'Input Data'!$BG$5),0)*VLOOKUP($G99,'Input Data'!$BI$3:$BL$10,3,FALSE),MAX((AF99-IF(OR($G99="M (under 21)",$G99="Z (under 21 - deferment)"),'Input Data'!$BG$6,IF($G99="H (Apprentice under 25)",'Input Data'!$BG$7,'Input Data'!$BG$8))),0)*VLOOKUP($G99,'Input Data'!$BI$3:$BL$10,4,FALSE))))</f>
        <v>0</v>
      </c>
      <c r="AO99" s="56">
        <f>IF($G99="",0,IF(NOT(OR($G99="A - All employees not in groups B, C, J, H, M or Z",$G99="B - Married women and widows entitled to reduced NI",$G99="C - Over the State Pension age",$G99="H - Apprentice under 25",$G99="J – Deferment",$G99="M - Under 21",$G99="Z - Deferment (Under 21)",$G99="Please Enter The NI Cont. in ££££")),$G99,SUM(MAX(MIN(AG99-'Input Data'!$BG$3,'Input Data'!$BG$5-'Input Data'!$BG$3),0)*VLOOKUP($G99,'Input Data'!$BI$3:$BL$10,2,FALSE),MAX(MIN(AG99-'Input Data'!$BG$5,IF(OR($G99="M (under 21)",$G99="Z (under 21 - deferment)"),'Input Data'!$BG$6,IF($G99="H (Apprentice under 25)",'Input Data'!$BG$7,'Input Data'!$BG$8))-'Input Data'!$BG$5),0)*VLOOKUP($G99,'Input Data'!$BI$3:$BL$10,3,FALSE),MAX((AG99-IF(OR($G99="M (under 21)",$G99="Z (under 21 - deferment)"),'Input Data'!$BG$6,IF($G99="H (Apprentice under 25)",'Input Data'!$BG$7,'Input Data'!$BG$8))),0)*VLOOKUP($G99,'Input Data'!$BI$3:$BL$10,4,FALSE))))</f>
        <v>0</v>
      </c>
      <c r="AP99" s="56">
        <f>IF($G99="",0,IF(NOT(OR($G99="A - All employees not in groups B, C, J, H, M or Z",$G99="B - Married women and widows entitled to reduced NI",$G99="C - Over the State Pension age",$G99="H - Apprentice under 25",$G99="J – Deferment",$G99="M - Under 21",$G99="Z - Deferment (Under 21)",$G99="Please Enter The NI Cont. in ££££")),$G99,SUM(MAX(MIN(AH99-'Input Data'!$BG$3,'Input Data'!$BG$5-'Input Data'!$BG$3),0)*VLOOKUP($G99,'Input Data'!$BI$3:$BL$10,2,FALSE),MAX(MIN(AH99-'Input Data'!$BG$5,IF(OR($G99="M (under 21)",$G99="Z (under 21 - deferment)"),'Input Data'!$BG$6,IF($G99="H (Apprentice under 25)",'Input Data'!$BG$7,'Input Data'!$BG$8))-'Input Data'!$BG$5),0)*VLOOKUP($G99,'Input Data'!$BI$3:$BL$10,3,FALSE),MAX((AH99-IF(OR($G99="M (under 21)",$G99="Z (under 21 - deferment)"),'Input Data'!$BG$6,IF($G99="H (Apprentice under 25)",'Input Data'!$BG$7,'Input Data'!$BG$8))),0)*VLOOKUP($G99,'Input Data'!$BI$3:$BL$10,4,FALSE))))</f>
        <v>0</v>
      </c>
      <c r="AQ99" s="56">
        <f>IF($G99="",0,IF(NOT(OR($G99="A - All employees not in groups B, C, J, H, M or Z",$G99="B - Married women and widows entitled to reduced NI",$G99="C - Over the State Pension age",$G99="H - Apprentice under 25",$G99="J – Deferment",$G99="M - Under 21",$G99="Z - Deferment (Under 21)",$G99="Please Enter The NI Cont. in ££££")),$G99,SUM(MAX(MIN(AI99-'Input Data'!$BG$3,'Input Data'!$BG$5-'Input Data'!$BG$3),0)*VLOOKUP($G99,'Input Data'!$BI$3:$BL$10,2,FALSE),MAX(MIN(AI99-'Input Data'!$BG$5,IF(OR($G99="M (under 21)",$G99="Z (under 21 - deferment)"),'Input Data'!$BG$6,IF($G99="H (Apprentice under 25)",'Input Data'!$BG$7,'Input Data'!$BG$8))-'Input Data'!$BG$5),0)*VLOOKUP($G99,'Input Data'!$BI$3:$BL$10,3,FALSE),MAX((AI99-IF(OR($G99="M (under 21)",$G99="Z (under 21 - deferment)"),'Input Data'!$BG$6,IF($G99="H (Apprentice under 25)",'Input Data'!$BG$7,'Input Data'!$BG$8))),0)*VLOOKUP($G99,'Input Data'!$BI$3:$BL$10,4,FALSE))))</f>
        <v>0</v>
      </c>
      <c r="AR99" s="56">
        <f>IF($G99="",0,IF(NOT(OR($G99="A - All employees not in groups B, C, J, H, M or Z",$G99="B - Married women and widows entitled to reduced NI",$G99="C - Over the State Pension age",$G99="H - Apprentice under 25",$G99="J – Deferment",$G99="M - Under 21",$G99="Z - Deferment (Under 21)",$G99="Please Enter The NI Cont. in ££££")),$G99,SUM(MAX(MIN(AJ99-'Input Data'!$BG$3,'Input Data'!$BG$5-'Input Data'!$BG$3),0)*VLOOKUP($G99,'Input Data'!$BI$3:$BL$10,2,FALSE),MAX(MIN(AJ99-'Input Data'!$BG$5,IF(OR($G99="M (under 21)",$G99="Z (under 21 - deferment)"),'Input Data'!$BG$6,IF($G99="H (Apprentice under 25)",'Input Data'!$BG$7,'Input Data'!$BG$8))-'Input Data'!$BG$5),0)*VLOOKUP($G99,'Input Data'!$BI$3:$BL$10,3,FALSE),MAX((AJ99-IF(OR($G99="M (under 21)",$G99="Z (under 21 - deferment)"),'Input Data'!$BG$6,IF($G99="H (Apprentice under 25)",'Input Data'!$BG$7,'Input Data'!$BG$8))),0)*VLOOKUP($G99,'Input Data'!$BI$3:$BL$10,4,FALSE))))</f>
        <v>0</v>
      </c>
      <c r="AS99" s="56">
        <f>AC99*$F99</f>
        <v>0</v>
      </c>
      <c r="AT99" s="56">
        <f>AD99*$F99</f>
        <v>0</v>
      </c>
      <c r="AU99" s="56">
        <f>AE99*$F99</f>
        <v>0</v>
      </c>
      <c r="AV99" s="56">
        <f>AF99*$F99</f>
        <v>0</v>
      </c>
      <c r="AW99" s="56">
        <f>AG99*$F99</f>
        <v>0</v>
      </c>
      <c r="AX99" s="56">
        <f>AH99*$F99</f>
        <v>0</v>
      </c>
      <c r="AY99" s="56">
        <f>AI99*$F99</f>
        <v>0</v>
      </c>
      <c r="AZ99" s="56">
        <f>AJ99*$F99</f>
        <v>0</v>
      </c>
    </row>
    <row r="100" spans="2:52" ht="25.5">
      <c r="B100" s="60"/>
      <c r="C100" s="57" t="s">
        <v>70</v>
      </c>
      <c r="D100" s="58"/>
      <c r="E100" s="58"/>
      <c r="F100" s="535"/>
      <c r="G100" s="693" t="s">
        <v>1149</v>
      </c>
      <c r="H100" s="65"/>
      <c r="I100" s="65"/>
      <c r="J100" s="65"/>
      <c r="K100" s="65"/>
      <c r="L100" s="65"/>
      <c r="M100" s="65"/>
      <c r="N100" s="65"/>
      <c r="O100" s="65"/>
      <c r="P100" s="29"/>
      <c r="Q100" s="597"/>
      <c r="R100" s="61"/>
      <c r="T100" s="43">
        <f>SUM(AC100,AK100,AS100)</f>
        <v>0</v>
      </c>
      <c r="U100" s="43">
        <f>SUM(AD100,AL100,AT100)</f>
        <v>0</v>
      </c>
      <c r="V100" s="43">
        <f>SUM(AE100,AM100,AU100)</f>
        <v>0</v>
      </c>
      <c r="W100" s="43">
        <f>SUM(AF100,AN100,AV100)</f>
        <v>0</v>
      </c>
      <c r="X100" s="43">
        <f>SUM(AG100,AO100,AW100)</f>
        <v>0</v>
      </c>
      <c r="Y100" s="43">
        <f>SUM(AH100,AP100,AX100)</f>
        <v>0</v>
      </c>
      <c r="Z100" s="43">
        <f>SUM(AI100,AQ100,AY100)</f>
        <v>0</v>
      </c>
      <c r="AA100" s="43">
        <f>SUM(AJ100,AR100,AZ100)</f>
        <v>0</v>
      </c>
      <c r="AC100" s="631">
        <f>SUM($D100:$E100)*H100</f>
        <v>0</v>
      </c>
      <c r="AD100" s="631">
        <f>SUM($D100:$E100)*I100</f>
        <v>0</v>
      </c>
      <c r="AE100" s="631">
        <f>SUM($D100:$E100)*J100</f>
        <v>0</v>
      </c>
      <c r="AF100" s="631">
        <f>SUM($D100:$E100)*K100</f>
        <v>0</v>
      </c>
      <c r="AG100" s="631">
        <f>SUM($D100:$E100)*L100</f>
        <v>0</v>
      </c>
      <c r="AH100" s="631">
        <f>SUM($D100:$E100)*M100</f>
        <v>0</v>
      </c>
      <c r="AI100" s="631">
        <f>SUM($D100:$E100)*N100</f>
        <v>0</v>
      </c>
      <c r="AJ100" s="631">
        <f>SUM($D100:$E100)*O100</f>
        <v>0</v>
      </c>
      <c r="AK100" s="56">
        <f>IF($G100="",0,IF(NOT(OR($G100="A - All employees not in groups B, C, J, H, M or Z",$G100="B - Married women and widows entitled to reduced NI",$G100="C - Over the State Pension age",$G100="H - Apprentice under 25",$G100="J – Deferment",$G100="M - Under 21",$G100="Z - Deferment (Under 21)",$G100="Please Enter The NI Cont. in ££££")),$G100,SUM(MAX(MIN(AC100-'Input Data'!$BG$3,'Input Data'!$BG$5-'Input Data'!$BG$3),0)*VLOOKUP($G100,'Input Data'!$BI$3:$BL$10,2,FALSE),MAX(MIN(AC100-'Input Data'!$BG$5,IF(OR($G100="M (under 21)",$G100="Z (under 21 - deferment)"),'Input Data'!$BG$6,IF($G100="H (Apprentice under 25)",'Input Data'!$BG$7,'Input Data'!$BG$8))-'Input Data'!$BG$5),0)*VLOOKUP($G100,'Input Data'!$BI$3:$BL$10,3,FALSE),MAX((AC100-IF(OR($G100="M (under 21)",$G100="Z (under 21 - deferment)"),'Input Data'!$BG$6,IF($G100="H (Apprentice under 25)",'Input Data'!$BG$7,'Input Data'!$BG$8))),0)*VLOOKUP($G100,'Input Data'!$BI$3:$BL$10,4,FALSE))))</f>
        <v>0</v>
      </c>
      <c r="AL100" s="56">
        <f>IF($G100="",0,IF(NOT(OR($G100="A - All employees not in groups B, C, J, H, M or Z",$G100="B - Married women and widows entitled to reduced NI",$G100="C - Over the State Pension age",$G100="H - Apprentice under 25",$G100="J – Deferment",$G100="M - Under 21",$G100="Z - Deferment (Under 21)",$G100="Please Enter The NI Cont. in ££££")),$G100,SUM(MAX(MIN(AD100-'Input Data'!$BG$3,'Input Data'!$BG$5-'Input Data'!$BG$3),0)*VLOOKUP($G100,'Input Data'!$BI$3:$BL$10,2,FALSE),MAX(MIN(AD100-'Input Data'!$BG$5,IF(OR($G100="M (under 21)",$G100="Z (under 21 - deferment)"),'Input Data'!$BG$6,IF($G100="H (Apprentice under 25)",'Input Data'!$BG$7,'Input Data'!$BG$8))-'Input Data'!$BG$5),0)*VLOOKUP($G100,'Input Data'!$BI$3:$BL$10,3,FALSE),MAX((AD100-IF(OR($G100="M (under 21)",$G100="Z (under 21 - deferment)"),'Input Data'!$BG$6,IF($G100="H (Apprentice under 25)",'Input Data'!$BG$7,'Input Data'!$BG$8))),0)*VLOOKUP($G100,'Input Data'!$BI$3:$BL$10,4,FALSE))))</f>
        <v>0</v>
      </c>
      <c r="AM100" s="56">
        <f>IF($G100="",0,IF(NOT(OR($G100="A - All employees not in groups B, C, J, H, M or Z",$G100="B - Married women and widows entitled to reduced NI",$G100="C - Over the State Pension age",$G100="H - Apprentice under 25",$G100="J – Deferment",$G100="M - Under 21",$G100="Z - Deferment (Under 21)",$G100="Please Enter The NI Cont. in ££££")),$G100,SUM(MAX(MIN(AE100-'Input Data'!$BG$3,'Input Data'!$BG$5-'Input Data'!$BG$3),0)*VLOOKUP($G100,'Input Data'!$BI$3:$BL$10,2,FALSE),MAX(MIN(AE100-'Input Data'!$BG$5,IF(OR($G100="M (under 21)",$G100="Z (under 21 - deferment)"),'Input Data'!$BG$6,IF($G100="H (Apprentice under 25)",'Input Data'!$BG$7,'Input Data'!$BG$8))-'Input Data'!$BG$5),0)*VLOOKUP($G100,'Input Data'!$BI$3:$BL$10,3,FALSE),MAX((AE100-IF(OR($G100="M (under 21)",$G100="Z (under 21 - deferment)"),'Input Data'!$BG$6,IF($G100="H (Apprentice under 25)",'Input Data'!$BG$7,'Input Data'!$BG$8))),0)*VLOOKUP($G100,'Input Data'!$BI$3:$BL$10,4,FALSE))))</f>
        <v>0</v>
      </c>
      <c r="AN100" s="56">
        <f>IF($G100="",0,IF(NOT(OR($G100="A - All employees not in groups B, C, J, H, M or Z",$G100="B - Married women and widows entitled to reduced NI",$G100="C - Over the State Pension age",$G100="H - Apprentice under 25",$G100="J – Deferment",$G100="M - Under 21",$G100="Z - Deferment (Under 21)",$G100="Please Enter The NI Cont. in ££££")),$G100,SUM(MAX(MIN(AF100-'Input Data'!$BG$3,'Input Data'!$BG$5-'Input Data'!$BG$3),0)*VLOOKUP($G100,'Input Data'!$BI$3:$BL$10,2,FALSE),MAX(MIN(AF100-'Input Data'!$BG$5,IF(OR($G100="M (under 21)",$G100="Z (under 21 - deferment)"),'Input Data'!$BG$6,IF($G100="H (Apprentice under 25)",'Input Data'!$BG$7,'Input Data'!$BG$8))-'Input Data'!$BG$5),0)*VLOOKUP($G100,'Input Data'!$BI$3:$BL$10,3,FALSE),MAX((AF100-IF(OR($G100="M (under 21)",$G100="Z (under 21 - deferment)"),'Input Data'!$BG$6,IF($G100="H (Apprentice under 25)",'Input Data'!$BG$7,'Input Data'!$BG$8))),0)*VLOOKUP($G100,'Input Data'!$BI$3:$BL$10,4,FALSE))))</f>
        <v>0</v>
      </c>
      <c r="AO100" s="56">
        <f>IF($G100="",0,IF(NOT(OR($G100="A - All employees not in groups B, C, J, H, M or Z",$G100="B - Married women and widows entitled to reduced NI",$G100="C - Over the State Pension age",$G100="H - Apprentice under 25",$G100="J – Deferment",$G100="M - Under 21",$G100="Z - Deferment (Under 21)",$G100="Please Enter The NI Cont. in ££££")),$G100,SUM(MAX(MIN(AG100-'Input Data'!$BG$3,'Input Data'!$BG$5-'Input Data'!$BG$3),0)*VLOOKUP($G100,'Input Data'!$BI$3:$BL$10,2,FALSE),MAX(MIN(AG100-'Input Data'!$BG$5,IF(OR($G100="M (under 21)",$G100="Z (under 21 - deferment)"),'Input Data'!$BG$6,IF($G100="H (Apprentice under 25)",'Input Data'!$BG$7,'Input Data'!$BG$8))-'Input Data'!$BG$5),0)*VLOOKUP($G100,'Input Data'!$BI$3:$BL$10,3,FALSE),MAX((AG100-IF(OR($G100="M (under 21)",$G100="Z (under 21 - deferment)"),'Input Data'!$BG$6,IF($G100="H (Apprentice under 25)",'Input Data'!$BG$7,'Input Data'!$BG$8))),0)*VLOOKUP($G100,'Input Data'!$BI$3:$BL$10,4,FALSE))))</f>
        <v>0</v>
      </c>
      <c r="AP100" s="56">
        <f>IF($G100="",0,IF(NOT(OR($G100="A - All employees not in groups B, C, J, H, M or Z",$G100="B - Married women and widows entitled to reduced NI",$G100="C - Over the State Pension age",$G100="H - Apprentice under 25",$G100="J – Deferment",$G100="M - Under 21",$G100="Z - Deferment (Under 21)",$G100="Please Enter The NI Cont. in ££££")),$G100,SUM(MAX(MIN(AH100-'Input Data'!$BG$3,'Input Data'!$BG$5-'Input Data'!$BG$3),0)*VLOOKUP($G100,'Input Data'!$BI$3:$BL$10,2,FALSE),MAX(MIN(AH100-'Input Data'!$BG$5,IF(OR($G100="M (under 21)",$G100="Z (under 21 - deferment)"),'Input Data'!$BG$6,IF($G100="H (Apprentice under 25)",'Input Data'!$BG$7,'Input Data'!$BG$8))-'Input Data'!$BG$5),0)*VLOOKUP($G100,'Input Data'!$BI$3:$BL$10,3,FALSE),MAX((AH100-IF(OR($G100="M (under 21)",$G100="Z (under 21 - deferment)"),'Input Data'!$BG$6,IF($G100="H (Apprentice under 25)",'Input Data'!$BG$7,'Input Data'!$BG$8))),0)*VLOOKUP($G100,'Input Data'!$BI$3:$BL$10,4,FALSE))))</f>
        <v>0</v>
      </c>
      <c r="AQ100" s="56">
        <f>IF($G100="",0,IF(NOT(OR($G100="A - All employees not in groups B, C, J, H, M or Z",$G100="B - Married women and widows entitled to reduced NI",$G100="C - Over the State Pension age",$G100="H - Apprentice under 25",$G100="J – Deferment",$G100="M - Under 21",$G100="Z - Deferment (Under 21)",$G100="Please Enter The NI Cont. in ££££")),$G100,SUM(MAX(MIN(AI100-'Input Data'!$BG$3,'Input Data'!$BG$5-'Input Data'!$BG$3),0)*VLOOKUP($G100,'Input Data'!$BI$3:$BL$10,2,FALSE),MAX(MIN(AI100-'Input Data'!$BG$5,IF(OR($G100="M (under 21)",$G100="Z (under 21 - deferment)"),'Input Data'!$BG$6,IF($G100="H (Apprentice under 25)",'Input Data'!$BG$7,'Input Data'!$BG$8))-'Input Data'!$BG$5),0)*VLOOKUP($G100,'Input Data'!$BI$3:$BL$10,3,FALSE),MAX((AI100-IF(OR($G100="M (under 21)",$G100="Z (under 21 - deferment)"),'Input Data'!$BG$6,IF($G100="H (Apprentice under 25)",'Input Data'!$BG$7,'Input Data'!$BG$8))),0)*VLOOKUP($G100,'Input Data'!$BI$3:$BL$10,4,FALSE))))</f>
        <v>0</v>
      </c>
      <c r="AR100" s="56">
        <f>IF($G100="",0,IF(NOT(OR($G100="A - All employees not in groups B, C, J, H, M or Z",$G100="B - Married women and widows entitled to reduced NI",$G100="C - Over the State Pension age",$G100="H - Apprentice under 25",$G100="J – Deferment",$G100="M - Under 21",$G100="Z - Deferment (Under 21)",$G100="Please Enter The NI Cont. in ££££")),$G100,SUM(MAX(MIN(AJ100-'Input Data'!$BG$3,'Input Data'!$BG$5-'Input Data'!$BG$3),0)*VLOOKUP($G100,'Input Data'!$BI$3:$BL$10,2,FALSE),MAX(MIN(AJ100-'Input Data'!$BG$5,IF(OR($G100="M (under 21)",$G100="Z (under 21 - deferment)"),'Input Data'!$BG$6,IF($G100="H (Apprentice under 25)",'Input Data'!$BG$7,'Input Data'!$BG$8))-'Input Data'!$BG$5),0)*VLOOKUP($G100,'Input Data'!$BI$3:$BL$10,3,FALSE),MAX((AJ100-IF(OR($G100="M (under 21)",$G100="Z (under 21 - deferment)"),'Input Data'!$BG$6,IF($G100="H (Apprentice under 25)",'Input Data'!$BG$7,'Input Data'!$BG$8))),0)*VLOOKUP($G100,'Input Data'!$BI$3:$BL$10,4,FALSE))))</f>
        <v>0</v>
      </c>
      <c r="AS100" s="56">
        <f>AC100*$F100</f>
        <v>0</v>
      </c>
      <c r="AT100" s="56">
        <f>AD100*$F100</f>
        <v>0</v>
      </c>
      <c r="AU100" s="56">
        <f>AE100*$F100</f>
        <v>0</v>
      </c>
      <c r="AV100" s="56">
        <f>AF100*$F100</f>
        <v>0</v>
      </c>
      <c r="AW100" s="56">
        <f>AG100*$F100</f>
        <v>0</v>
      </c>
      <c r="AX100" s="56">
        <f>AH100*$F100</f>
        <v>0</v>
      </c>
      <c r="AY100" s="56">
        <f>AI100*$F100</f>
        <v>0</v>
      </c>
      <c r="AZ100" s="56">
        <f>AJ100*$F100</f>
        <v>0</v>
      </c>
    </row>
    <row r="101" spans="2:52" ht="25.5">
      <c r="B101" s="60"/>
      <c r="C101" s="57" t="s">
        <v>71</v>
      </c>
      <c r="D101" s="58"/>
      <c r="E101" s="58"/>
      <c r="F101" s="535"/>
      <c r="G101" s="693" t="s">
        <v>1149</v>
      </c>
      <c r="H101" s="65"/>
      <c r="I101" s="65"/>
      <c r="J101" s="65"/>
      <c r="K101" s="65"/>
      <c r="L101" s="65"/>
      <c r="M101" s="65"/>
      <c r="N101" s="65"/>
      <c r="O101" s="65"/>
      <c r="P101" s="29"/>
      <c r="Q101" s="597"/>
      <c r="R101" s="61"/>
      <c r="T101" s="43">
        <f>SUM(AC101,AK101,AS101)</f>
        <v>0</v>
      </c>
      <c r="U101" s="43">
        <f>SUM(AD101,AL101,AT101)</f>
        <v>0</v>
      </c>
      <c r="V101" s="43">
        <f>SUM(AE101,AM101,AU101)</f>
        <v>0</v>
      </c>
      <c r="W101" s="43">
        <f>SUM(AF101,AN101,AV101)</f>
        <v>0</v>
      </c>
      <c r="X101" s="43">
        <f>SUM(AG101,AO101,AW101)</f>
        <v>0</v>
      </c>
      <c r="Y101" s="43">
        <f>SUM(AH101,AP101,AX101)</f>
        <v>0</v>
      </c>
      <c r="Z101" s="43">
        <f>SUM(AI101,AQ101,AY101)</f>
        <v>0</v>
      </c>
      <c r="AA101" s="43">
        <f>SUM(AJ101,AR101,AZ101)</f>
        <v>0</v>
      </c>
      <c r="AC101" s="631">
        <f>SUM($D101:$E101)*H101</f>
        <v>0</v>
      </c>
      <c r="AD101" s="631">
        <f>SUM($D101:$E101)*I101</f>
        <v>0</v>
      </c>
      <c r="AE101" s="631">
        <f>SUM($D101:$E101)*J101</f>
        <v>0</v>
      </c>
      <c r="AF101" s="631">
        <f>SUM($D101:$E101)*K101</f>
        <v>0</v>
      </c>
      <c r="AG101" s="631">
        <f>SUM($D101:$E101)*L101</f>
        <v>0</v>
      </c>
      <c r="AH101" s="631">
        <f>SUM($D101:$E101)*M101</f>
        <v>0</v>
      </c>
      <c r="AI101" s="631">
        <f>SUM($D101:$E101)*N101</f>
        <v>0</v>
      </c>
      <c r="AJ101" s="631">
        <f>SUM($D101:$E101)*O101</f>
        <v>0</v>
      </c>
      <c r="AK101" s="56">
        <f>IF($G101="",0,IF(NOT(OR($G101="A - All employees not in groups B, C, J, H, M or Z",$G101="B - Married women and widows entitled to reduced NI",$G101="C - Over the State Pension age",$G101="H - Apprentice under 25",$G101="J – Deferment",$G101="M - Under 21",$G101="Z - Deferment (Under 21)",$G101="Please Enter The NI Cont. in ££££")),$G101,SUM(MAX(MIN(AC101-'Input Data'!$BG$3,'Input Data'!$BG$5-'Input Data'!$BG$3),0)*VLOOKUP($G101,'Input Data'!$BI$3:$BL$10,2,FALSE),MAX(MIN(AC101-'Input Data'!$BG$5,IF(OR($G101="M (under 21)",$G101="Z (under 21 - deferment)"),'Input Data'!$BG$6,IF($G101="H (Apprentice under 25)",'Input Data'!$BG$7,'Input Data'!$BG$8))-'Input Data'!$BG$5),0)*VLOOKUP($G101,'Input Data'!$BI$3:$BL$10,3,FALSE),MAX((AC101-IF(OR($G101="M (under 21)",$G101="Z (under 21 - deferment)"),'Input Data'!$BG$6,IF($G101="H (Apprentice under 25)",'Input Data'!$BG$7,'Input Data'!$BG$8))),0)*VLOOKUP($G101,'Input Data'!$BI$3:$BL$10,4,FALSE))))</f>
        <v>0</v>
      </c>
      <c r="AL101" s="56">
        <f>IF($G101="",0,IF(NOT(OR($G101="A - All employees not in groups B, C, J, H, M or Z",$G101="B - Married women and widows entitled to reduced NI",$G101="C - Over the State Pension age",$G101="H - Apprentice under 25",$G101="J – Deferment",$G101="M - Under 21",$G101="Z - Deferment (Under 21)",$G101="Please Enter The NI Cont. in ££££")),$G101,SUM(MAX(MIN(AD101-'Input Data'!$BG$3,'Input Data'!$BG$5-'Input Data'!$BG$3),0)*VLOOKUP($G101,'Input Data'!$BI$3:$BL$10,2,FALSE),MAX(MIN(AD101-'Input Data'!$BG$5,IF(OR($G101="M (under 21)",$G101="Z (under 21 - deferment)"),'Input Data'!$BG$6,IF($G101="H (Apprentice under 25)",'Input Data'!$BG$7,'Input Data'!$BG$8))-'Input Data'!$BG$5),0)*VLOOKUP($G101,'Input Data'!$BI$3:$BL$10,3,FALSE),MAX((AD101-IF(OR($G101="M (under 21)",$G101="Z (under 21 - deferment)"),'Input Data'!$BG$6,IF($G101="H (Apprentice under 25)",'Input Data'!$BG$7,'Input Data'!$BG$8))),0)*VLOOKUP($G101,'Input Data'!$BI$3:$BL$10,4,FALSE))))</f>
        <v>0</v>
      </c>
      <c r="AM101" s="56">
        <f>IF($G101="",0,IF(NOT(OR($G101="A - All employees not in groups B, C, J, H, M or Z",$G101="B - Married women and widows entitled to reduced NI",$G101="C - Over the State Pension age",$G101="H - Apprentice under 25",$G101="J – Deferment",$G101="M - Under 21",$G101="Z - Deferment (Under 21)",$G101="Please Enter The NI Cont. in ££££")),$G101,SUM(MAX(MIN(AE101-'Input Data'!$BG$3,'Input Data'!$BG$5-'Input Data'!$BG$3),0)*VLOOKUP($G101,'Input Data'!$BI$3:$BL$10,2,FALSE),MAX(MIN(AE101-'Input Data'!$BG$5,IF(OR($G101="M (under 21)",$G101="Z (under 21 - deferment)"),'Input Data'!$BG$6,IF($G101="H (Apprentice under 25)",'Input Data'!$BG$7,'Input Data'!$BG$8))-'Input Data'!$BG$5),0)*VLOOKUP($G101,'Input Data'!$BI$3:$BL$10,3,FALSE),MAX((AE101-IF(OR($G101="M (under 21)",$G101="Z (under 21 - deferment)"),'Input Data'!$BG$6,IF($G101="H (Apprentice under 25)",'Input Data'!$BG$7,'Input Data'!$BG$8))),0)*VLOOKUP($G101,'Input Data'!$BI$3:$BL$10,4,FALSE))))</f>
        <v>0</v>
      </c>
      <c r="AN101" s="56">
        <f>IF($G101="",0,IF(NOT(OR($G101="A - All employees not in groups B, C, J, H, M or Z",$G101="B - Married women and widows entitled to reduced NI",$G101="C - Over the State Pension age",$G101="H - Apprentice under 25",$G101="J – Deferment",$G101="M - Under 21",$G101="Z - Deferment (Under 21)",$G101="Please Enter The NI Cont. in ££££")),$G101,SUM(MAX(MIN(AF101-'Input Data'!$BG$3,'Input Data'!$BG$5-'Input Data'!$BG$3),0)*VLOOKUP($G101,'Input Data'!$BI$3:$BL$10,2,FALSE),MAX(MIN(AF101-'Input Data'!$BG$5,IF(OR($G101="M (under 21)",$G101="Z (under 21 - deferment)"),'Input Data'!$BG$6,IF($G101="H (Apprentice under 25)",'Input Data'!$BG$7,'Input Data'!$BG$8))-'Input Data'!$BG$5),0)*VLOOKUP($G101,'Input Data'!$BI$3:$BL$10,3,FALSE),MAX((AF101-IF(OR($G101="M (under 21)",$G101="Z (under 21 - deferment)"),'Input Data'!$BG$6,IF($G101="H (Apprentice under 25)",'Input Data'!$BG$7,'Input Data'!$BG$8))),0)*VLOOKUP($G101,'Input Data'!$BI$3:$BL$10,4,FALSE))))</f>
        <v>0</v>
      </c>
      <c r="AO101" s="56">
        <f>IF($G101="",0,IF(NOT(OR($G101="A - All employees not in groups B, C, J, H, M or Z",$G101="B - Married women and widows entitled to reduced NI",$G101="C - Over the State Pension age",$G101="H - Apprentice under 25",$G101="J – Deferment",$G101="M - Under 21",$G101="Z - Deferment (Under 21)",$G101="Please Enter The NI Cont. in ££££")),$G101,SUM(MAX(MIN(AG101-'Input Data'!$BG$3,'Input Data'!$BG$5-'Input Data'!$BG$3),0)*VLOOKUP($G101,'Input Data'!$BI$3:$BL$10,2,FALSE),MAX(MIN(AG101-'Input Data'!$BG$5,IF(OR($G101="M (under 21)",$G101="Z (under 21 - deferment)"),'Input Data'!$BG$6,IF($G101="H (Apprentice under 25)",'Input Data'!$BG$7,'Input Data'!$BG$8))-'Input Data'!$BG$5),0)*VLOOKUP($G101,'Input Data'!$BI$3:$BL$10,3,FALSE),MAX((AG101-IF(OR($G101="M (under 21)",$G101="Z (under 21 - deferment)"),'Input Data'!$BG$6,IF($G101="H (Apprentice under 25)",'Input Data'!$BG$7,'Input Data'!$BG$8))),0)*VLOOKUP($G101,'Input Data'!$BI$3:$BL$10,4,FALSE))))</f>
        <v>0</v>
      </c>
      <c r="AP101" s="56">
        <f>IF($G101="",0,IF(NOT(OR($G101="A - All employees not in groups B, C, J, H, M or Z",$G101="B - Married women and widows entitled to reduced NI",$G101="C - Over the State Pension age",$G101="H - Apprentice under 25",$G101="J – Deferment",$G101="M - Under 21",$G101="Z - Deferment (Under 21)",$G101="Please Enter The NI Cont. in ££££")),$G101,SUM(MAX(MIN(AH101-'Input Data'!$BG$3,'Input Data'!$BG$5-'Input Data'!$BG$3),0)*VLOOKUP($G101,'Input Data'!$BI$3:$BL$10,2,FALSE),MAX(MIN(AH101-'Input Data'!$BG$5,IF(OR($G101="M (under 21)",$G101="Z (under 21 - deferment)"),'Input Data'!$BG$6,IF($G101="H (Apprentice under 25)",'Input Data'!$BG$7,'Input Data'!$BG$8))-'Input Data'!$BG$5),0)*VLOOKUP($G101,'Input Data'!$BI$3:$BL$10,3,FALSE),MAX((AH101-IF(OR($G101="M (under 21)",$G101="Z (under 21 - deferment)"),'Input Data'!$BG$6,IF($G101="H (Apprentice under 25)",'Input Data'!$BG$7,'Input Data'!$BG$8))),0)*VLOOKUP($G101,'Input Data'!$BI$3:$BL$10,4,FALSE))))</f>
        <v>0</v>
      </c>
      <c r="AQ101" s="56">
        <f>IF($G101="",0,IF(NOT(OR($G101="A - All employees not in groups B, C, J, H, M or Z",$G101="B - Married women and widows entitled to reduced NI",$G101="C - Over the State Pension age",$G101="H - Apprentice under 25",$G101="J – Deferment",$G101="M - Under 21",$G101="Z - Deferment (Under 21)",$G101="Please Enter The NI Cont. in ££££")),$G101,SUM(MAX(MIN(AI101-'Input Data'!$BG$3,'Input Data'!$BG$5-'Input Data'!$BG$3),0)*VLOOKUP($G101,'Input Data'!$BI$3:$BL$10,2,FALSE),MAX(MIN(AI101-'Input Data'!$BG$5,IF(OR($G101="M (under 21)",$G101="Z (under 21 - deferment)"),'Input Data'!$BG$6,IF($G101="H (Apprentice under 25)",'Input Data'!$BG$7,'Input Data'!$BG$8))-'Input Data'!$BG$5),0)*VLOOKUP($G101,'Input Data'!$BI$3:$BL$10,3,FALSE),MAX((AI101-IF(OR($G101="M (under 21)",$G101="Z (under 21 - deferment)"),'Input Data'!$BG$6,IF($G101="H (Apprentice under 25)",'Input Data'!$BG$7,'Input Data'!$BG$8))),0)*VLOOKUP($G101,'Input Data'!$BI$3:$BL$10,4,FALSE))))</f>
        <v>0</v>
      </c>
      <c r="AR101" s="56">
        <f>IF($G101="",0,IF(NOT(OR($G101="A - All employees not in groups B, C, J, H, M or Z",$G101="B - Married women and widows entitled to reduced NI",$G101="C - Over the State Pension age",$G101="H - Apprentice under 25",$G101="J – Deferment",$G101="M - Under 21",$G101="Z - Deferment (Under 21)",$G101="Please Enter The NI Cont. in ££££")),$G101,SUM(MAX(MIN(AJ101-'Input Data'!$BG$3,'Input Data'!$BG$5-'Input Data'!$BG$3),0)*VLOOKUP($G101,'Input Data'!$BI$3:$BL$10,2,FALSE),MAX(MIN(AJ101-'Input Data'!$BG$5,IF(OR($G101="M (under 21)",$G101="Z (under 21 - deferment)"),'Input Data'!$BG$6,IF($G101="H (Apprentice under 25)",'Input Data'!$BG$7,'Input Data'!$BG$8))-'Input Data'!$BG$5),0)*VLOOKUP($G101,'Input Data'!$BI$3:$BL$10,3,FALSE),MAX((AJ101-IF(OR($G101="M (under 21)",$G101="Z (under 21 - deferment)"),'Input Data'!$BG$6,IF($G101="H (Apprentice under 25)",'Input Data'!$BG$7,'Input Data'!$BG$8))),0)*VLOOKUP($G101,'Input Data'!$BI$3:$BL$10,4,FALSE))))</f>
        <v>0</v>
      </c>
      <c r="AS101" s="56">
        <f>AC101*$F101</f>
        <v>0</v>
      </c>
      <c r="AT101" s="56">
        <f>AD101*$F101</f>
        <v>0</v>
      </c>
      <c r="AU101" s="56">
        <f>AE101*$F101</f>
        <v>0</v>
      </c>
      <c r="AV101" s="56">
        <f>AF101*$F101</f>
        <v>0</v>
      </c>
      <c r="AW101" s="56">
        <f>AG101*$F101</f>
        <v>0</v>
      </c>
      <c r="AX101" s="56">
        <f>AH101*$F101</f>
        <v>0</v>
      </c>
      <c r="AY101" s="56">
        <f>AI101*$F101</f>
        <v>0</v>
      </c>
      <c r="AZ101" s="56">
        <f>AJ101*$F101</f>
        <v>0</v>
      </c>
    </row>
    <row r="102" spans="2:52" ht="25.5">
      <c r="B102" s="60"/>
      <c r="C102" s="57" t="s">
        <v>72</v>
      </c>
      <c r="D102" s="58"/>
      <c r="E102" s="58"/>
      <c r="F102" s="535"/>
      <c r="G102" s="693" t="s">
        <v>1149</v>
      </c>
      <c r="H102" s="65"/>
      <c r="I102" s="65"/>
      <c r="J102" s="65"/>
      <c r="K102" s="65"/>
      <c r="L102" s="65"/>
      <c r="M102" s="65"/>
      <c r="N102" s="65"/>
      <c r="O102" s="65"/>
      <c r="P102" s="29"/>
      <c r="Q102" s="597"/>
      <c r="R102" s="61"/>
      <c r="T102" s="43">
        <f>SUM(AC102,AK102,AS102)</f>
        <v>0</v>
      </c>
      <c r="U102" s="43">
        <f>SUM(AD102,AL102,AT102)</f>
        <v>0</v>
      </c>
      <c r="V102" s="43">
        <f>SUM(AE102,AM102,AU102)</f>
        <v>0</v>
      </c>
      <c r="W102" s="43">
        <f>SUM(AF102,AN102,AV102)</f>
        <v>0</v>
      </c>
      <c r="X102" s="43">
        <f>SUM(AG102,AO102,AW102)</f>
        <v>0</v>
      </c>
      <c r="Y102" s="43">
        <f>SUM(AH102,AP102,AX102)</f>
        <v>0</v>
      </c>
      <c r="Z102" s="43">
        <f>SUM(AI102,AQ102,AY102)</f>
        <v>0</v>
      </c>
      <c r="AA102" s="43">
        <f>SUM(AJ102,AR102,AZ102)</f>
        <v>0</v>
      </c>
      <c r="AC102" s="631">
        <f>SUM($D102:$E102)*H102</f>
        <v>0</v>
      </c>
      <c r="AD102" s="631">
        <f>SUM($D102:$E102)*I102</f>
        <v>0</v>
      </c>
      <c r="AE102" s="631">
        <f>SUM($D102:$E102)*J102</f>
        <v>0</v>
      </c>
      <c r="AF102" s="631">
        <f>SUM($D102:$E102)*K102</f>
        <v>0</v>
      </c>
      <c r="AG102" s="631">
        <f>SUM($D102:$E102)*L102</f>
        <v>0</v>
      </c>
      <c r="AH102" s="631">
        <f>SUM($D102:$E102)*M102</f>
        <v>0</v>
      </c>
      <c r="AI102" s="631">
        <f>SUM($D102:$E102)*N102</f>
        <v>0</v>
      </c>
      <c r="AJ102" s="631">
        <f>SUM($D102:$E102)*O102</f>
        <v>0</v>
      </c>
      <c r="AK102" s="56">
        <f>IF($G102="",0,IF(NOT(OR($G102="A - All employees not in groups B, C, J, H, M or Z",$G102="B - Married women and widows entitled to reduced NI",$G102="C - Over the State Pension age",$G102="H - Apprentice under 25",$G102="J – Deferment",$G102="M - Under 21",$G102="Z - Deferment (Under 21)",$G102="Please Enter The NI Cont. in ££££")),$G102,SUM(MAX(MIN(AC102-'Input Data'!$BG$3,'Input Data'!$BG$5-'Input Data'!$BG$3),0)*VLOOKUP($G102,'Input Data'!$BI$3:$BL$10,2,FALSE),MAX(MIN(AC102-'Input Data'!$BG$5,IF(OR($G102="M (under 21)",$G102="Z (under 21 - deferment)"),'Input Data'!$BG$6,IF($G102="H (Apprentice under 25)",'Input Data'!$BG$7,'Input Data'!$BG$8))-'Input Data'!$BG$5),0)*VLOOKUP($G102,'Input Data'!$BI$3:$BL$10,3,FALSE),MAX((AC102-IF(OR($G102="M (under 21)",$G102="Z (under 21 - deferment)"),'Input Data'!$BG$6,IF($G102="H (Apprentice under 25)",'Input Data'!$BG$7,'Input Data'!$BG$8))),0)*VLOOKUP($G102,'Input Data'!$BI$3:$BL$10,4,FALSE))))</f>
        <v>0</v>
      </c>
      <c r="AL102" s="56">
        <f>IF($G102="",0,IF(NOT(OR($G102="A - All employees not in groups B, C, J, H, M or Z",$G102="B - Married women and widows entitled to reduced NI",$G102="C - Over the State Pension age",$G102="H - Apprentice under 25",$G102="J – Deferment",$G102="M - Under 21",$G102="Z - Deferment (Under 21)",$G102="Please Enter The NI Cont. in ££££")),$G102,SUM(MAX(MIN(AD102-'Input Data'!$BG$3,'Input Data'!$BG$5-'Input Data'!$BG$3),0)*VLOOKUP($G102,'Input Data'!$BI$3:$BL$10,2,FALSE),MAX(MIN(AD102-'Input Data'!$BG$5,IF(OR($G102="M (under 21)",$G102="Z (under 21 - deferment)"),'Input Data'!$BG$6,IF($G102="H (Apprentice under 25)",'Input Data'!$BG$7,'Input Data'!$BG$8))-'Input Data'!$BG$5),0)*VLOOKUP($G102,'Input Data'!$BI$3:$BL$10,3,FALSE),MAX((AD102-IF(OR($G102="M (under 21)",$G102="Z (under 21 - deferment)"),'Input Data'!$BG$6,IF($G102="H (Apprentice under 25)",'Input Data'!$BG$7,'Input Data'!$BG$8))),0)*VLOOKUP($G102,'Input Data'!$BI$3:$BL$10,4,FALSE))))</f>
        <v>0</v>
      </c>
      <c r="AM102" s="56">
        <f>IF($G102="",0,IF(NOT(OR($G102="A - All employees not in groups B, C, J, H, M or Z",$G102="B - Married women and widows entitled to reduced NI",$G102="C - Over the State Pension age",$G102="H - Apprentice under 25",$G102="J – Deferment",$G102="M - Under 21",$G102="Z - Deferment (Under 21)",$G102="Please Enter The NI Cont. in ££££")),$G102,SUM(MAX(MIN(AE102-'Input Data'!$BG$3,'Input Data'!$BG$5-'Input Data'!$BG$3),0)*VLOOKUP($G102,'Input Data'!$BI$3:$BL$10,2,FALSE),MAX(MIN(AE102-'Input Data'!$BG$5,IF(OR($G102="M (under 21)",$G102="Z (under 21 - deferment)"),'Input Data'!$BG$6,IF($G102="H (Apprentice under 25)",'Input Data'!$BG$7,'Input Data'!$BG$8))-'Input Data'!$BG$5),0)*VLOOKUP($G102,'Input Data'!$BI$3:$BL$10,3,FALSE),MAX((AE102-IF(OR($G102="M (under 21)",$G102="Z (under 21 - deferment)"),'Input Data'!$BG$6,IF($G102="H (Apprentice under 25)",'Input Data'!$BG$7,'Input Data'!$BG$8))),0)*VLOOKUP($G102,'Input Data'!$BI$3:$BL$10,4,FALSE))))</f>
        <v>0</v>
      </c>
      <c r="AN102" s="56">
        <f>IF($G102="",0,IF(NOT(OR($G102="A - All employees not in groups B, C, J, H, M or Z",$G102="B - Married women and widows entitled to reduced NI",$G102="C - Over the State Pension age",$G102="H - Apprentice under 25",$G102="J – Deferment",$G102="M - Under 21",$G102="Z - Deferment (Under 21)",$G102="Please Enter The NI Cont. in ££££")),$G102,SUM(MAX(MIN(AF102-'Input Data'!$BG$3,'Input Data'!$BG$5-'Input Data'!$BG$3),0)*VLOOKUP($G102,'Input Data'!$BI$3:$BL$10,2,FALSE),MAX(MIN(AF102-'Input Data'!$BG$5,IF(OR($G102="M (under 21)",$G102="Z (under 21 - deferment)"),'Input Data'!$BG$6,IF($G102="H (Apprentice under 25)",'Input Data'!$BG$7,'Input Data'!$BG$8))-'Input Data'!$BG$5),0)*VLOOKUP($G102,'Input Data'!$BI$3:$BL$10,3,FALSE),MAX((AF102-IF(OR($G102="M (under 21)",$G102="Z (under 21 - deferment)"),'Input Data'!$BG$6,IF($G102="H (Apprentice under 25)",'Input Data'!$BG$7,'Input Data'!$BG$8))),0)*VLOOKUP($G102,'Input Data'!$BI$3:$BL$10,4,FALSE))))</f>
        <v>0</v>
      </c>
      <c r="AO102" s="56">
        <f>IF($G102="",0,IF(NOT(OR($G102="A - All employees not in groups B, C, J, H, M or Z",$G102="B - Married women and widows entitled to reduced NI",$G102="C - Over the State Pension age",$G102="H - Apprentice under 25",$G102="J – Deferment",$G102="M - Under 21",$G102="Z - Deferment (Under 21)",$G102="Please Enter The NI Cont. in ££££")),$G102,SUM(MAX(MIN(AG102-'Input Data'!$BG$3,'Input Data'!$BG$5-'Input Data'!$BG$3),0)*VLOOKUP($G102,'Input Data'!$BI$3:$BL$10,2,FALSE),MAX(MIN(AG102-'Input Data'!$BG$5,IF(OR($G102="M (under 21)",$G102="Z (under 21 - deferment)"),'Input Data'!$BG$6,IF($G102="H (Apprentice under 25)",'Input Data'!$BG$7,'Input Data'!$BG$8))-'Input Data'!$BG$5),0)*VLOOKUP($G102,'Input Data'!$BI$3:$BL$10,3,FALSE),MAX((AG102-IF(OR($G102="M (under 21)",$G102="Z (under 21 - deferment)"),'Input Data'!$BG$6,IF($G102="H (Apprentice under 25)",'Input Data'!$BG$7,'Input Data'!$BG$8))),0)*VLOOKUP($G102,'Input Data'!$BI$3:$BL$10,4,FALSE))))</f>
        <v>0</v>
      </c>
      <c r="AP102" s="56">
        <f>IF($G102="",0,IF(NOT(OR($G102="A - All employees not in groups B, C, J, H, M or Z",$G102="B - Married women and widows entitled to reduced NI",$G102="C - Over the State Pension age",$G102="H - Apprentice under 25",$G102="J – Deferment",$G102="M - Under 21",$G102="Z - Deferment (Under 21)",$G102="Please Enter The NI Cont. in ££££")),$G102,SUM(MAX(MIN(AH102-'Input Data'!$BG$3,'Input Data'!$BG$5-'Input Data'!$BG$3),0)*VLOOKUP($G102,'Input Data'!$BI$3:$BL$10,2,FALSE),MAX(MIN(AH102-'Input Data'!$BG$5,IF(OR($G102="M (under 21)",$G102="Z (under 21 - deferment)"),'Input Data'!$BG$6,IF($G102="H (Apprentice under 25)",'Input Data'!$BG$7,'Input Data'!$BG$8))-'Input Data'!$BG$5),0)*VLOOKUP($G102,'Input Data'!$BI$3:$BL$10,3,FALSE),MAX((AH102-IF(OR($G102="M (under 21)",$G102="Z (under 21 - deferment)"),'Input Data'!$BG$6,IF($G102="H (Apprentice under 25)",'Input Data'!$BG$7,'Input Data'!$BG$8))),0)*VLOOKUP($G102,'Input Data'!$BI$3:$BL$10,4,FALSE))))</f>
        <v>0</v>
      </c>
      <c r="AQ102" s="56">
        <f>IF($G102="",0,IF(NOT(OR($G102="A - All employees not in groups B, C, J, H, M or Z",$G102="B - Married women and widows entitled to reduced NI",$G102="C - Over the State Pension age",$G102="H - Apprentice under 25",$G102="J – Deferment",$G102="M - Under 21",$G102="Z - Deferment (Under 21)",$G102="Please Enter The NI Cont. in ££££")),$G102,SUM(MAX(MIN(AI102-'Input Data'!$BG$3,'Input Data'!$BG$5-'Input Data'!$BG$3),0)*VLOOKUP($G102,'Input Data'!$BI$3:$BL$10,2,FALSE),MAX(MIN(AI102-'Input Data'!$BG$5,IF(OR($G102="M (under 21)",$G102="Z (under 21 - deferment)"),'Input Data'!$BG$6,IF($G102="H (Apprentice under 25)",'Input Data'!$BG$7,'Input Data'!$BG$8))-'Input Data'!$BG$5),0)*VLOOKUP($G102,'Input Data'!$BI$3:$BL$10,3,FALSE),MAX((AI102-IF(OR($G102="M (under 21)",$G102="Z (under 21 - deferment)"),'Input Data'!$BG$6,IF($G102="H (Apprentice under 25)",'Input Data'!$BG$7,'Input Data'!$BG$8))),0)*VLOOKUP($G102,'Input Data'!$BI$3:$BL$10,4,FALSE))))</f>
        <v>0</v>
      </c>
      <c r="AR102" s="56">
        <f>IF($G102="",0,IF(NOT(OR($G102="A - All employees not in groups B, C, J, H, M or Z",$G102="B - Married women and widows entitled to reduced NI",$G102="C - Over the State Pension age",$G102="H - Apprentice under 25",$G102="J – Deferment",$G102="M - Under 21",$G102="Z - Deferment (Under 21)",$G102="Please Enter The NI Cont. in ££££")),$G102,SUM(MAX(MIN(AJ102-'Input Data'!$BG$3,'Input Data'!$BG$5-'Input Data'!$BG$3),0)*VLOOKUP($G102,'Input Data'!$BI$3:$BL$10,2,FALSE),MAX(MIN(AJ102-'Input Data'!$BG$5,IF(OR($G102="M (under 21)",$G102="Z (under 21 - deferment)"),'Input Data'!$BG$6,IF($G102="H (Apprentice under 25)",'Input Data'!$BG$7,'Input Data'!$BG$8))-'Input Data'!$BG$5),0)*VLOOKUP($G102,'Input Data'!$BI$3:$BL$10,3,FALSE),MAX((AJ102-IF(OR($G102="M (under 21)",$G102="Z (under 21 - deferment)"),'Input Data'!$BG$6,IF($G102="H (Apprentice under 25)",'Input Data'!$BG$7,'Input Data'!$BG$8))),0)*VLOOKUP($G102,'Input Data'!$BI$3:$BL$10,4,FALSE))))</f>
        <v>0</v>
      </c>
      <c r="AS102" s="56">
        <f>AC102*$F102</f>
        <v>0</v>
      </c>
      <c r="AT102" s="56">
        <f>AD102*$F102</f>
        <v>0</v>
      </c>
      <c r="AU102" s="56">
        <f>AE102*$F102</f>
        <v>0</v>
      </c>
      <c r="AV102" s="56">
        <f>AF102*$F102</f>
        <v>0</v>
      </c>
      <c r="AW102" s="56">
        <f>AG102*$F102</f>
        <v>0</v>
      </c>
      <c r="AX102" s="56">
        <f>AH102*$F102</f>
        <v>0</v>
      </c>
      <c r="AY102" s="56">
        <f>AI102*$F102</f>
        <v>0</v>
      </c>
      <c r="AZ102" s="56">
        <f>AJ102*$F102</f>
        <v>0</v>
      </c>
    </row>
    <row r="103" spans="2:52" ht="25.5">
      <c r="B103" s="60"/>
      <c r="C103" s="57" t="s">
        <v>73</v>
      </c>
      <c r="D103" s="58"/>
      <c r="E103" s="58"/>
      <c r="F103" s="535"/>
      <c r="G103" s="693" t="s">
        <v>1149</v>
      </c>
      <c r="H103" s="65"/>
      <c r="I103" s="65"/>
      <c r="J103" s="65"/>
      <c r="K103" s="65"/>
      <c r="L103" s="65"/>
      <c r="M103" s="65"/>
      <c r="N103" s="65"/>
      <c r="O103" s="65"/>
      <c r="P103" s="29"/>
      <c r="Q103" s="597"/>
      <c r="R103" s="61"/>
      <c r="T103" s="43">
        <f>SUM(AC103,AK103,AS103)</f>
        <v>0</v>
      </c>
      <c r="U103" s="43">
        <f>SUM(AD103,AL103,AT103)</f>
        <v>0</v>
      </c>
      <c r="V103" s="43">
        <f>SUM(AE103,AM103,AU103)</f>
        <v>0</v>
      </c>
      <c r="W103" s="43">
        <f>SUM(AF103,AN103,AV103)</f>
        <v>0</v>
      </c>
      <c r="X103" s="43">
        <f>SUM(AG103,AO103,AW103)</f>
        <v>0</v>
      </c>
      <c r="Y103" s="43">
        <f>SUM(AH103,AP103,AX103)</f>
        <v>0</v>
      </c>
      <c r="Z103" s="43">
        <f>SUM(AI103,AQ103,AY103)</f>
        <v>0</v>
      </c>
      <c r="AA103" s="43">
        <f>SUM(AJ103,AR103,AZ103)</f>
        <v>0</v>
      </c>
      <c r="AC103" s="631">
        <f>SUM($D103:$E103)*H103</f>
        <v>0</v>
      </c>
      <c r="AD103" s="631">
        <f>SUM($D103:$E103)*I103</f>
        <v>0</v>
      </c>
      <c r="AE103" s="631">
        <f>SUM($D103:$E103)*J103</f>
        <v>0</v>
      </c>
      <c r="AF103" s="631">
        <f>SUM($D103:$E103)*K103</f>
        <v>0</v>
      </c>
      <c r="AG103" s="631">
        <f>SUM($D103:$E103)*L103</f>
        <v>0</v>
      </c>
      <c r="AH103" s="631">
        <f>SUM($D103:$E103)*M103</f>
        <v>0</v>
      </c>
      <c r="AI103" s="631">
        <f>SUM($D103:$E103)*N103</f>
        <v>0</v>
      </c>
      <c r="AJ103" s="631">
        <f>SUM($D103:$E103)*O103</f>
        <v>0</v>
      </c>
      <c r="AK103" s="56">
        <f>IF($G103="",0,IF(NOT(OR($G103="A - All employees not in groups B, C, J, H, M or Z",$G103="B - Married women and widows entitled to reduced NI",$G103="C - Over the State Pension age",$G103="H - Apprentice under 25",$G103="J – Deferment",$G103="M - Under 21",$G103="Z - Deferment (Under 21)",$G103="Please Enter The NI Cont. in ££££")),$G103,SUM(MAX(MIN(AC103-'Input Data'!$BG$3,'Input Data'!$BG$5-'Input Data'!$BG$3),0)*VLOOKUP($G103,'Input Data'!$BI$3:$BL$10,2,FALSE),MAX(MIN(AC103-'Input Data'!$BG$5,IF(OR($G103="M (under 21)",$G103="Z (under 21 - deferment)"),'Input Data'!$BG$6,IF($G103="H (Apprentice under 25)",'Input Data'!$BG$7,'Input Data'!$BG$8))-'Input Data'!$BG$5),0)*VLOOKUP($G103,'Input Data'!$BI$3:$BL$10,3,FALSE),MAX((AC103-IF(OR($G103="M (under 21)",$G103="Z (under 21 - deferment)"),'Input Data'!$BG$6,IF($G103="H (Apprentice under 25)",'Input Data'!$BG$7,'Input Data'!$BG$8))),0)*VLOOKUP($G103,'Input Data'!$BI$3:$BL$10,4,FALSE))))</f>
        <v>0</v>
      </c>
      <c r="AL103" s="56">
        <f>IF($G103="",0,IF(NOT(OR($G103="A - All employees not in groups B, C, J, H, M or Z",$G103="B - Married women and widows entitled to reduced NI",$G103="C - Over the State Pension age",$G103="H - Apprentice under 25",$G103="J – Deferment",$G103="M - Under 21",$G103="Z - Deferment (Under 21)",$G103="Please Enter The NI Cont. in ££££")),$G103,SUM(MAX(MIN(AD103-'Input Data'!$BG$3,'Input Data'!$BG$5-'Input Data'!$BG$3),0)*VLOOKUP($G103,'Input Data'!$BI$3:$BL$10,2,FALSE),MAX(MIN(AD103-'Input Data'!$BG$5,IF(OR($G103="M (under 21)",$G103="Z (under 21 - deferment)"),'Input Data'!$BG$6,IF($G103="H (Apprentice under 25)",'Input Data'!$BG$7,'Input Data'!$BG$8))-'Input Data'!$BG$5),0)*VLOOKUP($G103,'Input Data'!$BI$3:$BL$10,3,FALSE),MAX((AD103-IF(OR($G103="M (under 21)",$G103="Z (under 21 - deferment)"),'Input Data'!$BG$6,IF($G103="H (Apprentice under 25)",'Input Data'!$BG$7,'Input Data'!$BG$8))),0)*VLOOKUP($G103,'Input Data'!$BI$3:$BL$10,4,FALSE))))</f>
        <v>0</v>
      </c>
      <c r="AM103" s="56">
        <f>IF($G103="",0,IF(NOT(OR($G103="A - All employees not in groups B, C, J, H, M or Z",$G103="B - Married women and widows entitled to reduced NI",$G103="C - Over the State Pension age",$G103="H - Apprentice under 25",$G103="J – Deferment",$G103="M - Under 21",$G103="Z - Deferment (Under 21)",$G103="Please Enter The NI Cont. in ££££")),$G103,SUM(MAX(MIN(AE103-'Input Data'!$BG$3,'Input Data'!$BG$5-'Input Data'!$BG$3),0)*VLOOKUP($G103,'Input Data'!$BI$3:$BL$10,2,FALSE),MAX(MIN(AE103-'Input Data'!$BG$5,IF(OR($G103="M (under 21)",$G103="Z (under 21 - deferment)"),'Input Data'!$BG$6,IF($G103="H (Apprentice under 25)",'Input Data'!$BG$7,'Input Data'!$BG$8))-'Input Data'!$BG$5),0)*VLOOKUP($G103,'Input Data'!$BI$3:$BL$10,3,FALSE),MAX((AE103-IF(OR($G103="M (under 21)",$G103="Z (under 21 - deferment)"),'Input Data'!$BG$6,IF($G103="H (Apprentice under 25)",'Input Data'!$BG$7,'Input Data'!$BG$8))),0)*VLOOKUP($G103,'Input Data'!$BI$3:$BL$10,4,FALSE))))</f>
        <v>0</v>
      </c>
      <c r="AN103" s="56">
        <f>IF($G103="",0,IF(NOT(OR($G103="A - All employees not in groups B, C, J, H, M or Z",$G103="B - Married women and widows entitled to reduced NI",$G103="C - Over the State Pension age",$G103="H - Apprentice under 25",$G103="J – Deferment",$G103="M - Under 21",$G103="Z - Deferment (Under 21)",$G103="Please Enter The NI Cont. in ££££")),$G103,SUM(MAX(MIN(AF103-'Input Data'!$BG$3,'Input Data'!$BG$5-'Input Data'!$BG$3),0)*VLOOKUP($G103,'Input Data'!$BI$3:$BL$10,2,FALSE),MAX(MIN(AF103-'Input Data'!$BG$5,IF(OR($G103="M (under 21)",$G103="Z (under 21 - deferment)"),'Input Data'!$BG$6,IF($G103="H (Apprentice under 25)",'Input Data'!$BG$7,'Input Data'!$BG$8))-'Input Data'!$BG$5),0)*VLOOKUP($G103,'Input Data'!$BI$3:$BL$10,3,FALSE),MAX((AF103-IF(OR($G103="M (under 21)",$G103="Z (under 21 - deferment)"),'Input Data'!$BG$6,IF($G103="H (Apprentice under 25)",'Input Data'!$BG$7,'Input Data'!$BG$8))),0)*VLOOKUP($G103,'Input Data'!$BI$3:$BL$10,4,FALSE))))</f>
        <v>0</v>
      </c>
      <c r="AO103" s="56">
        <f>IF($G103="",0,IF(NOT(OR($G103="A - All employees not in groups B, C, J, H, M or Z",$G103="B - Married women and widows entitled to reduced NI",$G103="C - Over the State Pension age",$G103="H - Apprentice under 25",$G103="J – Deferment",$G103="M - Under 21",$G103="Z - Deferment (Under 21)",$G103="Please Enter The NI Cont. in ££££")),$G103,SUM(MAX(MIN(AG103-'Input Data'!$BG$3,'Input Data'!$BG$5-'Input Data'!$BG$3),0)*VLOOKUP($G103,'Input Data'!$BI$3:$BL$10,2,FALSE),MAX(MIN(AG103-'Input Data'!$BG$5,IF(OR($G103="M (under 21)",$G103="Z (under 21 - deferment)"),'Input Data'!$BG$6,IF($G103="H (Apprentice under 25)",'Input Data'!$BG$7,'Input Data'!$BG$8))-'Input Data'!$BG$5),0)*VLOOKUP($G103,'Input Data'!$BI$3:$BL$10,3,FALSE),MAX((AG103-IF(OR($G103="M (under 21)",$G103="Z (under 21 - deferment)"),'Input Data'!$BG$6,IF($G103="H (Apprentice under 25)",'Input Data'!$BG$7,'Input Data'!$BG$8))),0)*VLOOKUP($G103,'Input Data'!$BI$3:$BL$10,4,FALSE))))</f>
        <v>0</v>
      </c>
      <c r="AP103" s="56">
        <f>IF($G103="",0,IF(NOT(OR($G103="A - All employees not in groups B, C, J, H, M or Z",$G103="B - Married women and widows entitled to reduced NI",$G103="C - Over the State Pension age",$G103="H - Apprentice under 25",$G103="J – Deferment",$G103="M - Under 21",$G103="Z - Deferment (Under 21)",$G103="Please Enter The NI Cont. in ££££")),$G103,SUM(MAX(MIN(AH103-'Input Data'!$BG$3,'Input Data'!$BG$5-'Input Data'!$BG$3),0)*VLOOKUP($G103,'Input Data'!$BI$3:$BL$10,2,FALSE),MAX(MIN(AH103-'Input Data'!$BG$5,IF(OR($G103="M (under 21)",$G103="Z (under 21 - deferment)"),'Input Data'!$BG$6,IF($G103="H (Apprentice under 25)",'Input Data'!$BG$7,'Input Data'!$BG$8))-'Input Data'!$BG$5),0)*VLOOKUP($G103,'Input Data'!$BI$3:$BL$10,3,FALSE),MAX((AH103-IF(OR($G103="M (under 21)",$G103="Z (under 21 - deferment)"),'Input Data'!$BG$6,IF($G103="H (Apprentice under 25)",'Input Data'!$BG$7,'Input Data'!$BG$8))),0)*VLOOKUP($G103,'Input Data'!$BI$3:$BL$10,4,FALSE))))</f>
        <v>0</v>
      </c>
      <c r="AQ103" s="56">
        <f>IF($G103="",0,IF(NOT(OR($G103="A - All employees not in groups B, C, J, H, M or Z",$G103="B - Married women and widows entitled to reduced NI",$G103="C - Over the State Pension age",$G103="H - Apprentice under 25",$G103="J – Deferment",$G103="M - Under 21",$G103="Z - Deferment (Under 21)",$G103="Please Enter The NI Cont. in ££££")),$G103,SUM(MAX(MIN(AI103-'Input Data'!$BG$3,'Input Data'!$BG$5-'Input Data'!$BG$3),0)*VLOOKUP($G103,'Input Data'!$BI$3:$BL$10,2,FALSE),MAX(MIN(AI103-'Input Data'!$BG$5,IF(OR($G103="M (under 21)",$G103="Z (under 21 - deferment)"),'Input Data'!$BG$6,IF($G103="H (Apprentice under 25)",'Input Data'!$BG$7,'Input Data'!$BG$8))-'Input Data'!$BG$5),0)*VLOOKUP($G103,'Input Data'!$BI$3:$BL$10,3,FALSE),MAX((AI103-IF(OR($G103="M (under 21)",$G103="Z (under 21 - deferment)"),'Input Data'!$BG$6,IF($G103="H (Apprentice under 25)",'Input Data'!$BG$7,'Input Data'!$BG$8))),0)*VLOOKUP($G103,'Input Data'!$BI$3:$BL$10,4,FALSE))))</f>
        <v>0</v>
      </c>
      <c r="AR103" s="56">
        <f>IF($G103="",0,IF(NOT(OR($G103="A - All employees not in groups B, C, J, H, M or Z",$G103="B - Married women and widows entitled to reduced NI",$G103="C - Over the State Pension age",$G103="H - Apprentice under 25",$G103="J – Deferment",$G103="M - Under 21",$G103="Z - Deferment (Under 21)",$G103="Please Enter The NI Cont. in ££££")),$G103,SUM(MAX(MIN(AJ103-'Input Data'!$BG$3,'Input Data'!$BG$5-'Input Data'!$BG$3),0)*VLOOKUP($G103,'Input Data'!$BI$3:$BL$10,2,FALSE),MAX(MIN(AJ103-'Input Data'!$BG$5,IF(OR($G103="M (under 21)",$G103="Z (under 21 - deferment)"),'Input Data'!$BG$6,IF($G103="H (Apprentice under 25)",'Input Data'!$BG$7,'Input Data'!$BG$8))-'Input Data'!$BG$5),0)*VLOOKUP($G103,'Input Data'!$BI$3:$BL$10,3,FALSE),MAX((AJ103-IF(OR($G103="M (under 21)",$G103="Z (under 21 - deferment)"),'Input Data'!$BG$6,IF($G103="H (Apprentice under 25)",'Input Data'!$BG$7,'Input Data'!$BG$8))),0)*VLOOKUP($G103,'Input Data'!$BI$3:$BL$10,4,FALSE))))</f>
        <v>0</v>
      </c>
      <c r="AS103" s="56">
        <f>AC103*$F103</f>
        <v>0</v>
      </c>
      <c r="AT103" s="56">
        <f>AD103*$F103</f>
        <v>0</v>
      </c>
      <c r="AU103" s="56">
        <f>AE103*$F103</f>
        <v>0</v>
      </c>
      <c r="AV103" s="56">
        <f>AF103*$F103</f>
        <v>0</v>
      </c>
      <c r="AW103" s="56">
        <f>AG103*$F103</f>
        <v>0</v>
      </c>
      <c r="AX103" s="56">
        <f>AH103*$F103</f>
        <v>0</v>
      </c>
      <c r="AY103" s="56">
        <f>AI103*$F103</f>
        <v>0</v>
      </c>
      <c r="AZ103" s="56">
        <f>AJ103*$F103</f>
        <v>0</v>
      </c>
    </row>
    <row r="104" spans="2:52" ht="25.5">
      <c r="B104" s="60"/>
      <c r="C104" s="57" t="s">
        <v>74</v>
      </c>
      <c r="D104" s="58"/>
      <c r="E104" s="58"/>
      <c r="F104" s="535"/>
      <c r="G104" s="693" t="s">
        <v>1149</v>
      </c>
      <c r="H104" s="65"/>
      <c r="I104" s="65"/>
      <c r="J104" s="65"/>
      <c r="K104" s="65"/>
      <c r="L104" s="65"/>
      <c r="M104" s="65"/>
      <c r="N104" s="65"/>
      <c r="O104" s="65"/>
      <c r="P104" s="29"/>
      <c r="Q104" s="597"/>
      <c r="R104" s="61"/>
      <c r="T104" s="43">
        <f>SUM(AC104,AK104,AS104)</f>
        <v>0</v>
      </c>
      <c r="U104" s="43">
        <f>SUM(AD104,AL104,AT104)</f>
        <v>0</v>
      </c>
      <c r="V104" s="43">
        <f>SUM(AE104,AM104,AU104)</f>
        <v>0</v>
      </c>
      <c r="W104" s="43">
        <f>SUM(AF104,AN104,AV104)</f>
        <v>0</v>
      </c>
      <c r="X104" s="43">
        <f>SUM(AG104,AO104,AW104)</f>
        <v>0</v>
      </c>
      <c r="Y104" s="43">
        <f>SUM(AH104,AP104,AX104)</f>
        <v>0</v>
      </c>
      <c r="Z104" s="43">
        <f>SUM(AI104,AQ104,AY104)</f>
        <v>0</v>
      </c>
      <c r="AA104" s="43">
        <f>SUM(AJ104,AR104,AZ104)</f>
        <v>0</v>
      </c>
      <c r="AC104" s="631">
        <f>SUM($D104:$E104)*H104</f>
        <v>0</v>
      </c>
      <c r="AD104" s="631">
        <f>SUM($D104:$E104)*I104</f>
        <v>0</v>
      </c>
      <c r="AE104" s="631">
        <f>SUM($D104:$E104)*J104</f>
        <v>0</v>
      </c>
      <c r="AF104" s="631">
        <f>SUM($D104:$E104)*K104</f>
        <v>0</v>
      </c>
      <c r="AG104" s="631">
        <f>SUM($D104:$E104)*L104</f>
        <v>0</v>
      </c>
      <c r="AH104" s="631">
        <f>SUM($D104:$E104)*M104</f>
        <v>0</v>
      </c>
      <c r="AI104" s="631">
        <f>SUM($D104:$E104)*N104</f>
        <v>0</v>
      </c>
      <c r="AJ104" s="631">
        <f>SUM($D104:$E104)*O104</f>
        <v>0</v>
      </c>
      <c r="AK104" s="56">
        <f>IF($G104="",0,IF(NOT(OR($G104="A - All employees not in groups B, C, J, H, M or Z",$G104="B - Married women and widows entitled to reduced NI",$G104="C - Over the State Pension age",$G104="H - Apprentice under 25",$G104="J – Deferment",$G104="M - Under 21",$G104="Z - Deferment (Under 21)",$G104="Please Enter The NI Cont. in ££££")),$G104,SUM(MAX(MIN(AC104-'Input Data'!$BG$3,'Input Data'!$BG$5-'Input Data'!$BG$3),0)*VLOOKUP($G104,'Input Data'!$BI$3:$BL$10,2,FALSE),MAX(MIN(AC104-'Input Data'!$BG$5,IF(OR($G104="M (under 21)",$G104="Z (under 21 - deferment)"),'Input Data'!$BG$6,IF($G104="H (Apprentice under 25)",'Input Data'!$BG$7,'Input Data'!$BG$8))-'Input Data'!$BG$5),0)*VLOOKUP($G104,'Input Data'!$BI$3:$BL$10,3,FALSE),MAX((AC104-IF(OR($G104="M (under 21)",$G104="Z (under 21 - deferment)"),'Input Data'!$BG$6,IF($G104="H (Apprentice under 25)",'Input Data'!$BG$7,'Input Data'!$BG$8))),0)*VLOOKUP($G104,'Input Data'!$BI$3:$BL$10,4,FALSE))))</f>
        <v>0</v>
      </c>
      <c r="AL104" s="56">
        <f>IF($G104="",0,IF(NOT(OR($G104="A - All employees not in groups B, C, J, H, M or Z",$G104="B - Married women and widows entitled to reduced NI",$G104="C - Over the State Pension age",$G104="H - Apprentice under 25",$G104="J – Deferment",$G104="M - Under 21",$G104="Z - Deferment (Under 21)",$G104="Please Enter The NI Cont. in ££££")),$G104,SUM(MAX(MIN(AD104-'Input Data'!$BG$3,'Input Data'!$BG$5-'Input Data'!$BG$3),0)*VLOOKUP($G104,'Input Data'!$BI$3:$BL$10,2,FALSE),MAX(MIN(AD104-'Input Data'!$BG$5,IF(OR($G104="M (under 21)",$G104="Z (under 21 - deferment)"),'Input Data'!$BG$6,IF($G104="H (Apprentice under 25)",'Input Data'!$BG$7,'Input Data'!$BG$8))-'Input Data'!$BG$5),0)*VLOOKUP($G104,'Input Data'!$BI$3:$BL$10,3,FALSE),MAX((AD104-IF(OR($G104="M (under 21)",$G104="Z (under 21 - deferment)"),'Input Data'!$BG$6,IF($G104="H (Apprentice under 25)",'Input Data'!$BG$7,'Input Data'!$BG$8))),0)*VLOOKUP($G104,'Input Data'!$BI$3:$BL$10,4,FALSE))))</f>
        <v>0</v>
      </c>
      <c r="AM104" s="56">
        <f>IF($G104="",0,IF(NOT(OR($G104="A - All employees not in groups B, C, J, H, M or Z",$G104="B - Married women and widows entitled to reduced NI",$G104="C - Over the State Pension age",$G104="H - Apprentice under 25",$G104="J – Deferment",$G104="M - Under 21",$G104="Z - Deferment (Under 21)",$G104="Please Enter The NI Cont. in ££££")),$G104,SUM(MAX(MIN(AE104-'Input Data'!$BG$3,'Input Data'!$BG$5-'Input Data'!$BG$3),0)*VLOOKUP($G104,'Input Data'!$BI$3:$BL$10,2,FALSE),MAX(MIN(AE104-'Input Data'!$BG$5,IF(OR($G104="M (under 21)",$G104="Z (under 21 - deferment)"),'Input Data'!$BG$6,IF($G104="H (Apprentice under 25)",'Input Data'!$BG$7,'Input Data'!$BG$8))-'Input Data'!$BG$5),0)*VLOOKUP($G104,'Input Data'!$BI$3:$BL$10,3,FALSE),MAX((AE104-IF(OR($G104="M (under 21)",$G104="Z (under 21 - deferment)"),'Input Data'!$BG$6,IF($G104="H (Apprentice under 25)",'Input Data'!$BG$7,'Input Data'!$BG$8))),0)*VLOOKUP($G104,'Input Data'!$BI$3:$BL$10,4,FALSE))))</f>
        <v>0</v>
      </c>
      <c r="AN104" s="56">
        <f>IF($G104="",0,IF(NOT(OR($G104="A - All employees not in groups B, C, J, H, M or Z",$G104="B - Married women and widows entitled to reduced NI",$G104="C - Over the State Pension age",$G104="H - Apprentice under 25",$G104="J – Deferment",$G104="M - Under 21",$G104="Z - Deferment (Under 21)",$G104="Please Enter The NI Cont. in ££££")),$G104,SUM(MAX(MIN(AF104-'Input Data'!$BG$3,'Input Data'!$BG$5-'Input Data'!$BG$3),0)*VLOOKUP($G104,'Input Data'!$BI$3:$BL$10,2,FALSE),MAX(MIN(AF104-'Input Data'!$BG$5,IF(OR($G104="M (under 21)",$G104="Z (under 21 - deferment)"),'Input Data'!$BG$6,IF($G104="H (Apprentice under 25)",'Input Data'!$BG$7,'Input Data'!$BG$8))-'Input Data'!$BG$5),0)*VLOOKUP($G104,'Input Data'!$BI$3:$BL$10,3,FALSE),MAX((AF104-IF(OR($G104="M (under 21)",$G104="Z (under 21 - deferment)"),'Input Data'!$BG$6,IF($G104="H (Apprentice under 25)",'Input Data'!$BG$7,'Input Data'!$BG$8))),0)*VLOOKUP($G104,'Input Data'!$BI$3:$BL$10,4,FALSE))))</f>
        <v>0</v>
      </c>
      <c r="AO104" s="56">
        <f>IF($G104="",0,IF(NOT(OR($G104="A - All employees not in groups B, C, J, H, M or Z",$G104="B - Married women and widows entitled to reduced NI",$G104="C - Over the State Pension age",$G104="H - Apprentice under 25",$G104="J – Deferment",$G104="M - Under 21",$G104="Z - Deferment (Under 21)",$G104="Please Enter The NI Cont. in ££££")),$G104,SUM(MAX(MIN(AG104-'Input Data'!$BG$3,'Input Data'!$BG$5-'Input Data'!$BG$3),0)*VLOOKUP($G104,'Input Data'!$BI$3:$BL$10,2,FALSE),MAX(MIN(AG104-'Input Data'!$BG$5,IF(OR($G104="M (under 21)",$G104="Z (under 21 - deferment)"),'Input Data'!$BG$6,IF($G104="H (Apprentice under 25)",'Input Data'!$BG$7,'Input Data'!$BG$8))-'Input Data'!$BG$5),0)*VLOOKUP($G104,'Input Data'!$BI$3:$BL$10,3,FALSE),MAX((AG104-IF(OR($G104="M (under 21)",$G104="Z (under 21 - deferment)"),'Input Data'!$BG$6,IF($G104="H (Apprentice under 25)",'Input Data'!$BG$7,'Input Data'!$BG$8))),0)*VLOOKUP($G104,'Input Data'!$BI$3:$BL$10,4,FALSE))))</f>
        <v>0</v>
      </c>
      <c r="AP104" s="56">
        <f>IF($G104="",0,IF(NOT(OR($G104="A - All employees not in groups B, C, J, H, M or Z",$G104="B - Married women and widows entitled to reduced NI",$G104="C - Over the State Pension age",$G104="H - Apprentice under 25",$G104="J – Deferment",$G104="M - Under 21",$G104="Z - Deferment (Under 21)",$G104="Please Enter The NI Cont. in ££££")),$G104,SUM(MAX(MIN(AH104-'Input Data'!$BG$3,'Input Data'!$BG$5-'Input Data'!$BG$3),0)*VLOOKUP($G104,'Input Data'!$BI$3:$BL$10,2,FALSE),MAX(MIN(AH104-'Input Data'!$BG$5,IF(OR($G104="M (under 21)",$G104="Z (under 21 - deferment)"),'Input Data'!$BG$6,IF($G104="H (Apprentice under 25)",'Input Data'!$BG$7,'Input Data'!$BG$8))-'Input Data'!$BG$5),0)*VLOOKUP($G104,'Input Data'!$BI$3:$BL$10,3,FALSE),MAX((AH104-IF(OR($G104="M (under 21)",$G104="Z (under 21 - deferment)"),'Input Data'!$BG$6,IF($G104="H (Apprentice under 25)",'Input Data'!$BG$7,'Input Data'!$BG$8))),0)*VLOOKUP($G104,'Input Data'!$BI$3:$BL$10,4,FALSE))))</f>
        <v>0</v>
      </c>
      <c r="AQ104" s="56">
        <f>IF($G104="",0,IF(NOT(OR($G104="A - All employees not in groups B, C, J, H, M or Z",$G104="B - Married women and widows entitled to reduced NI",$G104="C - Over the State Pension age",$G104="H - Apprentice under 25",$G104="J – Deferment",$G104="M - Under 21",$G104="Z - Deferment (Under 21)",$G104="Please Enter The NI Cont. in ££££")),$G104,SUM(MAX(MIN(AI104-'Input Data'!$BG$3,'Input Data'!$BG$5-'Input Data'!$BG$3),0)*VLOOKUP($G104,'Input Data'!$BI$3:$BL$10,2,FALSE),MAX(MIN(AI104-'Input Data'!$BG$5,IF(OR($G104="M (under 21)",$G104="Z (under 21 - deferment)"),'Input Data'!$BG$6,IF($G104="H (Apprentice under 25)",'Input Data'!$BG$7,'Input Data'!$BG$8))-'Input Data'!$BG$5),0)*VLOOKUP($G104,'Input Data'!$BI$3:$BL$10,3,FALSE),MAX((AI104-IF(OR($G104="M (under 21)",$G104="Z (under 21 - deferment)"),'Input Data'!$BG$6,IF($G104="H (Apprentice under 25)",'Input Data'!$BG$7,'Input Data'!$BG$8))),0)*VLOOKUP($G104,'Input Data'!$BI$3:$BL$10,4,FALSE))))</f>
        <v>0</v>
      </c>
      <c r="AR104" s="56">
        <f>IF($G104="",0,IF(NOT(OR($G104="A - All employees not in groups B, C, J, H, M or Z",$G104="B - Married women and widows entitled to reduced NI",$G104="C - Over the State Pension age",$G104="H - Apprentice under 25",$G104="J – Deferment",$G104="M - Under 21",$G104="Z - Deferment (Under 21)",$G104="Please Enter The NI Cont. in ££££")),$G104,SUM(MAX(MIN(AJ104-'Input Data'!$BG$3,'Input Data'!$BG$5-'Input Data'!$BG$3),0)*VLOOKUP($G104,'Input Data'!$BI$3:$BL$10,2,FALSE),MAX(MIN(AJ104-'Input Data'!$BG$5,IF(OR($G104="M (under 21)",$G104="Z (under 21 - deferment)"),'Input Data'!$BG$6,IF($G104="H (Apprentice under 25)",'Input Data'!$BG$7,'Input Data'!$BG$8))-'Input Data'!$BG$5),0)*VLOOKUP($G104,'Input Data'!$BI$3:$BL$10,3,FALSE),MAX((AJ104-IF(OR($G104="M (under 21)",$G104="Z (under 21 - deferment)"),'Input Data'!$BG$6,IF($G104="H (Apprentice under 25)",'Input Data'!$BG$7,'Input Data'!$BG$8))),0)*VLOOKUP($G104,'Input Data'!$BI$3:$BL$10,4,FALSE))))</f>
        <v>0</v>
      </c>
      <c r="AS104" s="56">
        <f>AC104*$F104</f>
        <v>0</v>
      </c>
      <c r="AT104" s="56">
        <f>AD104*$F104</f>
        <v>0</v>
      </c>
      <c r="AU104" s="56">
        <f>AE104*$F104</f>
        <v>0</v>
      </c>
      <c r="AV104" s="56">
        <f>AF104*$F104</f>
        <v>0</v>
      </c>
      <c r="AW104" s="56">
        <f>AG104*$F104</f>
        <v>0</v>
      </c>
      <c r="AX104" s="56">
        <f>AH104*$F104</f>
        <v>0</v>
      </c>
      <c r="AY104" s="56">
        <f>AI104*$F104</f>
        <v>0</v>
      </c>
      <c r="AZ104" s="56">
        <f>AJ104*$F104</f>
        <v>0</v>
      </c>
    </row>
    <row r="105" spans="2:52" ht="25.5">
      <c r="B105" s="60"/>
      <c r="C105" s="57" t="s">
        <v>75</v>
      </c>
      <c r="D105" s="58"/>
      <c r="E105" s="58"/>
      <c r="F105" s="535"/>
      <c r="G105" s="693" t="s">
        <v>1149</v>
      </c>
      <c r="H105" s="65"/>
      <c r="I105" s="65"/>
      <c r="J105" s="65"/>
      <c r="K105" s="65"/>
      <c r="L105" s="65"/>
      <c r="M105" s="65"/>
      <c r="N105" s="65"/>
      <c r="O105" s="65"/>
      <c r="P105" s="29"/>
      <c r="Q105" s="597"/>
      <c r="R105" s="61"/>
      <c r="T105" s="43">
        <f>SUM(AC105,AK105,AS105)</f>
        <v>0</v>
      </c>
      <c r="U105" s="43">
        <f>SUM(AD105,AL105,AT105)</f>
        <v>0</v>
      </c>
      <c r="V105" s="43">
        <f>SUM(AE105,AM105,AU105)</f>
        <v>0</v>
      </c>
      <c r="W105" s="43">
        <f>SUM(AF105,AN105,AV105)</f>
        <v>0</v>
      </c>
      <c r="X105" s="43">
        <f>SUM(AG105,AO105,AW105)</f>
        <v>0</v>
      </c>
      <c r="Y105" s="43">
        <f>SUM(AH105,AP105,AX105)</f>
        <v>0</v>
      </c>
      <c r="Z105" s="43">
        <f>SUM(AI105,AQ105,AY105)</f>
        <v>0</v>
      </c>
      <c r="AA105" s="43">
        <f>SUM(AJ105,AR105,AZ105)</f>
        <v>0</v>
      </c>
      <c r="AC105" s="631">
        <f>SUM($D105:$E105)*H105</f>
        <v>0</v>
      </c>
      <c r="AD105" s="631">
        <f>SUM($D105:$E105)*I105</f>
        <v>0</v>
      </c>
      <c r="AE105" s="631">
        <f>SUM($D105:$E105)*J105</f>
        <v>0</v>
      </c>
      <c r="AF105" s="631">
        <f>SUM($D105:$E105)*K105</f>
        <v>0</v>
      </c>
      <c r="AG105" s="631">
        <f>SUM($D105:$E105)*L105</f>
        <v>0</v>
      </c>
      <c r="AH105" s="631">
        <f>SUM($D105:$E105)*M105</f>
        <v>0</v>
      </c>
      <c r="AI105" s="631">
        <f>SUM($D105:$E105)*N105</f>
        <v>0</v>
      </c>
      <c r="AJ105" s="631">
        <f>SUM($D105:$E105)*O105</f>
        <v>0</v>
      </c>
      <c r="AK105" s="56">
        <f>IF($G105="",0,IF(NOT(OR($G105="A - All employees not in groups B, C, J, H, M or Z",$G105="B - Married women and widows entitled to reduced NI",$G105="C - Over the State Pension age",$G105="H - Apprentice under 25",$G105="J – Deferment",$G105="M - Under 21",$G105="Z - Deferment (Under 21)",$G105="Please Enter The NI Cont. in ££££")),$G105,SUM(MAX(MIN(AC105-'Input Data'!$BG$3,'Input Data'!$BG$5-'Input Data'!$BG$3),0)*VLOOKUP($G105,'Input Data'!$BI$3:$BL$10,2,FALSE),MAX(MIN(AC105-'Input Data'!$BG$5,IF(OR($G105="M (under 21)",$G105="Z (under 21 - deferment)"),'Input Data'!$BG$6,IF($G105="H (Apprentice under 25)",'Input Data'!$BG$7,'Input Data'!$BG$8))-'Input Data'!$BG$5),0)*VLOOKUP($G105,'Input Data'!$BI$3:$BL$10,3,FALSE),MAX((AC105-IF(OR($G105="M (under 21)",$G105="Z (under 21 - deferment)"),'Input Data'!$BG$6,IF($G105="H (Apprentice under 25)",'Input Data'!$BG$7,'Input Data'!$BG$8))),0)*VLOOKUP($G105,'Input Data'!$BI$3:$BL$10,4,FALSE))))</f>
        <v>0</v>
      </c>
      <c r="AL105" s="56">
        <f>IF($G105="",0,IF(NOT(OR($G105="A - All employees not in groups B, C, J, H, M or Z",$G105="B - Married women and widows entitled to reduced NI",$G105="C - Over the State Pension age",$G105="H - Apprentice under 25",$G105="J – Deferment",$G105="M - Under 21",$G105="Z - Deferment (Under 21)",$G105="Please Enter The NI Cont. in ££££")),$G105,SUM(MAX(MIN(AD105-'Input Data'!$BG$3,'Input Data'!$BG$5-'Input Data'!$BG$3),0)*VLOOKUP($G105,'Input Data'!$BI$3:$BL$10,2,FALSE),MAX(MIN(AD105-'Input Data'!$BG$5,IF(OR($G105="M (under 21)",$G105="Z (under 21 - deferment)"),'Input Data'!$BG$6,IF($G105="H (Apprentice under 25)",'Input Data'!$BG$7,'Input Data'!$BG$8))-'Input Data'!$BG$5),0)*VLOOKUP($G105,'Input Data'!$BI$3:$BL$10,3,FALSE),MAX((AD105-IF(OR($G105="M (under 21)",$G105="Z (under 21 - deferment)"),'Input Data'!$BG$6,IF($G105="H (Apprentice under 25)",'Input Data'!$BG$7,'Input Data'!$BG$8))),0)*VLOOKUP($G105,'Input Data'!$BI$3:$BL$10,4,FALSE))))</f>
        <v>0</v>
      </c>
      <c r="AM105" s="56">
        <f>IF($G105="",0,IF(NOT(OR($G105="A - All employees not in groups B, C, J, H, M or Z",$G105="B - Married women and widows entitled to reduced NI",$G105="C - Over the State Pension age",$G105="H - Apprentice under 25",$G105="J – Deferment",$G105="M - Under 21",$G105="Z - Deferment (Under 21)",$G105="Please Enter The NI Cont. in ££££")),$G105,SUM(MAX(MIN(AE105-'Input Data'!$BG$3,'Input Data'!$BG$5-'Input Data'!$BG$3),0)*VLOOKUP($G105,'Input Data'!$BI$3:$BL$10,2,FALSE),MAX(MIN(AE105-'Input Data'!$BG$5,IF(OR($G105="M (under 21)",$G105="Z (under 21 - deferment)"),'Input Data'!$BG$6,IF($G105="H (Apprentice under 25)",'Input Data'!$BG$7,'Input Data'!$BG$8))-'Input Data'!$BG$5),0)*VLOOKUP($G105,'Input Data'!$BI$3:$BL$10,3,FALSE),MAX((AE105-IF(OR($G105="M (under 21)",$G105="Z (under 21 - deferment)"),'Input Data'!$BG$6,IF($G105="H (Apprentice under 25)",'Input Data'!$BG$7,'Input Data'!$BG$8))),0)*VLOOKUP($G105,'Input Data'!$BI$3:$BL$10,4,FALSE))))</f>
        <v>0</v>
      </c>
      <c r="AN105" s="56">
        <f>IF($G105="",0,IF(NOT(OR($G105="A - All employees not in groups B, C, J, H, M or Z",$G105="B - Married women and widows entitled to reduced NI",$G105="C - Over the State Pension age",$G105="H - Apprentice under 25",$G105="J – Deferment",$G105="M - Under 21",$G105="Z - Deferment (Under 21)",$G105="Please Enter The NI Cont. in ££££")),$G105,SUM(MAX(MIN(AF105-'Input Data'!$BG$3,'Input Data'!$BG$5-'Input Data'!$BG$3),0)*VLOOKUP($G105,'Input Data'!$BI$3:$BL$10,2,FALSE),MAX(MIN(AF105-'Input Data'!$BG$5,IF(OR($G105="M (under 21)",$G105="Z (under 21 - deferment)"),'Input Data'!$BG$6,IF($G105="H (Apprentice under 25)",'Input Data'!$BG$7,'Input Data'!$BG$8))-'Input Data'!$BG$5),0)*VLOOKUP($G105,'Input Data'!$BI$3:$BL$10,3,FALSE),MAX((AF105-IF(OR($G105="M (under 21)",$G105="Z (under 21 - deferment)"),'Input Data'!$BG$6,IF($G105="H (Apprentice under 25)",'Input Data'!$BG$7,'Input Data'!$BG$8))),0)*VLOOKUP($G105,'Input Data'!$BI$3:$BL$10,4,FALSE))))</f>
        <v>0</v>
      </c>
      <c r="AO105" s="56">
        <f>IF($G105="",0,IF(NOT(OR($G105="A - All employees not in groups B, C, J, H, M or Z",$G105="B - Married women and widows entitled to reduced NI",$G105="C - Over the State Pension age",$G105="H - Apprentice under 25",$G105="J – Deferment",$G105="M - Under 21",$G105="Z - Deferment (Under 21)",$G105="Please Enter The NI Cont. in ££££")),$G105,SUM(MAX(MIN(AG105-'Input Data'!$BG$3,'Input Data'!$BG$5-'Input Data'!$BG$3),0)*VLOOKUP($G105,'Input Data'!$BI$3:$BL$10,2,FALSE),MAX(MIN(AG105-'Input Data'!$BG$5,IF(OR($G105="M (under 21)",$G105="Z (under 21 - deferment)"),'Input Data'!$BG$6,IF($G105="H (Apprentice under 25)",'Input Data'!$BG$7,'Input Data'!$BG$8))-'Input Data'!$BG$5),0)*VLOOKUP($G105,'Input Data'!$BI$3:$BL$10,3,FALSE),MAX((AG105-IF(OR($G105="M (under 21)",$G105="Z (under 21 - deferment)"),'Input Data'!$BG$6,IF($G105="H (Apprentice under 25)",'Input Data'!$BG$7,'Input Data'!$BG$8))),0)*VLOOKUP($G105,'Input Data'!$BI$3:$BL$10,4,FALSE))))</f>
        <v>0</v>
      </c>
      <c r="AP105" s="56">
        <f>IF($G105="",0,IF(NOT(OR($G105="A - All employees not in groups B, C, J, H, M or Z",$G105="B - Married women and widows entitled to reduced NI",$G105="C - Over the State Pension age",$G105="H - Apprentice under 25",$G105="J – Deferment",$G105="M - Under 21",$G105="Z - Deferment (Under 21)",$G105="Please Enter The NI Cont. in ££££")),$G105,SUM(MAX(MIN(AH105-'Input Data'!$BG$3,'Input Data'!$BG$5-'Input Data'!$BG$3),0)*VLOOKUP($G105,'Input Data'!$BI$3:$BL$10,2,FALSE),MAX(MIN(AH105-'Input Data'!$BG$5,IF(OR($G105="M (under 21)",$G105="Z (under 21 - deferment)"),'Input Data'!$BG$6,IF($G105="H (Apprentice under 25)",'Input Data'!$BG$7,'Input Data'!$BG$8))-'Input Data'!$BG$5),0)*VLOOKUP($G105,'Input Data'!$BI$3:$BL$10,3,FALSE),MAX((AH105-IF(OR($G105="M (under 21)",$G105="Z (under 21 - deferment)"),'Input Data'!$BG$6,IF($G105="H (Apprentice under 25)",'Input Data'!$BG$7,'Input Data'!$BG$8))),0)*VLOOKUP($G105,'Input Data'!$BI$3:$BL$10,4,FALSE))))</f>
        <v>0</v>
      </c>
      <c r="AQ105" s="56">
        <f>IF($G105="",0,IF(NOT(OR($G105="A - All employees not in groups B, C, J, H, M or Z",$G105="B - Married women and widows entitled to reduced NI",$G105="C - Over the State Pension age",$G105="H - Apprentice under 25",$G105="J – Deferment",$G105="M - Under 21",$G105="Z - Deferment (Under 21)",$G105="Please Enter The NI Cont. in ££££")),$G105,SUM(MAX(MIN(AI105-'Input Data'!$BG$3,'Input Data'!$BG$5-'Input Data'!$BG$3),0)*VLOOKUP($G105,'Input Data'!$BI$3:$BL$10,2,FALSE),MAX(MIN(AI105-'Input Data'!$BG$5,IF(OR($G105="M (under 21)",$G105="Z (under 21 - deferment)"),'Input Data'!$BG$6,IF($G105="H (Apprentice under 25)",'Input Data'!$BG$7,'Input Data'!$BG$8))-'Input Data'!$BG$5),0)*VLOOKUP($G105,'Input Data'!$BI$3:$BL$10,3,FALSE),MAX((AI105-IF(OR($G105="M (under 21)",$G105="Z (under 21 - deferment)"),'Input Data'!$BG$6,IF($G105="H (Apprentice under 25)",'Input Data'!$BG$7,'Input Data'!$BG$8))),0)*VLOOKUP($G105,'Input Data'!$BI$3:$BL$10,4,FALSE))))</f>
        <v>0</v>
      </c>
      <c r="AR105" s="56">
        <f>IF($G105="",0,IF(NOT(OR($G105="A - All employees not in groups B, C, J, H, M or Z",$G105="B - Married women and widows entitled to reduced NI",$G105="C - Over the State Pension age",$G105="H - Apprentice under 25",$G105="J – Deferment",$G105="M - Under 21",$G105="Z - Deferment (Under 21)",$G105="Please Enter The NI Cont. in ££££")),$G105,SUM(MAX(MIN(AJ105-'Input Data'!$BG$3,'Input Data'!$BG$5-'Input Data'!$BG$3),0)*VLOOKUP($G105,'Input Data'!$BI$3:$BL$10,2,FALSE),MAX(MIN(AJ105-'Input Data'!$BG$5,IF(OR($G105="M (under 21)",$G105="Z (under 21 - deferment)"),'Input Data'!$BG$6,IF($G105="H (Apprentice under 25)",'Input Data'!$BG$7,'Input Data'!$BG$8))-'Input Data'!$BG$5),0)*VLOOKUP($G105,'Input Data'!$BI$3:$BL$10,3,FALSE),MAX((AJ105-IF(OR($G105="M (under 21)",$G105="Z (under 21 - deferment)"),'Input Data'!$BG$6,IF($G105="H (Apprentice under 25)",'Input Data'!$BG$7,'Input Data'!$BG$8))),0)*VLOOKUP($G105,'Input Data'!$BI$3:$BL$10,4,FALSE))))</f>
        <v>0</v>
      </c>
      <c r="AS105" s="56">
        <f>AC105*$F105</f>
        <v>0</v>
      </c>
      <c r="AT105" s="56">
        <f>AD105*$F105</f>
        <v>0</v>
      </c>
      <c r="AU105" s="56">
        <f>AE105*$F105</f>
        <v>0</v>
      </c>
      <c r="AV105" s="56">
        <f>AF105*$F105</f>
        <v>0</v>
      </c>
      <c r="AW105" s="56">
        <f>AG105*$F105</f>
        <v>0</v>
      </c>
      <c r="AX105" s="56">
        <f>AH105*$F105</f>
        <v>0</v>
      </c>
      <c r="AY105" s="56">
        <f>AI105*$F105</f>
        <v>0</v>
      </c>
      <c r="AZ105" s="56">
        <f>AJ105*$F105</f>
        <v>0</v>
      </c>
    </row>
    <row r="106" spans="2:52" ht="25.5">
      <c r="B106" s="60"/>
      <c r="C106" s="57" t="s">
        <v>76</v>
      </c>
      <c r="D106" s="58"/>
      <c r="E106" s="58"/>
      <c r="F106" s="535"/>
      <c r="G106" s="693" t="s">
        <v>1149</v>
      </c>
      <c r="H106" s="65"/>
      <c r="I106" s="65"/>
      <c r="J106" s="65"/>
      <c r="K106" s="65"/>
      <c r="L106" s="65"/>
      <c r="M106" s="65"/>
      <c r="N106" s="65"/>
      <c r="O106" s="65"/>
      <c r="P106" s="29"/>
      <c r="Q106" s="597"/>
      <c r="R106" s="61"/>
      <c r="T106" s="43">
        <f>SUM(AC106,AK106,AS106)</f>
        <v>0</v>
      </c>
      <c r="U106" s="43">
        <f>SUM(AD106,AL106,AT106)</f>
        <v>0</v>
      </c>
      <c r="V106" s="43">
        <f>SUM(AE106,AM106,AU106)</f>
        <v>0</v>
      </c>
      <c r="W106" s="43">
        <f>SUM(AF106,AN106,AV106)</f>
        <v>0</v>
      </c>
      <c r="X106" s="43">
        <f>SUM(AG106,AO106,AW106)</f>
        <v>0</v>
      </c>
      <c r="Y106" s="43">
        <f>SUM(AH106,AP106,AX106)</f>
        <v>0</v>
      </c>
      <c r="Z106" s="43">
        <f>SUM(AI106,AQ106,AY106)</f>
        <v>0</v>
      </c>
      <c r="AA106" s="43">
        <f>SUM(AJ106,AR106,AZ106)</f>
        <v>0</v>
      </c>
      <c r="AC106" s="631">
        <f>SUM($D106:$E106)*H106</f>
        <v>0</v>
      </c>
      <c r="AD106" s="631">
        <f>SUM($D106:$E106)*I106</f>
        <v>0</v>
      </c>
      <c r="AE106" s="631">
        <f>SUM($D106:$E106)*J106</f>
        <v>0</v>
      </c>
      <c r="AF106" s="631">
        <f>SUM($D106:$E106)*K106</f>
        <v>0</v>
      </c>
      <c r="AG106" s="631">
        <f>SUM($D106:$E106)*L106</f>
        <v>0</v>
      </c>
      <c r="AH106" s="631">
        <f>SUM($D106:$E106)*M106</f>
        <v>0</v>
      </c>
      <c r="AI106" s="631">
        <f>SUM($D106:$E106)*N106</f>
        <v>0</v>
      </c>
      <c r="AJ106" s="631">
        <f>SUM($D106:$E106)*O106</f>
        <v>0</v>
      </c>
      <c r="AK106" s="56">
        <f>IF($G106="",0,IF(NOT(OR($G106="A - All employees not in groups B, C, J, H, M or Z",$G106="B - Married women and widows entitled to reduced NI",$G106="C - Over the State Pension age",$G106="H - Apprentice under 25",$G106="J – Deferment",$G106="M - Under 21",$G106="Z - Deferment (Under 21)",$G106="Please Enter The NI Cont. in ££££")),$G106,SUM(MAX(MIN(AC106-'Input Data'!$BG$3,'Input Data'!$BG$5-'Input Data'!$BG$3),0)*VLOOKUP($G106,'Input Data'!$BI$3:$BL$10,2,FALSE),MAX(MIN(AC106-'Input Data'!$BG$5,IF(OR($G106="M (under 21)",$G106="Z (under 21 - deferment)"),'Input Data'!$BG$6,IF($G106="H (Apprentice under 25)",'Input Data'!$BG$7,'Input Data'!$BG$8))-'Input Data'!$BG$5),0)*VLOOKUP($G106,'Input Data'!$BI$3:$BL$10,3,FALSE),MAX((AC106-IF(OR($G106="M (under 21)",$G106="Z (under 21 - deferment)"),'Input Data'!$BG$6,IF($G106="H (Apprentice under 25)",'Input Data'!$BG$7,'Input Data'!$BG$8))),0)*VLOOKUP($G106,'Input Data'!$BI$3:$BL$10,4,FALSE))))</f>
        <v>0</v>
      </c>
      <c r="AL106" s="56">
        <f>IF($G106="",0,IF(NOT(OR($G106="A - All employees not in groups B, C, J, H, M or Z",$G106="B - Married women and widows entitled to reduced NI",$G106="C - Over the State Pension age",$G106="H - Apprentice under 25",$G106="J – Deferment",$G106="M - Under 21",$G106="Z - Deferment (Under 21)",$G106="Please Enter The NI Cont. in ££££")),$G106,SUM(MAX(MIN(AD106-'Input Data'!$BG$3,'Input Data'!$BG$5-'Input Data'!$BG$3),0)*VLOOKUP($G106,'Input Data'!$BI$3:$BL$10,2,FALSE),MAX(MIN(AD106-'Input Data'!$BG$5,IF(OR($G106="M (under 21)",$G106="Z (under 21 - deferment)"),'Input Data'!$BG$6,IF($G106="H (Apprentice under 25)",'Input Data'!$BG$7,'Input Data'!$BG$8))-'Input Data'!$BG$5),0)*VLOOKUP($G106,'Input Data'!$BI$3:$BL$10,3,FALSE),MAX((AD106-IF(OR($G106="M (under 21)",$G106="Z (under 21 - deferment)"),'Input Data'!$BG$6,IF($G106="H (Apprentice under 25)",'Input Data'!$BG$7,'Input Data'!$BG$8))),0)*VLOOKUP($G106,'Input Data'!$BI$3:$BL$10,4,FALSE))))</f>
        <v>0</v>
      </c>
      <c r="AM106" s="56">
        <f>IF($G106="",0,IF(NOT(OR($G106="A - All employees not in groups B, C, J, H, M or Z",$G106="B - Married women and widows entitled to reduced NI",$G106="C - Over the State Pension age",$G106="H - Apprentice under 25",$G106="J – Deferment",$G106="M - Under 21",$G106="Z - Deferment (Under 21)",$G106="Please Enter The NI Cont. in ££££")),$G106,SUM(MAX(MIN(AE106-'Input Data'!$BG$3,'Input Data'!$BG$5-'Input Data'!$BG$3),0)*VLOOKUP($G106,'Input Data'!$BI$3:$BL$10,2,FALSE),MAX(MIN(AE106-'Input Data'!$BG$5,IF(OR($G106="M (under 21)",$G106="Z (under 21 - deferment)"),'Input Data'!$BG$6,IF($G106="H (Apprentice under 25)",'Input Data'!$BG$7,'Input Data'!$BG$8))-'Input Data'!$BG$5),0)*VLOOKUP($G106,'Input Data'!$BI$3:$BL$10,3,FALSE),MAX((AE106-IF(OR($G106="M (under 21)",$G106="Z (under 21 - deferment)"),'Input Data'!$BG$6,IF($G106="H (Apprentice under 25)",'Input Data'!$BG$7,'Input Data'!$BG$8))),0)*VLOOKUP($G106,'Input Data'!$BI$3:$BL$10,4,FALSE))))</f>
        <v>0</v>
      </c>
      <c r="AN106" s="56">
        <f>IF($G106="",0,IF(NOT(OR($G106="A - All employees not in groups B, C, J, H, M or Z",$G106="B - Married women and widows entitled to reduced NI",$G106="C - Over the State Pension age",$G106="H - Apprentice under 25",$G106="J – Deferment",$G106="M - Under 21",$G106="Z - Deferment (Under 21)",$G106="Please Enter The NI Cont. in ££££")),$G106,SUM(MAX(MIN(AF106-'Input Data'!$BG$3,'Input Data'!$BG$5-'Input Data'!$BG$3),0)*VLOOKUP($G106,'Input Data'!$BI$3:$BL$10,2,FALSE),MAX(MIN(AF106-'Input Data'!$BG$5,IF(OR($G106="M (under 21)",$G106="Z (under 21 - deferment)"),'Input Data'!$BG$6,IF($G106="H (Apprentice under 25)",'Input Data'!$BG$7,'Input Data'!$BG$8))-'Input Data'!$BG$5),0)*VLOOKUP($G106,'Input Data'!$BI$3:$BL$10,3,FALSE),MAX((AF106-IF(OR($G106="M (under 21)",$G106="Z (under 21 - deferment)"),'Input Data'!$BG$6,IF($G106="H (Apprentice under 25)",'Input Data'!$BG$7,'Input Data'!$BG$8))),0)*VLOOKUP($G106,'Input Data'!$BI$3:$BL$10,4,FALSE))))</f>
        <v>0</v>
      </c>
      <c r="AO106" s="56">
        <f>IF($G106="",0,IF(NOT(OR($G106="A - All employees not in groups B, C, J, H, M or Z",$G106="B - Married women and widows entitled to reduced NI",$G106="C - Over the State Pension age",$G106="H - Apprentice under 25",$G106="J – Deferment",$G106="M - Under 21",$G106="Z - Deferment (Under 21)",$G106="Please Enter The NI Cont. in ££££")),$G106,SUM(MAX(MIN(AG106-'Input Data'!$BG$3,'Input Data'!$BG$5-'Input Data'!$BG$3),0)*VLOOKUP($G106,'Input Data'!$BI$3:$BL$10,2,FALSE),MAX(MIN(AG106-'Input Data'!$BG$5,IF(OR($G106="M (under 21)",$G106="Z (under 21 - deferment)"),'Input Data'!$BG$6,IF($G106="H (Apprentice under 25)",'Input Data'!$BG$7,'Input Data'!$BG$8))-'Input Data'!$BG$5),0)*VLOOKUP($G106,'Input Data'!$BI$3:$BL$10,3,FALSE),MAX((AG106-IF(OR($G106="M (under 21)",$G106="Z (under 21 - deferment)"),'Input Data'!$BG$6,IF($G106="H (Apprentice under 25)",'Input Data'!$BG$7,'Input Data'!$BG$8))),0)*VLOOKUP($G106,'Input Data'!$BI$3:$BL$10,4,FALSE))))</f>
        <v>0</v>
      </c>
      <c r="AP106" s="56">
        <f>IF($G106="",0,IF(NOT(OR($G106="A - All employees not in groups B, C, J, H, M or Z",$G106="B - Married women and widows entitled to reduced NI",$G106="C - Over the State Pension age",$G106="H - Apprentice under 25",$G106="J – Deferment",$G106="M - Under 21",$G106="Z - Deferment (Under 21)",$G106="Please Enter The NI Cont. in ££££")),$G106,SUM(MAX(MIN(AH106-'Input Data'!$BG$3,'Input Data'!$BG$5-'Input Data'!$BG$3),0)*VLOOKUP($G106,'Input Data'!$BI$3:$BL$10,2,FALSE),MAX(MIN(AH106-'Input Data'!$BG$5,IF(OR($G106="M (under 21)",$G106="Z (under 21 - deferment)"),'Input Data'!$BG$6,IF($G106="H (Apprentice under 25)",'Input Data'!$BG$7,'Input Data'!$BG$8))-'Input Data'!$BG$5),0)*VLOOKUP($G106,'Input Data'!$BI$3:$BL$10,3,FALSE),MAX((AH106-IF(OR($G106="M (under 21)",$G106="Z (under 21 - deferment)"),'Input Data'!$BG$6,IF($G106="H (Apprentice under 25)",'Input Data'!$BG$7,'Input Data'!$BG$8))),0)*VLOOKUP($G106,'Input Data'!$BI$3:$BL$10,4,FALSE))))</f>
        <v>0</v>
      </c>
      <c r="AQ106" s="56">
        <f>IF($G106="",0,IF(NOT(OR($G106="A - All employees not in groups B, C, J, H, M or Z",$G106="B - Married women and widows entitled to reduced NI",$G106="C - Over the State Pension age",$G106="H - Apprentice under 25",$G106="J – Deferment",$G106="M - Under 21",$G106="Z - Deferment (Under 21)",$G106="Please Enter The NI Cont. in ££££")),$G106,SUM(MAX(MIN(AI106-'Input Data'!$BG$3,'Input Data'!$BG$5-'Input Data'!$BG$3),0)*VLOOKUP($G106,'Input Data'!$BI$3:$BL$10,2,FALSE),MAX(MIN(AI106-'Input Data'!$BG$5,IF(OR($G106="M (under 21)",$G106="Z (under 21 - deferment)"),'Input Data'!$BG$6,IF($G106="H (Apprentice under 25)",'Input Data'!$BG$7,'Input Data'!$BG$8))-'Input Data'!$BG$5),0)*VLOOKUP($G106,'Input Data'!$BI$3:$BL$10,3,FALSE),MAX((AI106-IF(OR($G106="M (under 21)",$G106="Z (under 21 - deferment)"),'Input Data'!$BG$6,IF($G106="H (Apprentice under 25)",'Input Data'!$BG$7,'Input Data'!$BG$8))),0)*VLOOKUP($G106,'Input Data'!$BI$3:$BL$10,4,FALSE))))</f>
        <v>0</v>
      </c>
      <c r="AR106" s="56">
        <f>IF($G106="",0,IF(NOT(OR($G106="A - All employees not in groups B, C, J, H, M or Z",$G106="B - Married women and widows entitled to reduced NI",$G106="C - Over the State Pension age",$G106="H - Apprentice under 25",$G106="J – Deferment",$G106="M - Under 21",$G106="Z - Deferment (Under 21)",$G106="Please Enter The NI Cont. in ££££")),$G106,SUM(MAX(MIN(AJ106-'Input Data'!$BG$3,'Input Data'!$BG$5-'Input Data'!$BG$3),0)*VLOOKUP($G106,'Input Data'!$BI$3:$BL$10,2,FALSE),MAX(MIN(AJ106-'Input Data'!$BG$5,IF(OR($G106="M (under 21)",$G106="Z (under 21 - deferment)"),'Input Data'!$BG$6,IF($G106="H (Apprentice under 25)",'Input Data'!$BG$7,'Input Data'!$BG$8))-'Input Data'!$BG$5),0)*VLOOKUP($G106,'Input Data'!$BI$3:$BL$10,3,FALSE),MAX((AJ106-IF(OR($G106="M (under 21)",$G106="Z (under 21 - deferment)"),'Input Data'!$BG$6,IF($G106="H (Apprentice under 25)",'Input Data'!$BG$7,'Input Data'!$BG$8))),0)*VLOOKUP($G106,'Input Data'!$BI$3:$BL$10,4,FALSE))))</f>
        <v>0</v>
      </c>
      <c r="AS106" s="56">
        <f>AC106*$F106</f>
        <v>0</v>
      </c>
      <c r="AT106" s="56">
        <f>AD106*$F106</f>
        <v>0</v>
      </c>
      <c r="AU106" s="56">
        <f>AE106*$F106</f>
        <v>0</v>
      </c>
      <c r="AV106" s="56">
        <f>AF106*$F106</f>
        <v>0</v>
      </c>
      <c r="AW106" s="56">
        <f>AG106*$F106</f>
        <v>0</v>
      </c>
      <c r="AX106" s="56">
        <f>AH106*$F106</f>
        <v>0</v>
      </c>
      <c r="AY106" s="56">
        <f>AI106*$F106</f>
        <v>0</v>
      </c>
      <c r="AZ106" s="56">
        <f>AJ106*$F106</f>
        <v>0</v>
      </c>
    </row>
    <row r="107" spans="2:52" ht="25.5">
      <c r="B107" s="60"/>
      <c r="C107" s="57" t="s">
        <v>77</v>
      </c>
      <c r="D107" s="58"/>
      <c r="E107" s="58"/>
      <c r="F107" s="535"/>
      <c r="G107" s="693" t="s">
        <v>1149</v>
      </c>
      <c r="H107" s="65"/>
      <c r="I107" s="65"/>
      <c r="J107" s="65"/>
      <c r="K107" s="65"/>
      <c r="L107" s="65"/>
      <c r="M107" s="65"/>
      <c r="N107" s="65"/>
      <c r="O107" s="65"/>
      <c r="P107" s="29"/>
      <c r="Q107" s="597"/>
      <c r="R107" s="61"/>
      <c r="T107" s="43">
        <f>SUM(AC107,AK107,AS107)</f>
        <v>0</v>
      </c>
      <c r="U107" s="43">
        <f>SUM(AD107,AL107,AT107)</f>
        <v>0</v>
      </c>
      <c r="V107" s="43">
        <f>SUM(AE107,AM107,AU107)</f>
        <v>0</v>
      </c>
      <c r="W107" s="43">
        <f>SUM(AF107,AN107,AV107)</f>
        <v>0</v>
      </c>
      <c r="X107" s="43">
        <f>SUM(AG107,AO107,AW107)</f>
        <v>0</v>
      </c>
      <c r="Y107" s="43">
        <f>SUM(AH107,AP107,AX107)</f>
        <v>0</v>
      </c>
      <c r="Z107" s="43">
        <f>SUM(AI107,AQ107,AY107)</f>
        <v>0</v>
      </c>
      <c r="AA107" s="43">
        <f>SUM(AJ107,AR107,AZ107)</f>
        <v>0</v>
      </c>
      <c r="AC107" s="631">
        <f>SUM($D107:$E107)*H107</f>
        <v>0</v>
      </c>
      <c r="AD107" s="631">
        <f>SUM($D107:$E107)*I107</f>
        <v>0</v>
      </c>
      <c r="AE107" s="631">
        <f>SUM($D107:$E107)*J107</f>
        <v>0</v>
      </c>
      <c r="AF107" s="631">
        <f>SUM($D107:$E107)*K107</f>
        <v>0</v>
      </c>
      <c r="AG107" s="631">
        <f>SUM($D107:$E107)*L107</f>
        <v>0</v>
      </c>
      <c r="AH107" s="631">
        <f>SUM($D107:$E107)*M107</f>
        <v>0</v>
      </c>
      <c r="AI107" s="631">
        <f>SUM($D107:$E107)*N107</f>
        <v>0</v>
      </c>
      <c r="AJ107" s="631">
        <f>SUM($D107:$E107)*O107</f>
        <v>0</v>
      </c>
      <c r="AK107" s="56">
        <f>IF($G107="",0,IF(NOT(OR($G107="A - All employees not in groups B, C, J, H, M or Z",$G107="B - Married women and widows entitled to reduced NI",$G107="C - Over the State Pension age",$G107="H - Apprentice under 25",$G107="J – Deferment",$G107="M - Under 21",$G107="Z - Deferment (Under 21)",$G107="Please Enter The NI Cont. in ££££")),$G107,SUM(MAX(MIN(AC107-'Input Data'!$BG$3,'Input Data'!$BG$5-'Input Data'!$BG$3),0)*VLOOKUP($G107,'Input Data'!$BI$3:$BL$10,2,FALSE),MAX(MIN(AC107-'Input Data'!$BG$5,IF(OR($G107="M (under 21)",$G107="Z (under 21 - deferment)"),'Input Data'!$BG$6,IF($G107="H (Apprentice under 25)",'Input Data'!$BG$7,'Input Data'!$BG$8))-'Input Data'!$BG$5),0)*VLOOKUP($G107,'Input Data'!$BI$3:$BL$10,3,FALSE),MAX((AC107-IF(OR($G107="M (under 21)",$G107="Z (under 21 - deferment)"),'Input Data'!$BG$6,IF($G107="H (Apprentice under 25)",'Input Data'!$BG$7,'Input Data'!$BG$8))),0)*VLOOKUP($G107,'Input Data'!$BI$3:$BL$10,4,FALSE))))</f>
        <v>0</v>
      </c>
      <c r="AL107" s="56">
        <f>IF($G107="",0,IF(NOT(OR($G107="A - All employees not in groups B, C, J, H, M or Z",$G107="B - Married women and widows entitled to reduced NI",$G107="C - Over the State Pension age",$G107="H - Apprentice under 25",$G107="J – Deferment",$G107="M - Under 21",$G107="Z - Deferment (Under 21)",$G107="Please Enter The NI Cont. in ££££")),$G107,SUM(MAX(MIN(AD107-'Input Data'!$BG$3,'Input Data'!$BG$5-'Input Data'!$BG$3),0)*VLOOKUP($G107,'Input Data'!$BI$3:$BL$10,2,FALSE),MAX(MIN(AD107-'Input Data'!$BG$5,IF(OR($G107="M (under 21)",$G107="Z (under 21 - deferment)"),'Input Data'!$BG$6,IF($G107="H (Apprentice under 25)",'Input Data'!$BG$7,'Input Data'!$BG$8))-'Input Data'!$BG$5),0)*VLOOKUP($G107,'Input Data'!$BI$3:$BL$10,3,FALSE),MAX((AD107-IF(OR($G107="M (under 21)",$G107="Z (under 21 - deferment)"),'Input Data'!$BG$6,IF($G107="H (Apprentice under 25)",'Input Data'!$BG$7,'Input Data'!$BG$8))),0)*VLOOKUP($G107,'Input Data'!$BI$3:$BL$10,4,FALSE))))</f>
        <v>0</v>
      </c>
      <c r="AM107" s="56">
        <f>IF($G107="",0,IF(NOT(OR($G107="A - All employees not in groups B, C, J, H, M or Z",$G107="B - Married women and widows entitled to reduced NI",$G107="C - Over the State Pension age",$G107="H - Apprentice under 25",$G107="J – Deferment",$G107="M - Under 21",$G107="Z - Deferment (Under 21)",$G107="Please Enter The NI Cont. in ££££")),$G107,SUM(MAX(MIN(AE107-'Input Data'!$BG$3,'Input Data'!$BG$5-'Input Data'!$BG$3),0)*VLOOKUP($G107,'Input Data'!$BI$3:$BL$10,2,FALSE),MAX(MIN(AE107-'Input Data'!$BG$5,IF(OR($G107="M (under 21)",$G107="Z (under 21 - deferment)"),'Input Data'!$BG$6,IF($G107="H (Apprentice under 25)",'Input Data'!$BG$7,'Input Data'!$BG$8))-'Input Data'!$BG$5),0)*VLOOKUP($G107,'Input Data'!$BI$3:$BL$10,3,FALSE),MAX((AE107-IF(OR($G107="M (under 21)",$G107="Z (under 21 - deferment)"),'Input Data'!$BG$6,IF($G107="H (Apprentice under 25)",'Input Data'!$BG$7,'Input Data'!$BG$8))),0)*VLOOKUP($G107,'Input Data'!$BI$3:$BL$10,4,FALSE))))</f>
        <v>0</v>
      </c>
      <c r="AN107" s="56">
        <f>IF($G107="",0,IF(NOT(OR($G107="A - All employees not in groups B, C, J, H, M or Z",$G107="B - Married women and widows entitled to reduced NI",$G107="C - Over the State Pension age",$G107="H - Apprentice under 25",$G107="J – Deferment",$G107="M - Under 21",$G107="Z - Deferment (Under 21)",$G107="Please Enter The NI Cont. in ££££")),$G107,SUM(MAX(MIN(AF107-'Input Data'!$BG$3,'Input Data'!$BG$5-'Input Data'!$BG$3),0)*VLOOKUP($G107,'Input Data'!$BI$3:$BL$10,2,FALSE),MAX(MIN(AF107-'Input Data'!$BG$5,IF(OR($G107="M (under 21)",$G107="Z (under 21 - deferment)"),'Input Data'!$BG$6,IF($G107="H (Apprentice under 25)",'Input Data'!$BG$7,'Input Data'!$BG$8))-'Input Data'!$BG$5),0)*VLOOKUP($G107,'Input Data'!$BI$3:$BL$10,3,FALSE),MAX((AF107-IF(OR($G107="M (under 21)",$G107="Z (under 21 - deferment)"),'Input Data'!$BG$6,IF($G107="H (Apprentice under 25)",'Input Data'!$BG$7,'Input Data'!$BG$8))),0)*VLOOKUP($G107,'Input Data'!$BI$3:$BL$10,4,FALSE))))</f>
        <v>0</v>
      </c>
      <c r="AO107" s="56">
        <f>IF($G107="",0,IF(NOT(OR($G107="A - All employees not in groups B, C, J, H, M or Z",$G107="B - Married women and widows entitled to reduced NI",$G107="C - Over the State Pension age",$G107="H - Apprentice under 25",$G107="J – Deferment",$G107="M - Under 21",$G107="Z - Deferment (Under 21)",$G107="Please Enter The NI Cont. in ££££")),$G107,SUM(MAX(MIN(AG107-'Input Data'!$BG$3,'Input Data'!$BG$5-'Input Data'!$BG$3),0)*VLOOKUP($G107,'Input Data'!$BI$3:$BL$10,2,FALSE),MAX(MIN(AG107-'Input Data'!$BG$5,IF(OR($G107="M (under 21)",$G107="Z (under 21 - deferment)"),'Input Data'!$BG$6,IF($G107="H (Apprentice under 25)",'Input Data'!$BG$7,'Input Data'!$BG$8))-'Input Data'!$BG$5),0)*VLOOKUP($G107,'Input Data'!$BI$3:$BL$10,3,FALSE),MAX((AG107-IF(OR($G107="M (under 21)",$G107="Z (under 21 - deferment)"),'Input Data'!$BG$6,IF($G107="H (Apprentice under 25)",'Input Data'!$BG$7,'Input Data'!$BG$8))),0)*VLOOKUP($G107,'Input Data'!$BI$3:$BL$10,4,FALSE))))</f>
        <v>0</v>
      </c>
      <c r="AP107" s="56">
        <f>IF($G107="",0,IF(NOT(OR($G107="A - All employees not in groups B, C, J, H, M or Z",$G107="B - Married women and widows entitled to reduced NI",$G107="C - Over the State Pension age",$G107="H - Apprentice under 25",$G107="J – Deferment",$G107="M - Under 21",$G107="Z - Deferment (Under 21)",$G107="Please Enter The NI Cont. in ££££")),$G107,SUM(MAX(MIN(AH107-'Input Data'!$BG$3,'Input Data'!$BG$5-'Input Data'!$BG$3),0)*VLOOKUP($G107,'Input Data'!$BI$3:$BL$10,2,FALSE),MAX(MIN(AH107-'Input Data'!$BG$5,IF(OR($G107="M (under 21)",$G107="Z (under 21 - deferment)"),'Input Data'!$BG$6,IF($G107="H (Apprentice under 25)",'Input Data'!$BG$7,'Input Data'!$BG$8))-'Input Data'!$BG$5),0)*VLOOKUP($G107,'Input Data'!$BI$3:$BL$10,3,FALSE),MAX((AH107-IF(OR($G107="M (under 21)",$G107="Z (under 21 - deferment)"),'Input Data'!$BG$6,IF($G107="H (Apprentice under 25)",'Input Data'!$BG$7,'Input Data'!$BG$8))),0)*VLOOKUP($G107,'Input Data'!$BI$3:$BL$10,4,FALSE))))</f>
        <v>0</v>
      </c>
      <c r="AQ107" s="56">
        <f>IF($G107="",0,IF(NOT(OR($G107="A - All employees not in groups B, C, J, H, M or Z",$G107="B - Married women and widows entitled to reduced NI",$G107="C - Over the State Pension age",$G107="H - Apprentice under 25",$G107="J – Deferment",$G107="M - Under 21",$G107="Z - Deferment (Under 21)",$G107="Please Enter The NI Cont. in ££££")),$G107,SUM(MAX(MIN(AI107-'Input Data'!$BG$3,'Input Data'!$BG$5-'Input Data'!$BG$3),0)*VLOOKUP($G107,'Input Data'!$BI$3:$BL$10,2,FALSE),MAX(MIN(AI107-'Input Data'!$BG$5,IF(OR($G107="M (under 21)",$G107="Z (under 21 - deferment)"),'Input Data'!$BG$6,IF($G107="H (Apprentice under 25)",'Input Data'!$BG$7,'Input Data'!$BG$8))-'Input Data'!$BG$5),0)*VLOOKUP($G107,'Input Data'!$BI$3:$BL$10,3,FALSE),MAX((AI107-IF(OR($G107="M (under 21)",$G107="Z (under 21 - deferment)"),'Input Data'!$BG$6,IF($G107="H (Apprentice under 25)",'Input Data'!$BG$7,'Input Data'!$BG$8))),0)*VLOOKUP($G107,'Input Data'!$BI$3:$BL$10,4,FALSE))))</f>
        <v>0</v>
      </c>
      <c r="AR107" s="56">
        <f>IF($G107="",0,IF(NOT(OR($G107="A - All employees not in groups B, C, J, H, M or Z",$G107="B - Married women and widows entitled to reduced NI",$G107="C - Over the State Pension age",$G107="H - Apprentice under 25",$G107="J – Deferment",$G107="M - Under 21",$G107="Z - Deferment (Under 21)",$G107="Please Enter The NI Cont. in ££££")),$G107,SUM(MAX(MIN(AJ107-'Input Data'!$BG$3,'Input Data'!$BG$5-'Input Data'!$BG$3),0)*VLOOKUP($G107,'Input Data'!$BI$3:$BL$10,2,FALSE),MAX(MIN(AJ107-'Input Data'!$BG$5,IF(OR($G107="M (under 21)",$G107="Z (under 21 - deferment)"),'Input Data'!$BG$6,IF($G107="H (Apprentice under 25)",'Input Data'!$BG$7,'Input Data'!$BG$8))-'Input Data'!$BG$5),0)*VLOOKUP($G107,'Input Data'!$BI$3:$BL$10,3,FALSE),MAX((AJ107-IF(OR($G107="M (under 21)",$G107="Z (under 21 - deferment)"),'Input Data'!$BG$6,IF($G107="H (Apprentice under 25)",'Input Data'!$BG$7,'Input Data'!$BG$8))),0)*VLOOKUP($G107,'Input Data'!$BI$3:$BL$10,4,FALSE))))</f>
        <v>0</v>
      </c>
      <c r="AS107" s="56">
        <f>AC107*$F107</f>
        <v>0</v>
      </c>
      <c r="AT107" s="56">
        <f>AD107*$F107</f>
        <v>0</v>
      </c>
      <c r="AU107" s="56">
        <f>AE107*$F107</f>
        <v>0</v>
      </c>
      <c r="AV107" s="56">
        <f>AF107*$F107</f>
        <v>0</v>
      </c>
      <c r="AW107" s="56">
        <f>AG107*$F107</f>
        <v>0</v>
      </c>
      <c r="AX107" s="56">
        <f>AH107*$F107</f>
        <v>0</v>
      </c>
      <c r="AY107" s="56">
        <f>AI107*$F107</f>
        <v>0</v>
      </c>
      <c r="AZ107" s="56">
        <f>AJ107*$F107</f>
        <v>0</v>
      </c>
    </row>
    <row r="108" spans="2:52" ht="25.5">
      <c r="B108" s="60"/>
      <c r="C108" s="57" t="s">
        <v>78</v>
      </c>
      <c r="D108" s="58"/>
      <c r="E108" s="58"/>
      <c r="F108" s="535"/>
      <c r="G108" s="693" t="s">
        <v>1149</v>
      </c>
      <c r="H108" s="65"/>
      <c r="I108" s="65"/>
      <c r="J108" s="65"/>
      <c r="K108" s="65"/>
      <c r="L108" s="65"/>
      <c r="M108" s="65"/>
      <c r="N108" s="65"/>
      <c r="O108" s="65"/>
      <c r="P108" s="29"/>
      <c r="Q108" s="597"/>
      <c r="R108" s="61"/>
      <c r="T108" s="43">
        <f>SUM(AC108,AK108,AS108)</f>
        <v>0</v>
      </c>
      <c r="U108" s="43">
        <f>SUM(AD108,AL108,AT108)</f>
        <v>0</v>
      </c>
      <c r="V108" s="43">
        <f>SUM(AE108,AM108,AU108)</f>
        <v>0</v>
      </c>
      <c r="W108" s="43">
        <f>SUM(AF108,AN108,AV108)</f>
        <v>0</v>
      </c>
      <c r="X108" s="43">
        <f>SUM(AG108,AO108,AW108)</f>
        <v>0</v>
      </c>
      <c r="Y108" s="43">
        <f>SUM(AH108,AP108,AX108)</f>
        <v>0</v>
      </c>
      <c r="Z108" s="43">
        <f>SUM(AI108,AQ108,AY108)</f>
        <v>0</v>
      </c>
      <c r="AA108" s="43">
        <f>SUM(AJ108,AR108,AZ108)</f>
        <v>0</v>
      </c>
      <c r="AC108" s="631">
        <f>SUM($D108:$E108)*H108</f>
        <v>0</v>
      </c>
      <c r="AD108" s="631">
        <f>SUM($D108:$E108)*I108</f>
        <v>0</v>
      </c>
      <c r="AE108" s="631">
        <f>SUM($D108:$E108)*J108</f>
        <v>0</v>
      </c>
      <c r="AF108" s="631">
        <f>SUM($D108:$E108)*K108</f>
        <v>0</v>
      </c>
      <c r="AG108" s="631">
        <f>SUM($D108:$E108)*L108</f>
        <v>0</v>
      </c>
      <c r="AH108" s="631">
        <f>SUM($D108:$E108)*M108</f>
        <v>0</v>
      </c>
      <c r="AI108" s="631">
        <f>SUM($D108:$E108)*N108</f>
        <v>0</v>
      </c>
      <c r="AJ108" s="631">
        <f>SUM($D108:$E108)*O108</f>
        <v>0</v>
      </c>
      <c r="AK108" s="56">
        <f>IF($G108="",0,IF(NOT(OR($G108="A - All employees not in groups B, C, J, H, M or Z",$G108="B - Married women and widows entitled to reduced NI",$G108="C - Over the State Pension age",$G108="H - Apprentice under 25",$G108="J – Deferment",$G108="M - Under 21",$G108="Z - Deferment (Under 21)",$G108="Please Enter The NI Cont. in ££££")),$G108,SUM(MAX(MIN(AC108-'Input Data'!$BG$3,'Input Data'!$BG$5-'Input Data'!$BG$3),0)*VLOOKUP($G108,'Input Data'!$BI$3:$BL$10,2,FALSE),MAX(MIN(AC108-'Input Data'!$BG$5,IF(OR($G108="M (under 21)",$G108="Z (under 21 - deferment)"),'Input Data'!$BG$6,IF($G108="H (Apprentice under 25)",'Input Data'!$BG$7,'Input Data'!$BG$8))-'Input Data'!$BG$5),0)*VLOOKUP($G108,'Input Data'!$BI$3:$BL$10,3,FALSE),MAX((AC108-IF(OR($G108="M (under 21)",$G108="Z (under 21 - deferment)"),'Input Data'!$BG$6,IF($G108="H (Apprentice under 25)",'Input Data'!$BG$7,'Input Data'!$BG$8))),0)*VLOOKUP($G108,'Input Data'!$BI$3:$BL$10,4,FALSE))))</f>
        <v>0</v>
      </c>
      <c r="AL108" s="56">
        <f>IF($G108="",0,IF(NOT(OR($G108="A - All employees not in groups B, C, J, H, M or Z",$G108="B - Married women and widows entitled to reduced NI",$G108="C - Over the State Pension age",$G108="H - Apprentice under 25",$G108="J – Deferment",$G108="M - Under 21",$G108="Z - Deferment (Under 21)",$G108="Please Enter The NI Cont. in ££££")),$G108,SUM(MAX(MIN(AD108-'Input Data'!$BG$3,'Input Data'!$BG$5-'Input Data'!$BG$3),0)*VLOOKUP($G108,'Input Data'!$BI$3:$BL$10,2,FALSE),MAX(MIN(AD108-'Input Data'!$BG$5,IF(OR($G108="M (under 21)",$G108="Z (under 21 - deferment)"),'Input Data'!$BG$6,IF($G108="H (Apprentice under 25)",'Input Data'!$BG$7,'Input Data'!$BG$8))-'Input Data'!$BG$5),0)*VLOOKUP($G108,'Input Data'!$BI$3:$BL$10,3,FALSE),MAX((AD108-IF(OR($G108="M (under 21)",$G108="Z (under 21 - deferment)"),'Input Data'!$BG$6,IF($G108="H (Apprentice under 25)",'Input Data'!$BG$7,'Input Data'!$BG$8))),0)*VLOOKUP($G108,'Input Data'!$BI$3:$BL$10,4,FALSE))))</f>
        <v>0</v>
      </c>
      <c r="AM108" s="56">
        <f>IF($G108="",0,IF(NOT(OR($G108="A - All employees not in groups B, C, J, H, M or Z",$G108="B - Married women and widows entitled to reduced NI",$G108="C - Over the State Pension age",$G108="H - Apprentice under 25",$G108="J – Deferment",$G108="M - Under 21",$G108="Z - Deferment (Under 21)",$G108="Please Enter The NI Cont. in ££££")),$G108,SUM(MAX(MIN(AE108-'Input Data'!$BG$3,'Input Data'!$BG$5-'Input Data'!$BG$3),0)*VLOOKUP($G108,'Input Data'!$BI$3:$BL$10,2,FALSE),MAX(MIN(AE108-'Input Data'!$BG$5,IF(OR($G108="M (under 21)",$G108="Z (under 21 - deferment)"),'Input Data'!$BG$6,IF($G108="H (Apprentice under 25)",'Input Data'!$BG$7,'Input Data'!$BG$8))-'Input Data'!$BG$5),0)*VLOOKUP($G108,'Input Data'!$BI$3:$BL$10,3,FALSE),MAX((AE108-IF(OR($G108="M (under 21)",$G108="Z (under 21 - deferment)"),'Input Data'!$BG$6,IF($G108="H (Apprentice under 25)",'Input Data'!$BG$7,'Input Data'!$BG$8))),0)*VLOOKUP($G108,'Input Data'!$BI$3:$BL$10,4,FALSE))))</f>
        <v>0</v>
      </c>
      <c r="AN108" s="56">
        <f>IF($G108="",0,IF(NOT(OR($G108="A - All employees not in groups B, C, J, H, M or Z",$G108="B - Married women and widows entitled to reduced NI",$G108="C - Over the State Pension age",$G108="H - Apprentice under 25",$G108="J – Deferment",$G108="M - Under 21",$G108="Z - Deferment (Under 21)",$G108="Please Enter The NI Cont. in ££££")),$G108,SUM(MAX(MIN(AF108-'Input Data'!$BG$3,'Input Data'!$BG$5-'Input Data'!$BG$3),0)*VLOOKUP($G108,'Input Data'!$BI$3:$BL$10,2,FALSE),MAX(MIN(AF108-'Input Data'!$BG$5,IF(OR($G108="M (under 21)",$G108="Z (under 21 - deferment)"),'Input Data'!$BG$6,IF($G108="H (Apprentice under 25)",'Input Data'!$BG$7,'Input Data'!$BG$8))-'Input Data'!$BG$5),0)*VLOOKUP($G108,'Input Data'!$BI$3:$BL$10,3,FALSE),MAX((AF108-IF(OR($G108="M (under 21)",$G108="Z (under 21 - deferment)"),'Input Data'!$BG$6,IF($G108="H (Apprentice under 25)",'Input Data'!$BG$7,'Input Data'!$BG$8))),0)*VLOOKUP($G108,'Input Data'!$BI$3:$BL$10,4,FALSE))))</f>
        <v>0</v>
      </c>
      <c r="AO108" s="56">
        <f>IF($G108="",0,IF(NOT(OR($G108="A - All employees not in groups B, C, J, H, M or Z",$G108="B - Married women and widows entitled to reduced NI",$G108="C - Over the State Pension age",$G108="H - Apprentice under 25",$G108="J – Deferment",$G108="M - Under 21",$G108="Z - Deferment (Under 21)",$G108="Please Enter The NI Cont. in ££££")),$G108,SUM(MAX(MIN(AG108-'Input Data'!$BG$3,'Input Data'!$BG$5-'Input Data'!$BG$3),0)*VLOOKUP($G108,'Input Data'!$BI$3:$BL$10,2,FALSE),MAX(MIN(AG108-'Input Data'!$BG$5,IF(OR($G108="M (under 21)",$G108="Z (under 21 - deferment)"),'Input Data'!$BG$6,IF($G108="H (Apprentice under 25)",'Input Data'!$BG$7,'Input Data'!$BG$8))-'Input Data'!$BG$5),0)*VLOOKUP($G108,'Input Data'!$BI$3:$BL$10,3,FALSE),MAX((AG108-IF(OR($G108="M (under 21)",$G108="Z (under 21 - deferment)"),'Input Data'!$BG$6,IF($G108="H (Apprentice under 25)",'Input Data'!$BG$7,'Input Data'!$BG$8))),0)*VLOOKUP($G108,'Input Data'!$BI$3:$BL$10,4,FALSE))))</f>
        <v>0</v>
      </c>
      <c r="AP108" s="56">
        <f>IF($G108="",0,IF(NOT(OR($G108="A - All employees not in groups B, C, J, H, M or Z",$G108="B - Married women and widows entitled to reduced NI",$G108="C - Over the State Pension age",$G108="H - Apprentice under 25",$G108="J – Deferment",$G108="M - Under 21",$G108="Z - Deferment (Under 21)",$G108="Please Enter The NI Cont. in ££££")),$G108,SUM(MAX(MIN(AH108-'Input Data'!$BG$3,'Input Data'!$BG$5-'Input Data'!$BG$3),0)*VLOOKUP($G108,'Input Data'!$BI$3:$BL$10,2,FALSE),MAX(MIN(AH108-'Input Data'!$BG$5,IF(OR($G108="M (under 21)",$G108="Z (under 21 - deferment)"),'Input Data'!$BG$6,IF($G108="H (Apprentice under 25)",'Input Data'!$BG$7,'Input Data'!$BG$8))-'Input Data'!$BG$5),0)*VLOOKUP($G108,'Input Data'!$BI$3:$BL$10,3,FALSE),MAX((AH108-IF(OR($G108="M (under 21)",$G108="Z (under 21 - deferment)"),'Input Data'!$BG$6,IF($G108="H (Apprentice under 25)",'Input Data'!$BG$7,'Input Data'!$BG$8))),0)*VLOOKUP($G108,'Input Data'!$BI$3:$BL$10,4,FALSE))))</f>
        <v>0</v>
      </c>
      <c r="AQ108" s="56">
        <f>IF($G108="",0,IF(NOT(OR($G108="A - All employees not in groups B, C, J, H, M or Z",$G108="B - Married women and widows entitled to reduced NI",$G108="C - Over the State Pension age",$G108="H - Apprentice under 25",$G108="J – Deferment",$G108="M - Under 21",$G108="Z - Deferment (Under 21)",$G108="Please Enter The NI Cont. in ££££")),$G108,SUM(MAX(MIN(AI108-'Input Data'!$BG$3,'Input Data'!$BG$5-'Input Data'!$BG$3),0)*VLOOKUP($G108,'Input Data'!$BI$3:$BL$10,2,FALSE),MAX(MIN(AI108-'Input Data'!$BG$5,IF(OR($G108="M (under 21)",$G108="Z (under 21 - deferment)"),'Input Data'!$BG$6,IF($G108="H (Apprentice under 25)",'Input Data'!$BG$7,'Input Data'!$BG$8))-'Input Data'!$BG$5),0)*VLOOKUP($G108,'Input Data'!$BI$3:$BL$10,3,FALSE),MAX((AI108-IF(OR($G108="M (under 21)",$G108="Z (under 21 - deferment)"),'Input Data'!$BG$6,IF($G108="H (Apprentice under 25)",'Input Data'!$BG$7,'Input Data'!$BG$8))),0)*VLOOKUP($G108,'Input Data'!$BI$3:$BL$10,4,FALSE))))</f>
        <v>0</v>
      </c>
      <c r="AR108" s="56">
        <f>IF($G108="",0,IF(NOT(OR($G108="A - All employees not in groups B, C, J, H, M or Z",$G108="B - Married women and widows entitled to reduced NI",$G108="C - Over the State Pension age",$G108="H - Apprentice under 25",$G108="J – Deferment",$G108="M - Under 21",$G108="Z - Deferment (Under 21)",$G108="Please Enter The NI Cont. in ££££")),$G108,SUM(MAX(MIN(AJ108-'Input Data'!$BG$3,'Input Data'!$BG$5-'Input Data'!$BG$3),0)*VLOOKUP($G108,'Input Data'!$BI$3:$BL$10,2,FALSE),MAX(MIN(AJ108-'Input Data'!$BG$5,IF(OR($G108="M (under 21)",$G108="Z (under 21 - deferment)"),'Input Data'!$BG$6,IF($G108="H (Apprentice under 25)",'Input Data'!$BG$7,'Input Data'!$BG$8))-'Input Data'!$BG$5),0)*VLOOKUP($G108,'Input Data'!$BI$3:$BL$10,3,FALSE),MAX((AJ108-IF(OR($G108="M (under 21)",$G108="Z (under 21 - deferment)"),'Input Data'!$BG$6,IF($G108="H (Apprentice under 25)",'Input Data'!$BG$7,'Input Data'!$BG$8))),0)*VLOOKUP($G108,'Input Data'!$BI$3:$BL$10,4,FALSE))))</f>
        <v>0</v>
      </c>
      <c r="AS108" s="56">
        <f>AC108*$F108</f>
        <v>0</v>
      </c>
      <c r="AT108" s="56">
        <f>AD108*$F108</f>
        <v>0</v>
      </c>
      <c r="AU108" s="56">
        <f>AE108*$F108</f>
        <v>0</v>
      </c>
      <c r="AV108" s="56">
        <f>AF108*$F108</f>
        <v>0</v>
      </c>
      <c r="AW108" s="56">
        <f>AG108*$F108</f>
        <v>0</v>
      </c>
      <c r="AX108" s="56">
        <f>AH108*$F108</f>
        <v>0</v>
      </c>
      <c r="AY108" s="56">
        <f>AI108*$F108</f>
        <v>0</v>
      </c>
      <c r="AZ108" s="56">
        <f>AJ108*$F108</f>
        <v>0</v>
      </c>
    </row>
    <row r="109" spans="2:52" ht="25.5">
      <c r="B109" s="60"/>
      <c r="C109" s="57" t="s">
        <v>79</v>
      </c>
      <c r="D109" s="58"/>
      <c r="E109" s="58"/>
      <c r="F109" s="535"/>
      <c r="G109" s="693" t="s">
        <v>1149</v>
      </c>
      <c r="H109" s="65"/>
      <c r="I109" s="65"/>
      <c r="J109" s="65"/>
      <c r="K109" s="65"/>
      <c r="L109" s="65"/>
      <c r="M109" s="65"/>
      <c r="N109" s="65"/>
      <c r="O109" s="65"/>
      <c r="P109" s="29"/>
      <c r="Q109" s="597"/>
      <c r="R109" s="61"/>
      <c r="T109" s="43">
        <f>SUM(AC109,AK109,AS109)</f>
        <v>0</v>
      </c>
      <c r="U109" s="43">
        <f>SUM(AD109,AL109,AT109)</f>
        <v>0</v>
      </c>
      <c r="V109" s="43">
        <f>SUM(AE109,AM109,AU109)</f>
        <v>0</v>
      </c>
      <c r="W109" s="43">
        <f>SUM(AF109,AN109,AV109)</f>
        <v>0</v>
      </c>
      <c r="X109" s="43">
        <f>SUM(AG109,AO109,AW109)</f>
        <v>0</v>
      </c>
      <c r="Y109" s="43">
        <f>SUM(AH109,AP109,AX109)</f>
        <v>0</v>
      </c>
      <c r="Z109" s="43">
        <f>SUM(AI109,AQ109,AY109)</f>
        <v>0</v>
      </c>
      <c r="AA109" s="43">
        <f>SUM(AJ109,AR109,AZ109)</f>
        <v>0</v>
      </c>
      <c r="AC109" s="631">
        <f>SUM($D109:$E109)*H109</f>
        <v>0</v>
      </c>
      <c r="AD109" s="631">
        <f>SUM($D109:$E109)*I109</f>
        <v>0</v>
      </c>
      <c r="AE109" s="631">
        <f>SUM($D109:$E109)*J109</f>
        <v>0</v>
      </c>
      <c r="AF109" s="631">
        <f>SUM($D109:$E109)*K109</f>
        <v>0</v>
      </c>
      <c r="AG109" s="631">
        <f>SUM($D109:$E109)*L109</f>
        <v>0</v>
      </c>
      <c r="AH109" s="631">
        <f>SUM($D109:$E109)*M109</f>
        <v>0</v>
      </c>
      <c r="AI109" s="631">
        <f>SUM($D109:$E109)*N109</f>
        <v>0</v>
      </c>
      <c r="AJ109" s="631">
        <f>SUM($D109:$E109)*O109</f>
        <v>0</v>
      </c>
      <c r="AK109" s="56">
        <f>IF($G109="",0,IF(NOT(OR($G109="A - All employees not in groups B, C, J, H, M or Z",$G109="B - Married women and widows entitled to reduced NI",$G109="C - Over the State Pension age",$G109="H - Apprentice under 25",$G109="J – Deferment",$G109="M - Under 21",$G109="Z - Deferment (Under 21)",$G109="Please Enter The NI Cont. in ££££")),$G109,SUM(MAX(MIN(AC109-'Input Data'!$BG$3,'Input Data'!$BG$5-'Input Data'!$BG$3),0)*VLOOKUP($G109,'Input Data'!$BI$3:$BL$10,2,FALSE),MAX(MIN(AC109-'Input Data'!$BG$5,IF(OR($G109="M (under 21)",$G109="Z (under 21 - deferment)"),'Input Data'!$BG$6,IF($G109="H (Apprentice under 25)",'Input Data'!$BG$7,'Input Data'!$BG$8))-'Input Data'!$BG$5),0)*VLOOKUP($G109,'Input Data'!$BI$3:$BL$10,3,FALSE),MAX((AC109-IF(OR($G109="M (under 21)",$G109="Z (under 21 - deferment)"),'Input Data'!$BG$6,IF($G109="H (Apprentice under 25)",'Input Data'!$BG$7,'Input Data'!$BG$8))),0)*VLOOKUP($G109,'Input Data'!$BI$3:$BL$10,4,FALSE))))</f>
        <v>0</v>
      </c>
      <c r="AL109" s="56">
        <f>IF($G109="",0,IF(NOT(OR($G109="A - All employees not in groups B, C, J, H, M or Z",$G109="B - Married women and widows entitled to reduced NI",$G109="C - Over the State Pension age",$G109="H - Apprentice under 25",$G109="J – Deferment",$G109="M - Under 21",$G109="Z - Deferment (Under 21)",$G109="Please Enter The NI Cont. in ££££")),$G109,SUM(MAX(MIN(AD109-'Input Data'!$BG$3,'Input Data'!$BG$5-'Input Data'!$BG$3),0)*VLOOKUP($G109,'Input Data'!$BI$3:$BL$10,2,FALSE),MAX(MIN(AD109-'Input Data'!$BG$5,IF(OR($G109="M (under 21)",$G109="Z (under 21 - deferment)"),'Input Data'!$BG$6,IF($G109="H (Apprentice under 25)",'Input Data'!$BG$7,'Input Data'!$BG$8))-'Input Data'!$BG$5),0)*VLOOKUP($G109,'Input Data'!$BI$3:$BL$10,3,FALSE),MAX((AD109-IF(OR($G109="M (under 21)",$G109="Z (under 21 - deferment)"),'Input Data'!$BG$6,IF($G109="H (Apprentice under 25)",'Input Data'!$BG$7,'Input Data'!$BG$8))),0)*VLOOKUP($G109,'Input Data'!$BI$3:$BL$10,4,FALSE))))</f>
        <v>0</v>
      </c>
      <c r="AM109" s="56">
        <f>IF($G109="",0,IF(NOT(OR($G109="A - All employees not in groups B, C, J, H, M or Z",$G109="B - Married women and widows entitled to reduced NI",$G109="C - Over the State Pension age",$G109="H - Apprentice under 25",$G109="J – Deferment",$G109="M - Under 21",$G109="Z - Deferment (Under 21)",$G109="Please Enter The NI Cont. in ££££")),$G109,SUM(MAX(MIN(AE109-'Input Data'!$BG$3,'Input Data'!$BG$5-'Input Data'!$BG$3),0)*VLOOKUP($G109,'Input Data'!$BI$3:$BL$10,2,FALSE),MAX(MIN(AE109-'Input Data'!$BG$5,IF(OR($G109="M (under 21)",$G109="Z (under 21 - deferment)"),'Input Data'!$BG$6,IF($G109="H (Apprentice under 25)",'Input Data'!$BG$7,'Input Data'!$BG$8))-'Input Data'!$BG$5),0)*VLOOKUP($G109,'Input Data'!$BI$3:$BL$10,3,FALSE),MAX((AE109-IF(OR($G109="M (under 21)",$G109="Z (under 21 - deferment)"),'Input Data'!$BG$6,IF($G109="H (Apprentice under 25)",'Input Data'!$BG$7,'Input Data'!$BG$8))),0)*VLOOKUP($G109,'Input Data'!$BI$3:$BL$10,4,FALSE))))</f>
        <v>0</v>
      </c>
      <c r="AN109" s="56">
        <f>IF($G109="",0,IF(NOT(OR($G109="A - All employees not in groups B, C, J, H, M or Z",$G109="B - Married women and widows entitled to reduced NI",$G109="C - Over the State Pension age",$G109="H - Apprentice under 25",$G109="J – Deferment",$G109="M - Under 21",$G109="Z - Deferment (Under 21)",$G109="Please Enter The NI Cont. in ££££")),$G109,SUM(MAX(MIN(AF109-'Input Data'!$BG$3,'Input Data'!$BG$5-'Input Data'!$BG$3),0)*VLOOKUP($G109,'Input Data'!$BI$3:$BL$10,2,FALSE),MAX(MIN(AF109-'Input Data'!$BG$5,IF(OR($G109="M (under 21)",$G109="Z (under 21 - deferment)"),'Input Data'!$BG$6,IF($G109="H (Apprentice under 25)",'Input Data'!$BG$7,'Input Data'!$BG$8))-'Input Data'!$BG$5),0)*VLOOKUP($G109,'Input Data'!$BI$3:$BL$10,3,FALSE),MAX((AF109-IF(OR($G109="M (under 21)",$G109="Z (under 21 - deferment)"),'Input Data'!$BG$6,IF($G109="H (Apprentice under 25)",'Input Data'!$BG$7,'Input Data'!$BG$8))),0)*VLOOKUP($G109,'Input Data'!$BI$3:$BL$10,4,FALSE))))</f>
        <v>0</v>
      </c>
      <c r="AO109" s="56">
        <f>IF($G109="",0,IF(NOT(OR($G109="A - All employees not in groups B, C, J, H, M or Z",$G109="B - Married women and widows entitled to reduced NI",$G109="C - Over the State Pension age",$G109="H - Apprentice under 25",$G109="J – Deferment",$G109="M - Under 21",$G109="Z - Deferment (Under 21)",$G109="Please Enter The NI Cont. in ££££")),$G109,SUM(MAX(MIN(AG109-'Input Data'!$BG$3,'Input Data'!$BG$5-'Input Data'!$BG$3),0)*VLOOKUP($G109,'Input Data'!$BI$3:$BL$10,2,FALSE),MAX(MIN(AG109-'Input Data'!$BG$5,IF(OR($G109="M (under 21)",$G109="Z (under 21 - deferment)"),'Input Data'!$BG$6,IF($G109="H (Apprentice under 25)",'Input Data'!$BG$7,'Input Data'!$BG$8))-'Input Data'!$BG$5),0)*VLOOKUP($G109,'Input Data'!$BI$3:$BL$10,3,FALSE),MAX((AG109-IF(OR($G109="M (under 21)",$G109="Z (under 21 - deferment)"),'Input Data'!$BG$6,IF($G109="H (Apprentice under 25)",'Input Data'!$BG$7,'Input Data'!$BG$8))),0)*VLOOKUP($G109,'Input Data'!$BI$3:$BL$10,4,FALSE))))</f>
        <v>0</v>
      </c>
      <c r="AP109" s="56">
        <f>IF($G109="",0,IF(NOT(OR($G109="A - All employees not in groups B, C, J, H, M or Z",$G109="B - Married women and widows entitled to reduced NI",$G109="C - Over the State Pension age",$G109="H - Apprentice under 25",$G109="J – Deferment",$G109="M - Under 21",$G109="Z - Deferment (Under 21)",$G109="Please Enter The NI Cont. in ££££")),$G109,SUM(MAX(MIN(AH109-'Input Data'!$BG$3,'Input Data'!$BG$5-'Input Data'!$BG$3),0)*VLOOKUP($G109,'Input Data'!$BI$3:$BL$10,2,FALSE),MAX(MIN(AH109-'Input Data'!$BG$5,IF(OR($G109="M (under 21)",$G109="Z (under 21 - deferment)"),'Input Data'!$BG$6,IF($G109="H (Apprentice under 25)",'Input Data'!$BG$7,'Input Data'!$BG$8))-'Input Data'!$BG$5),0)*VLOOKUP($G109,'Input Data'!$BI$3:$BL$10,3,FALSE),MAX((AH109-IF(OR($G109="M (under 21)",$G109="Z (under 21 - deferment)"),'Input Data'!$BG$6,IF($G109="H (Apprentice under 25)",'Input Data'!$BG$7,'Input Data'!$BG$8))),0)*VLOOKUP($G109,'Input Data'!$BI$3:$BL$10,4,FALSE))))</f>
        <v>0</v>
      </c>
      <c r="AQ109" s="56">
        <f>IF($G109="",0,IF(NOT(OR($G109="A - All employees not in groups B, C, J, H, M or Z",$G109="B - Married women and widows entitled to reduced NI",$G109="C - Over the State Pension age",$G109="H - Apprentice under 25",$G109="J – Deferment",$G109="M - Under 21",$G109="Z - Deferment (Under 21)",$G109="Please Enter The NI Cont. in ££££")),$G109,SUM(MAX(MIN(AI109-'Input Data'!$BG$3,'Input Data'!$BG$5-'Input Data'!$BG$3),0)*VLOOKUP($G109,'Input Data'!$BI$3:$BL$10,2,FALSE),MAX(MIN(AI109-'Input Data'!$BG$5,IF(OR($G109="M (under 21)",$G109="Z (under 21 - deferment)"),'Input Data'!$BG$6,IF($G109="H (Apprentice under 25)",'Input Data'!$BG$7,'Input Data'!$BG$8))-'Input Data'!$BG$5),0)*VLOOKUP($G109,'Input Data'!$BI$3:$BL$10,3,FALSE),MAX((AI109-IF(OR($G109="M (under 21)",$G109="Z (under 21 - deferment)"),'Input Data'!$BG$6,IF($G109="H (Apprentice under 25)",'Input Data'!$BG$7,'Input Data'!$BG$8))),0)*VLOOKUP($G109,'Input Data'!$BI$3:$BL$10,4,FALSE))))</f>
        <v>0</v>
      </c>
      <c r="AR109" s="56">
        <f>IF($G109="",0,IF(NOT(OR($G109="A - All employees not in groups B, C, J, H, M or Z",$G109="B - Married women and widows entitled to reduced NI",$G109="C - Over the State Pension age",$G109="H - Apprentice under 25",$G109="J – Deferment",$G109="M - Under 21",$G109="Z - Deferment (Under 21)",$G109="Please Enter The NI Cont. in ££££")),$G109,SUM(MAX(MIN(AJ109-'Input Data'!$BG$3,'Input Data'!$BG$5-'Input Data'!$BG$3),0)*VLOOKUP($G109,'Input Data'!$BI$3:$BL$10,2,FALSE),MAX(MIN(AJ109-'Input Data'!$BG$5,IF(OR($G109="M (under 21)",$G109="Z (under 21 - deferment)"),'Input Data'!$BG$6,IF($G109="H (Apprentice under 25)",'Input Data'!$BG$7,'Input Data'!$BG$8))-'Input Data'!$BG$5),0)*VLOOKUP($G109,'Input Data'!$BI$3:$BL$10,3,FALSE),MAX((AJ109-IF(OR($G109="M (under 21)",$G109="Z (under 21 - deferment)"),'Input Data'!$BG$6,IF($G109="H (Apprentice under 25)",'Input Data'!$BG$7,'Input Data'!$BG$8))),0)*VLOOKUP($G109,'Input Data'!$BI$3:$BL$10,4,FALSE))))</f>
        <v>0</v>
      </c>
      <c r="AS109" s="56">
        <f>AC109*$F109</f>
        <v>0</v>
      </c>
      <c r="AT109" s="56">
        <f>AD109*$F109</f>
        <v>0</v>
      </c>
      <c r="AU109" s="56">
        <f>AE109*$F109</f>
        <v>0</v>
      </c>
      <c r="AV109" s="56">
        <f>AF109*$F109</f>
        <v>0</v>
      </c>
      <c r="AW109" s="56">
        <f>AG109*$F109</f>
        <v>0</v>
      </c>
      <c r="AX109" s="56">
        <f>AH109*$F109</f>
        <v>0</v>
      </c>
      <c r="AY109" s="56">
        <f>AI109*$F109</f>
        <v>0</v>
      </c>
      <c r="AZ109" s="56">
        <f>AJ109*$F109</f>
        <v>0</v>
      </c>
    </row>
    <row r="110" spans="2:52" ht="25.5">
      <c r="B110" s="60"/>
      <c r="C110" s="57" t="s">
        <v>80</v>
      </c>
      <c r="D110" s="58"/>
      <c r="E110" s="58"/>
      <c r="F110" s="535"/>
      <c r="G110" s="693" t="s">
        <v>1149</v>
      </c>
      <c r="H110" s="65"/>
      <c r="I110" s="65"/>
      <c r="J110" s="65"/>
      <c r="K110" s="65"/>
      <c r="L110" s="65"/>
      <c r="M110" s="65"/>
      <c r="N110" s="65"/>
      <c r="O110" s="65"/>
      <c r="P110" s="29"/>
      <c r="Q110" s="597"/>
      <c r="R110" s="61"/>
      <c r="T110" s="43">
        <f>SUM(AC110,AK110,AS110)</f>
        <v>0</v>
      </c>
      <c r="U110" s="43">
        <f>SUM(AD110,AL110,AT110)</f>
        <v>0</v>
      </c>
      <c r="V110" s="43">
        <f>SUM(AE110,AM110,AU110)</f>
        <v>0</v>
      </c>
      <c r="W110" s="43">
        <f>SUM(AF110,AN110,AV110)</f>
        <v>0</v>
      </c>
      <c r="X110" s="43">
        <f>SUM(AG110,AO110,AW110)</f>
        <v>0</v>
      </c>
      <c r="Y110" s="43">
        <f>SUM(AH110,AP110,AX110)</f>
        <v>0</v>
      </c>
      <c r="Z110" s="43">
        <f>SUM(AI110,AQ110,AY110)</f>
        <v>0</v>
      </c>
      <c r="AA110" s="43">
        <f>SUM(AJ110,AR110,AZ110)</f>
        <v>0</v>
      </c>
      <c r="AC110" s="631">
        <f>SUM($D110:$E110)*H110</f>
        <v>0</v>
      </c>
      <c r="AD110" s="631">
        <f>SUM($D110:$E110)*I110</f>
        <v>0</v>
      </c>
      <c r="AE110" s="631">
        <f>SUM($D110:$E110)*J110</f>
        <v>0</v>
      </c>
      <c r="AF110" s="631">
        <f>SUM($D110:$E110)*K110</f>
        <v>0</v>
      </c>
      <c r="AG110" s="631">
        <f>SUM($D110:$E110)*L110</f>
        <v>0</v>
      </c>
      <c r="AH110" s="631">
        <f>SUM($D110:$E110)*M110</f>
        <v>0</v>
      </c>
      <c r="AI110" s="631">
        <f>SUM($D110:$E110)*N110</f>
        <v>0</v>
      </c>
      <c r="AJ110" s="631">
        <f>SUM($D110:$E110)*O110</f>
        <v>0</v>
      </c>
      <c r="AK110" s="56">
        <f>IF($G110="",0,IF(NOT(OR($G110="A - All employees not in groups B, C, J, H, M or Z",$G110="B - Married women and widows entitled to reduced NI",$G110="C - Over the State Pension age",$G110="H - Apprentice under 25",$G110="J – Deferment",$G110="M - Under 21",$G110="Z - Deferment (Under 21)",$G110="Please Enter The NI Cont. in ££££")),$G110,SUM(MAX(MIN(AC110-'Input Data'!$BG$3,'Input Data'!$BG$5-'Input Data'!$BG$3),0)*VLOOKUP($G110,'Input Data'!$BI$3:$BL$10,2,FALSE),MAX(MIN(AC110-'Input Data'!$BG$5,IF(OR($G110="M (under 21)",$G110="Z (under 21 - deferment)"),'Input Data'!$BG$6,IF($G110="H (Apprentice under 25)",'Input Data'!$BG$7,'Input Data'!$BG$8))-'Input Data'!$BG$5),0)*VLOOKUP($G110,'Input Data'!$BI$3:$BL$10,3,FALSE),MAX((AC110-IF(OR($G110="M (under 21)",$G110="Z (under 21 - deferment)"),'Input Data'!$BG$6,IF($G110="H (Apprentice under 25)",'Input Data'!$BG$7,'Input Data'!$BG$8))),0)*VLOOKUP($G110,'Input Data'!$BI$3:$BL$10,4,FALSE))))</f>
        <v>0</v>
      </c>
      <c r="AL110" s="56">
        <f>IF($G110="",0,IF(NOT(OR($G110="A - All employees not in groups B, C, J, H, M or Z",$G110="B - Married women and widows entitled to reduced NI",$G110="C - Over the State Pension age",$G110="H - Apprentice under 25",$G110="J – Deferment",$G110="M - Under 21",$G110="Z - Deferment (Under 21)",$G110="Please Enter The NI Cont. in ££££")),$G110,SUM(MAX(MIN(AD110-'Input Data'!$BG$3,'Input Data'!$BG$5-'Input Data'!$BG$3),0)*VLOOKUP($G110,'Input Data'!$BI$3:$BL$10,2,FALSE),MAX(MIN(AD110-'Input Data'!$BG$5,IF(OR($G110="M (under 21)",$G110="Z (under 21 - deferment)"),'Input Data'!$BG$6,IF($G110="H (Apprentice under 25)",'Input Data'!$BG$7,'Input Data'!$BG$8))-'Input Data'!$BG$5),0)*VLOOKUP($G110,'Input Data'!$BI$3:$BL$10,3,FALSE),MAX((AD110-IF(OR($G110="M (under 21)",$G110="Z (under 21 - deferment)"),'Input Data'!$BG$6,IF($G110="H (Apprentice under 25)",'Input Data'!$BG$7,'Input Data'!$BG$8))),0)*VLOOKUP($G110,'Input Data'!$BI$3:$BL$10,4,FALSE))))</f>
        <v>0</v>
      </c>
      <c r="AM110" s="56">
        <f>IF($G110="",0,IF(NOT(OR($G110="A - All employees not in groups B, C, J, H, M or Z",$G110="B - Married women and widows entitled to reduced NI",$G110="C - Over the State Pension age",$G110="H - Apprentice under 25",$G110="J – Deferment",$G110="M - Under 21",$G110="Z - Deferment (Under 21)",$G110="Please Enter The NI Cont. in ££££")),$G110,SUM(MAX(MIN(AE110-'Input Data'!$BG$3,'Input Data'!$BG$5-'Input Data'!$BG$3),0)*VLOOKUP($G110,'Input Data'!$BI$3:$BL$10,2,FALSE),MAX(MIN(AE110-'Input Data'!$BG$5,IF(OR($G110="M (under 21)",$G110="Z (under 21 - deferment)"),'Input Data'!$BG$6,IF($G110="H (Apprentice under 25)",'Input Data'!$BG$7,'Input Data'!$BG$8))-'Input Data'!$BG$5),0)*VLOOKUP($G110,'Input Data'!$BI$3:$BL$10,3,FALSE),MAX((AE110-IF(OR($G110="M (under 21)",$G110="Z (under 21 - deferment)"),'Input Data'!$BG$6,IF($G110="H (Apprentice under 25)",'Input Data'!$BG$7,'Input Data'!$BG$8))),0)*VLOOKUP($G110,'Input Data'!$BI$3:$BL$10,4,FALSE))))</f>
        <v>0</v>
      </c>
      <c r="AN110" s="56">
        <f>IF($G110="",0,IF(NOT(OR($G110="A - All employees not in groups B, C, J, H, M or Z",$G110="B - Married women and widows entitled to reduced NI",$G110="C - Over the State Pension age",$G110="H - Apprentice under 25",$G110="J – Deferment",$G110="M - Under 21",$G110="Z - Deferment (Under 21)",$G110="Please Enter The NI Cont. in ££££")),$G110,SUM(MAX(MIN(AF110-'Input Data'!$BG$3,'Input Data'!$BG$5-'Input Data'!$BG$3),0)*VLOOKUP($G110,'Input Data'!$BI$3:$BL$10,2,FALSE),MAX(MIN(AF110-'Input Data'!$BG$5,IF(OR($G110="M (under 21)",$G110="Z (under 21 - deferment)"),'Input Data'!$BG$6,IF($G110="H (Apprentice under 25)",'Input Data'!$BG$7,'Input Data'!$BG$8))-'Input Data'!$BG$5),0)*VLOOKUP($G110,'Input Data'!$BI$3:$BL$10,3,FALSE),MAX((AF110-IF(OR($G110="M (under 21)",$G110="Z (under 21 - deferment)"),'Input Data'!$BG$6,IF($G110="H (Apprentice under 25)",'Input Data'!$BG$7,'Input Data'!$BG$8))),0)*VLOOKUP($G110,'Input Data'!$BI$3:$BL$10,4,FALSE))))</f>
        <v>0</v>
      </c>
      <c r="AO110" s="56">
        <f>IF($G110="",0,IF(NOT(OR($G110="A - All employees not in groups B, C, J, H, M or Z",$G110="B - Married women and widows entitled to reduced NI",$G110="C - Over the State Pension age",$G110="H - Apprentice under 25",$G110="J – Deferment",$G110="M - Under 21",$G110="Z - Deferment (Under 21)",$G110="Please Enter The NI Cont. in ££££")),$G110,SUM(MAX(MIN(AG110-'Input Data'!$BG$3,'Input Data'!$BG$5-'Input Data'!$BG$3),0)*VLOOKUP($G110,'Input Data'!$BI$3:$BL$10,2,FALSE),MAX(MIN(AG110-'Input Data'!$BG$5,IF(OR($G110="M (under 21)",$G110="Z (under 21 - deferment)"),'Input Data'!$BG$6,IF($G110="H (Apprentice under 25)",'Input Data'!$BG$7,'Input Data'!$BG$8))-'Input Data'!$BG$5),0)*VLOOKUP($G110,'Input Data'!$BI$3:$BL$10,3,FALSE),MAX((AG110-IF(OR($G110="M (under 21)",$G110="Z (under 21 - deferment)"),'Input Data'!$BG$6,IF($G110="H (Apprentice under 25)",'Input Data'!$BG$7,'Input Data'!$BG$8))),0)*VLOOKUP($G110,'Input Data'!$BI$3:$BL$10,4,FALSE))))</f>
        <v>0</v>
      </c>
      <c r="AP110" s="56">
        <f>IF($G110="",0,IF(NOT(OR($G110="A - All employees not in groups B, C, J, H, M or Z",$G110="B - Married women and widows entitled to reduced NI",$G110="C - Over the State Pension age",$G110="H - Apprentice under 25",$G110="J – Deferment",$G110="M - Under 21",$G110="Z - Deferment (Under 21)",$G110="Please Enter The NI Cont. in ££££")),$G110,SUM(MAX(MIN(AH110-'Input Data'!$BG$3,'Input Data'!$BG$5-'Input Data'!$BG$3),0)*VLOOKUP($G110,'Input Data'!$BI$3:$BL$10,2,FALSE),MAX(MIN(AH110-'Input Data'!$BG$5,IF(OR($G110="M (under 21)",$G110="Z (under 21 - deferment)"),'Input Data'!$BG$6,IF($G110="H (Apprentice under 25)",'Input Data'!$BG$7,'Input Data'!$BG$8))-'Input Data'!$BG$5),0)*VLOOKUP($G110,'Input Data'!$BI$3:$BL$10,3,FALSE),MAX((AH110-IF(OR($G110="M (under 21)",$G110="Z (under 21 - deferment)"),'Input Data'!$BG$6,IF($G110="H (Apprentice under 25)",'Input Data'!$BG$7,'Input Data'!$BG$8))),0)*VLOOKUP($G110,'Input Data'!$BI$3:$BL$10,4,FALSE))))</f>
        <v>0</v>
      </c>
      <c r="AQ110" s="56">
        <f>IF($G110="",0,IF(NOT(OR($G110="A - All employees not in groups B, C, J, H, M or Z",$G110="B - Married women and widows entitled to reduced NI",$G110="C - Over the State Pension age",$G110="H - Apprentice under 25",$G110="J – Deferment",$G110="M - Under 21",$G110="Z - Deferment (Under 21)",$G110="Please Enter The NI Cont. in ££££")),$G110,SUM(MAX(MIN(AI110-'Input Data'!$BG$3,'Input Data'!$BG$5-'Input Data'!$BG$3),0)*VLOOKUP($G110,'Input Data'!$BI$3:$BL$10,2,FALSE),MAX(MIN(AI110-'Input Data'!$BG$5,IF(OR($G110="M (under 21)",$G110="Z (under 21 - deferment)"),'Input Data'!$BG$6,IF($G110="H (Apprentice under 25)",'Input Data'!$BG$7,'Input Data'!$BG$8))-'Input Data'!$BG$5),0)*VLOOKUP($G110,'Input Data'!$BI$3:$BL$10,3,FALSE),MAX((AI110-IF(OR($G110="M (under 21)",$G110="Z (under 21 - deferment)"),'Input Data'!$BG$6,IF($G110="H (Apprentice under 25)",'Input Data'!$BG$7,'Input Data'!$BG$8))),0)*VLOOKUP($G110,'Input Data'!$BI$3:$BL$10,4,FALSE))))</f>
        <v>0</v>
      </c>
      <c r="AR110" s="56">
        <f>IF($G110="",0,IF(NOT(OR($G110="A - All employees not in groups B, C, J, H, M or Z",$G110="B - Married women and widows entitled to reduced NI",$G110="C - Over the State Pension age",$G110="H - Apprentice under 25",$G110="J – Deferment",$G110="M - Under 21",$G110="Z - Deferment (Under 21)",$G110="Please Enter The NI Cont. in ££££")),$G110,SUM(MAX(MIN(AJ110-'Input Data'!$BG$3,'Input Data'!$BG$5-'Input Data'!$BG$3),0)*VLOOKUP($G110,'Input Data'!$BI$3:$BL$10,2,FALSE),MAX(MIN(AJ110-'Input Data'!$BG$5,IF(OR($G110="M (under 21)",$G110="Z (under 21 - deferment)"),'Input Data'!$BG$6,IF($G110="H (Apprentice under 25)",'Input Data'!$BG$7,'Input Data'!$BG$8))-'Input Data'!$BG$5),0)*VLOOKUP($G110,'Input Data'!$BI$3:$BL$10,3,FALSE),MAX((AJ110-IF(OR($G110="M (under 21)",$G110="Z (under 21 - deferment)"),'Input Data'!$BG$6,IF($G110="H (Apprentice under 25)",'Input Data'!$BG$7,'Input Data'!$BG$8))),0)*VLOOKUP($G110,'Input Data'!$BI$3:$BL$10,4,FALSE))))</f>
        <v>0</v>
      </c>
      <c r="AS110" s="56">
        <f>AC110*$F110</f>
        <v>0</v>
      </c>
      <c r="AT110" s="56">
        <f>AD110*$F110</f>
        <v>0</v>
      </c>
      <c r="AU110" s="56">
        <f>AE110*$F110</f>
        <v>0</v>
      </c>
      <c r="AV110" s="56">
        <f>AF110*$F110</f>
        <v>0</v>
      </c>
      <c r="AW110" s="56">
        <f>AG110*$F110</f>
        <v>0</v>
      </c>
      <c r="AX110" s="56">
        <f>AH110*$F110</f>
        <v>0</v>
      </c>
      <c r="AY110" s="56">
        <f>AI110*$F110</f>
        <v>0</v>
      </c>
      <c r="AZ110" s="56">
        <f>AJ110*$F110</f>
        <v>0</v>
      </c>
    </row>
    <row r="111" spans="2:52" ht="25.5">
      <c r="B111" s="60"/>
      <c r="C111" s="57" t="s">
        <v>81</v>
      </c>
      <c r="D111" s="58"/>
      <c r="E111" s="58"/>
      <c r="F111" s="535"/>
      <c r="G111" s="693" t="s">
        <v>1149</v>
      </c>
      <c r="H111" s="65"/>
      <c r="I111" s="65"/>
      <c r="J111" s="65"/>
      <c r="K111" s="65"/>
      <c r="L111" s="65"/>
      <c r="M111" s="65"/>
      <c r="N111" s="65"/>
      <c r="O111" s="65"/>
      <c r="P111" s="29"/>
      <c r="Q111" s="597"/>
      <c r="R111" s="61"/>
      <c r="T111" s="43">
        <f>SUM(AC111,AK111,AS111)</f>
        <v>0</v>
      </c>
      <c r="U111" s="43">
        <f>SUM(AD111,AL111,AT111)</f>
        <v>0</v>
      </c>
      <c r="V111" s="43">
        <f>SUM(AE111,AM111,AU111)</f>
        <v>0</v>
      </c>
      <c r="W111" s="43">
        <f>SUM(AF111,AN111,AV111)</f>
        <v>0</v>
      </c>
      <c r="X111" s="43">
        <f>SUM(AG111,AO111,AW111)</f>
        <v>0</v>
      </c>
      <c r="Y111" s="43">
        <f>SUM(AH111,AP111,AX111)</f>
        <v>0</v>
      </c>
      <c r="Z111" s="43">
        <f>SUM(AI111,AQ111,AY111)</f>
        <v>0</v>
      </c>
      <c r="AA111" s="43">
        <f>SUM(AJ111,AR111,AZ111)</f>
        <v>0</v>
      </c>
      <c r="AC111" s="631">
        <f>SUM($D111:$E111)*H111</f>
        <v>0</v>
      </c>
      <c r="AD111" s="631">
        <f>SUM($D111:$E111)*I111</f>
        <v>0</v>
      </c>
      <c r="AE111" s="631">
        <f>SUM($D111:$E111)*J111</f>
        <v>0</v>
      </c>
      <c r="AF111" s="631">
        <f>SUM($D111:$E111)*K111</f>
        <v>0</v>
      </c>
      <c r="AG111" s="631">
        <f>SUM($D111:$E111)*L111</f>
        <v>0</v>
      </c>
      <c r="AH111" s="631">
        <f>SUM($D111:$E111)*M111</f>
        <v>0</v>
      </c>
      <c r="AI111" s="631">
        <f>SUM($D111:$E111)*N111</f>
        <v>0</v>
      </c>
      <c r="AJ111" s="631">
        <f>SUM($D111:$E111)*O111</f>
        <v>0</v>
      </c>
      <c r="AK111" s="56">
        <f>IF($G111="",0,IF(NOT(OR($G111="A - All employees not in groups B, C, J, H, M or Z",$G111="B - Married women and widows entitled to reduced NI",$G111="C - Over the State Pension age",$G111="H - Apprentice under 25",$G111="J – Deferment",$G111="M - Under 21",$G111="Z - Deferment (Under 21)",$G111="Please Enter The NI Cont. in ££££")),$G111,SUM(MAX(MIN(AC111-'Input Data'!$BG$3,'Input Data'!$BG$5-'Input Data'!$BG$3),0)*VLOOKUP($G111,'Input Data'!$BI$3:$BL$10,2,FALSE),MAX(MIN(AC111-'Input Data'!$BG$5,IF(OR($G111="M (under 21)",$G111="Z (under 21 - deferment)"),'Input Data'!$BG$6,IF($G111="H (Apprentice under 25)",'Input Data'!$BG$7,'Input Data'!$BG$8))-'Input Data'!$BG$5),0)*VLOOKUP($G111,'Input Data'!$BI$3:$BL$10,3,FALSE),MAX((AC111-IF(OR($G111="M (under 21)",$G111="Z (under 21 - deferment)"),'Input Data'!$BG$6,IF($G111="H (Apprentice under 25)",'Input Data'!$BG$7,'Input Data'!$BG$8))),0)*VLOOKUP($G111,'Input Data'!$BI$3:$BL$10,4,FALSE))))</f>
        <v>0</v>
      </c>
      <c r="AL111" s="56">
        <f>IF($G111="",0,IF(NOT(OR($G111="A - All employees not in groups B, C, J, H, M or Z",$G111="B - Married women and widows entitled to reduced NI",$G111="C - Over the State Pension age",$G111="H - Apprentice under 25",$G111="J – Deferment",$G111="M - Under 21",$G111="Z - Deferment (Under 21)",$G111="Please Enter The NI Cont. in ££££")),$G111,SUM(MAX(MIN(AD111-'Input Data'!$BG$3,'Input Data'!$BG$5-'Input Data'!$BG$3),0)*VLOOKUP($G111,'Input Data'!$BI$3:$BL$10,2,FALSE),MAX(MIN(AD111-'Input Data'!$BG$5,IF(OR($G111="M (under 21)",$G111="Z (under 21 - deferment)"),'Input Data'!$BG$6,IF($G111="H (Apprentice under 25)",'Input Data'!$BG$7,'Input Data'!$BG$8))-'Input Data'!$BG$5),0)*VLOOKUP($G111,'Input Data'!$BI$3:$BL$10,3,FALSE),MAX((AD111-IF(OR($G111="M (under 21)",$G111="Z (under 21 - deferment)"),'Input Data'!$BG$6,IF($G111="H (Apprentice under 25)",'Input Data'!$BG$7,'Input Data'!$BG$8))),0)*VLOOKUP($G111,'Input Data'!$BI$3:$BL$10,4,FALSE))))</f>
        <v>0</v>
      </c>
      <c r="AM111" s="56">
        <f>IF($G111="",0,IF(NOT(OR($G111="A - All employees not in groups B, C, J, H, M or Z",$G111="B - Married women and widows entitled to reduced NI",$G111="C - Over the State Pension age",$G111="H - Apprentice under 25",$G111="J – Deferment",$G111="M - Under 21",$G111="Z - Deferment (Under 21)",$G111="Please Enter The NI Cont. in ££££")),$G111,SUM(MAX(MIN(AE111-'Input Data'!$BG$3,'Input Data'!$BG$5-'Input Data'!$BG$3),0)*VLOOKUP($G111,'Input Data'!$BI$3:$BL$10,2,FALSE),MAX(MIN(AE111-'Input Data'!$BG$5,IF(OR($G111="M (under 21)",$G111="Z (under 21 - deferment)"),'Input Data'!$BG$6,IF($G111="H (Apprentice under 25)",'Input Data'!$BG$7,'Input Data'!$BG$8))-'Input Data'!$BG$5),0)*VLOOKUP($G111,'Input Data'!$BI$3:$BL$10,3,FALSE),MAX((AE111-IF(OR($G111="M (under 21)",$G111="Z (under 21 - deferment)"),'Input Data'!$BG$6,IF($G111="H (Apprentice under 25)",'Input Data'!$BG$7,'Input Data'!$BG$8))),0)*VLOOKUP($G111,'Input Data'!$BI$3:$BL$10,4,FALSE))))</f>
        <v>0</v>
      </c>
      <c r="AN111" s="56">
        <f>IF($G111="",0,IF(NOT(OR($G111="A - All employees not in groups B, C, J, H, M or Z",$G111="B - Married women and widows entitled to reduced NI",$G111="C - Over the State Pension age",$G111="H - Apprentice under 25",$G111="J – Deferment",$G111="M - Under 21",$G111="Z - Deferment (Under 21)",$G111="Please Enter The NI Cont. in ££££")),$G111,SUM(MAX(MIN(AF111-'Input Data'!$BG$3,'Input Data'!$BG$5-'Input Data'!$BG$3),0)*VLOOKUP($G111,'Input Data'!$BI$3:$BL$10,2,FALSE),MAX(MIN(AF111-'Input Data'!$BG$5,IF(OR($G111="M (under 21)",$G111="Z (under 21 - deferment)"),'Input Data'!$BG$6,IF($G111="H (Apprentice under 25)",'Input Data'!$BG$7,'Input Data'!$BG$8))-'Input Data'!$BG$5),0)*VLOOKUP($G111,'Input Data'!$BI$3:$BL$10,3,FALSE),MAX((AF111-IF(OR($G111="M (under 21)",$G111="Z (under 21 - deferment)"),'Input Data'!$BG$6,IF($G111="H (Apprentice under 25)",'Input Data'!$BG$7,'Input Data'!$BG$8))),0)*VLOOKUP($G111,'Input Data'!$BI$3:$BL$10,4,FALSE))))</f>
        <v>0</v>
      </c>
      <c r="AO111" s="56">
        <f>IF($G111="",0,IF(NOT(OR($G111="A - All employees not in groups B, C, J, H, M or Z",$G111="B - Married women and widows entitled to reduced NI",$G111="C - Over the State Pension age",$G111="H - Apprentice under 25",$G111="J – Deferment",$G111="M - Under 21",$G111="Z - Deferment (Under 21)",$G111="Please Enter The NI Cont. in ££££")),$G111,SUM(MAX(MIN(AG111-'Input Data'!$BG$3,'Input Data'!$BG$5-'Input Data'!$BG$3),0)*VLOOKUP($G111,'Input Data'!$BI$3:$BL$10,2,FALSE),MAX(MIN(AG111-'Input Data'!$BG$5,IF(OR($G111="M (under 21)",$G111="Z (under 21 - deferment)"),'Input Data'!$BG$6,IF($G111="H (Apprentice under 25)",'Input Data'!$BG$7,'Input Data'!$BG$8))-'Input Data'!$BG$5),0)*VLOOKUP($G111,'Input Data'!$BI$3:$BL$10,3,FALSE),MAX((AG111-IF(OR($G111="M (under 21)",$G111="Z (under 21 - deferment)"),'Input Data'!$BG$6,IF($G111="H (Apprentice under 25)",'Input Data'!$BG$7,'Input Data'!$BG$8))),0)*VLOOKUP($G111,'Input Data'!$BI$3:$BL$10,4,FALSE))))</f>
        <v>0</v>
      </c>
      <c r="AP111" s="56">
        <f>IF($G111="",0,IF(NOT(OR($G111="A - All employees not in groups B, C, J, H, M or Z",$G111="B - Married women and widows entitled to reduced NI",$G111="C - Over the State Pension age",$G111="H - Apprentice under 25",$G111="J – Deferment",$G111="M - Under 21",$G111="Z - Deferment (Under 21)",$G111="Please Enter The NI Cont. in ££££")),$G111,SUM(MAX(MIN(AH111-'Input Data'!$BG$3,'Input Data'!$BG$5-'Input Data'!$BG$3),0)*VLOOKUP($G111,'Input Data'!$BI$3:$BL$10,2,FALSE),MAX(MIN(AH111-'Input Data'!$BG$5,IF(OR($G111="M (under 21)",$G111="Z (under 21 - deferment)"),'Input Data'!$BG$6,IF($G111="H (Apprentice under 25)",'Input Data'!$BG$7,'Input Data'!$BG$8))-'Input Data'!$BG$5),0)*VLOOKUP($G111,'Input Data'!$BI$3:$BL$10,3,FALSE),MAX((AH111-IF(OR($G111="M (under 21)",$G111="Z (under 21 - deferment)"),'Input Data'!$BG$6,IF($G111="H (Apprentice under 25)",'Input Data'!$BG$7,'Input Data'!$BG$8))),0)*VLOOKUP($G111,'Input Data'!$BI$3:$BL$10,4,FALSE))))</f>
        <v>0</v>
      </c>
      <c r="AQ111" s="56">
        <f>IF($G111="",0,IF(NOT(OR($G111="A - All employees not in groups B, C, J, H, M or Z",$G111="B - Married women and widows entitled to reduced NI",$G111="C - Over the State Pension age",$G111="H - Apprentice under 25",$G111="J – Deferment",$G111="M - Under 21",$G111="Z - Deferment (Under 21)",$G111="Please Enter The NI Cont. in ££££")),$G111,SUM(MAX(MIN(AI111-'Input Data'!$BG$3,'Input Data'!$BG$5-'Input Data'!$BG$3),0)*VLOOKUP($G111,'Input Data'!$BI$3:$BL$10,2,FALSE),MAX(MIN(AI111-'Input Data'!$BG$5,IF(OR($G111="M (under 21)",$G111="Z (under 21 - deferment)"),'Input Data'!$BG$6,IF($G111="H (Apprentice under 25)",'Input Data'!$BG$7,'Input Data'!$BG$8))-'Input Data'!$BG$5),0)*VLOOKUP($G111,'Input Data'!$BI$3:$BL$10,3,FALSE),MAX((AI111-IF(OR($G111="M (under 21)",$G111="Z (under 21 - deferment)"),'Input Data'!$BG$6,IF($G111="H (Apprentice under 25)",'Input Data'!$BG$7,'Input Data'!$BG$8))),0)*VLOOKUP($G111,'Input Data'!$BI$3:$BL$10,4,FALSE))))</f>
        <v>0</v>
      </c>
      <c r="AR111" s="56">
        <f>IF($G111="",0,IF(NOT(OR($G111="A - All employees not in groups B, C, J, H, M or Z",$G111="B - Married women and widows entitled to reduced NI",$G111="C - Over the State Pension age",$G111="H - Apprentice under 25",$G111="J – Deferment",$G111="M - Under 21",$G111="Z - Deferment (Under 21)",$G111="Please Enter The NI Cont. in ££££")),$G111,SUM(MAX(MIN(AJ111-'Input Data'!$BG$3,'Input Data'!$BG$5-'Input Data'!$BG$3),0)*VLOOKUP($G111,'Input Data'!$BI$3:$BL$10,2,FALSE),MAX(MIN(AJ111-'Input Data'!$BG$5,IF(OR($G111="M (under 21)",$G111="Z (under 21 - deferment)"),'Input Data'!$BG$6,IF($G111="H (Apprentice under 25)",'Input Data'!$BG$7,'Input Data'!$BG$8))-'Input Data'!$BG$5),0)*VLOOKUP($G111,'Input Data'!$BI$3:$BL$10,3,FALSE),MAX((AJ111-IF(OR($G111="M (under 21)",$G111="Z (under 21 - deferment)"),'Input Data'!$BG$6,IF($G111="H (Apprentice under 25)",'Input Data'!$BG$7,'Input Data'!$BG$8))),0)*VLOOKUP($G111,'Input Data'!$BI$3:$BL$10,4,FALSE))))</f>
        <v>0</v>
      </c>
      <c r="AS111" s="56">
        <f>AC111*$F111</f>
        <v>0</v>
      </c>
      <c r="AT111" s="56">
        <f>AD111*$F111</f>
        <v>0</v>
      </c>
      <c r="AU111" s="56">
        <f>AE111*$F111</f>
        <v>0</v>
      </c>
      <c r="AV111" s="56">
        <f>AF111*$F111</f>
        <v>0</v>
      </c>
      <c r="AW111" s="56">
        <f>AG111*$F111</f>
        <v>0</v>
      </c>
      <c r="AX111" s="56">
        <f>AH111*$F111</f>
        <v>0</v>
      </c>
      <c r="AY111" s="56">
        <f>AI111*$F111</f>
        <v>0</v>
      </c>
      <c r="AZ111" s="56">
        <f>AJ111*$F111</f>
        <v>0</v>
      </c>
    </row>
    <row r="112" spans="2:52" ht="25.5">
      <c r="B112" s="60"/>
      <c r="C112" s="57" t="s">
        <v>82</v>
      </c>
      <c r="D112" s="58"/>
      <c r="E112" s="58"/>
      <c r="F112" s="535"/>
      <c r="G112" s="693" t="s">
        <v>1149</v>
      </c>
      <c r="H112" s="65"/>
      <c r="I112" s="65"/>
      <c r="J112" s="65"/>
      <c r="K112" s="65"/>
      <c r="L112" s="65"/>
      <c r="M112" s="65"/>
      <c r="N112" s="65"/>
      <c r="O112" s="65"/>
      <c r="P112" s="29"/>
      <c r="Q112" s="597"/>
      <c r="R112" s="61"/>
      <c r="T112" s="43">
        <f>SUM(AC112,AK112,AS112)</f>
        <v>0</v>
      </c>
      <c r="U112" s="43">
        <f>SUM(AD112,AL112,AT112)</f>
        <v>0</v>
      </c>
      <c r="V112" s="43">
        <f>SUM(AE112,AM112,AU112)</f>
        <v>0</v>
      </c>
      <c r="W112" s="43">
        <f>SUM(AF112,AN112,AV112)</f>
        <v>0</v>
      </c>
      <c r="X112" s="43">
        <f>SUM(AG112,AO112,AW112)</f>
        <v>0</v>
      </c>
      <c r="Y112" s="43">
        <f>SUM(AH112,AP112,AX112)</f>
        <v>0</v>
      </c>
      <c r="Z112" s="43">
        <f>SUM(AI112,AQ112,AY112)</f>
        <v>0</v>
      </c>
      <c r="AA112" s="43">
        <f>SUM(AJ112,AR112,AZ112)</f>
        <v>0</v>
      </c>
      <c r="AC112" s="631">
        <f>SUM($D112:$E112)*H112</f>
        <v>0</v>
      </c>
      <c r="AD112" s="631">
        <f>SUM($D112:$E112)*I112</f>
        <v>0</v>
      </c>
      <c r="AE112" s="631">
        <f>SUM($D112:$E112)*J112</f>
        <v>0</v>
      </c>
      <c r="AF112" s="631">
        <f>SUM($D112:$E112)*K112</f>
        <v>0</v>
      </c>
      <c r="AG112" s="631">
        <f>SUM($D112:$E112)*L112</f>
        <v>0</v>
      </c>
      <c r="AH112" s="631">
        <f>SUM($D112:$E112)*M112</f>
        <v>0</v>
      </c>
      <c r="AI112" s="631">
        <f>SUM($D112:$E112)*N112</f>
        <v>0</v>
      </c>
      <c r="AJ112" s="631">
        <f>SUM($D112:$E112)*O112</f>
        <v>0</v>
      </c>
      <c r="AK112" s="56">
        <f>IF($G112="",0,IF(NOT(OR($G112="A - All employees not in groups B, C, J, H, M or Z",$G112="B - Married women and widows entitled to reduced NI",$G112="C - Over the State Pension age",$G112="H - Apprentice under 25",$G112="J – Deferment",$G112="M - Under 21",$G112="Z - Deferment (Under 21)",$G112="Please Enter The NI Cont. in ££££")),$G112,SUM(MAX(MIN(AC112-'Input Data'!$BG$3,'Input Data'!$BG$5-'Input Data'!$BG$3),0)*VLOOKUP($G112,'Input Data'!$BI$3:$BL$10,2,FALSE),MAX(MIN(AC112-'Input Data'!$BG$5,IF(OR($G112="M (under 21)",$G112="Z (under 21 - deferment)"),'Input Data'!$BG$6,IF($G112="H (Apprentice under 25)",'Input Data'!$BG$7,'Input Data'!$BG$8))-'Input Data'!$BG$5),0)*VLOOKUP($G112,'Input Data'!$BI$3:$BL$10,3,FALSE),MAX((AC112-IF(OR($G112="M (under 21)",$G112="Z (under 21 - deferment)"),'Input Data'!$BG$6,IF($G112="H (Apprentice under 25)",'Input Data'!$BG$7,'Input Data'!$BG$8))),0)*VLOOKUP($G112,'Input Data'!$BI$3:$BL$10,4,FALSE))))</f>
        <v>0</v>
      </c>
      <c r="AL112" s="56">
        <f>IF($G112="",0,IF(NOT(OR($G112="A - All employees not in groups B, C, J, H, M or Z",$G112="B - Married women and widows entitled to reduced NI",$G112="C - Over the State Pension age",$G112="H - Apprentice under 25",$G112="J – Deferment",$G112="M - Under 21",$G112="Z - Deferment (Under 21)",$G112="Please Enter The NI Cont. in ££££")),$G112,SUM(MAX(MIN(AD112-'Input Data'!$BG$3,'Input Data'!$BG$5-'Input Data'!$BG$3),0)*VLOOKUP($G112,'Input Data'!$BI$3:$BL$10,2,FALSE),MAX(MIN(AD112-'Input Data'!$BG$5,IF(OR($G112="M (under 21)",$G112="Z (under 21 - deferment)"),'Input Data'!$BG$6,IF($G112="H (Apprentice under 25)",'Input Data'!$BG$7,'Input Data'!$BG$8))-'Input Data'!$BG$5),0)*VLOOKUP($G112,'Input Data'!$BI$3:$BL$10,3,FALSE),MAX((AD112-IF(OR($G112="M (under 21)",$G112="Z (under 21 - deferment)"),'Input Data'!$BG$6,IF($G112="H (Apprentice under 25)",'Input Data'!$BG$7,'Input Data'!$BG$8))),0)*VLOOKUP($G112,'Input Data'!$BI$3:$BL$10,4,FALSE))))</f>
        <v>0</v>
      </c>
      <c r="AM112" s="56">
        <f>IF($G112="",0,IF(NOT(OR($G112="A - All employees not in groups B, C, J, H, M or Z",$G112="B - Married women and widows entitled to reduced NI",$G112="C - Over the State Pension age",$G112="H - Apprentice under 25",$G112="J – Deferment",$G112="M - Under 21",$G112="Z - Deferment (Under 21)",$G112="Please Enter The NI Cont. in ££££")),$G112,SUM(MAX(MIN(AE112-'Input Data'!$BG$3,'Input Data'!$BG$5-'Input Data'!$BG$3),0)*VLOOKUP($G112,'Input Data'!$BI$3:$BL$10,2,FALSE),MAX(MIN(AE112-'Input Data'!$BG$5,IF(OR($G112="M (under 21)",$G112="Z (under 21 - deferment)"),'Input Data'!$BG$6,IF($G112="H (Apprentice under 25)",'Input Data'!$BG$7,'Input Data'!$BG$8))-'Input Data'!$BG$5),0)*VLOOKUP($G112,'Input Data'!$BI$3:$BL$10,3,FALSE),MAX((AE112-IF(OR($G112="M (under 21)",$G112="Z (under 21 - deferment)"),'Input Data'!$BG$6,IF($G112="H (Apprentice under 25)",'Input Data'!$BG$7,'Input Data'!$BG$8))),0)*VLOOKUP($G112,'Input Data'!$BI$3:$BL$10,4,FALSE))))</f>
        <v>0</v>
      </c>
      <c r="AN112" s="56">
        <f>IF($G112="",0,IF(NOT(OR($G112="A - All employees not in groups B, C, J, H, M or Z",$G112="B - Married women and widows entitled to reduced NI",$G112="C - Over the State Pension age",$G112="H - Apprentice under 25",$G112="J – Deferment",$G112="M - Under 21",$G112="Z - Deferment (Under 21)",$G112="Please Enter The NI Cont. in ££££")),$G112,SUM(MAX(MIN(AF112-'Input Data'!$BG$3,'Input Data'!$BG$5-'Input Data'!$BG$3),0)*VLOOKUP($G112,'Input Data'!$BI$3:$BL$10,2,FALSE),MAX(MIN(AF112-'Input Data'!$BG$5,IF(OR($G112="M (under 21)",$G112="Z (under 21 - deferment)"),'Input Data'!$BG$6,IF($G112="H (Apprentice under 25)",'Input Data'!$BG$7,'Input Data'!$BG$8))-'Input Data'!$BG$5),0)*VLOOKUP($G112,'Input Data'!$BI$3:$BL$10,3,FALSE),MAX((AF112-IF(OR($G112="M (under 21)",$G112="Z (under 21 - deferment)"),'Input Data'!$BG$6,IF($G112="H (Apprentice under 25)",'Input Data'!$BG$7,'Input Data'!$BG$8))),0)*VLOOKUP($G112,'Input Data'!$BI$3:$BL$10,4,FALSE))))</f>
        <v>0</v>
      </c>
      <c r="AO112" s="56">
        <f>IF($G112="",0,IF(NOT(OR($G112="A - All employees not in groups B, C, J, H, M or Z",$G112="B - Married women and widows entitled to reduced NI",$G112="C - Over the State Pension age",$G112="H - Apprentice under 25",$G112="J – Deferment",$G112="M - Under 21",$G112="Z - Deferment (Under 21)",$G112="Please Enter The NI Cont. in ££££")),$G112,SUM(MAX(MIN(AG112-'Input Data'!$BG$3,'Input Data'!$BG$5-'Input Data'!$BG$3),0)*VLOOKUP($G112,'Input Data'!$BI$3:$BL$10,2,FALSE),MAX(MIN(AG112-'Input Data'!$BG$5,IF(OR($G112="M (under 21)",$G112="Z (under 21 - deferment)"),'Input Data'!$BG$6,IF($G112="H (Apprentice under 25)",'Input Data'!$BG$7,'Input Data'!$BG$8))-'Input Data'!$BG$5),0)*VLOOKUP($G112,'Input Data'!$BI$3:$BL$10,3,FALSE),MAX((AG112-IF(OR($G112="M (under 21)",$G112="Z (under 21 - deferment)"),'Input Data'!$BG$6,IF($G112="H (Apprentice under 25)",'Input Data'!$BG$7,'Input Data'!$BG$8))),0)*VLOOKUP($G112,'Input Data'!$BI$3:$BL$10,4,FALSE))))</f>
        <v>0</v>
      </c>
      <c r="AP112" s="56">
        <f>IF($G112="",0,IF(NOT(OR($G112="A - All employees not in groups B, C, J, H, M or Z",$G112="B - Married women and widows entitled to reduced NI",$G112="C - Over the State Pension age",$G112="H - Apprentice under 25",$G112="J – Deferment",$G112="M - Under 21",$G112="Z - Deferment (Under 21)",$G112="Please Enter The NI Cont. in ££££")),$G112,SUM(MAX(MIN(AH112-'Input Data'!$BG$3,'Input Data'!$BG$5-'Input Data'!$BG$3),0)*VLOOKUP($G112,'Input Data'!$BI$3:$BL$10,2,FALSE),MAX(MIN(AH112-'Input Data'!$BG$5,IF(OR($G112="M (under 21)",$G112="Z (under 21 - deferment)"),'Input Data'!$BG$6,IF($G112="H (Apprentice under 25)",'Input Data'!$BG$7,'Input Data'!$BG$8))-'Input Data'!$BG$5),0)*VLOOKUP($G112,'Input Data'!$BI$3:$BL$10,3,FALSE),MAX((AH112-IF(OR($G112="M (under 21)",$G112="Z (under 21 - deferment)"),'Input Data'!$BG$6,IF($G112="H (Apprentice under 25)",'Input Data'!$BG$7,'Input Data'!$BG$8))),0)*VLOOKUP($G112,'Input Data'!$BI$3:$BL$10,4,FALSE))))</f>
        <v>0</v>
      </c>
      <c r="AQ112" s="56">
        <f>IF($G112="",0,IF(NOT(OR($G112="A - All employees not in groups B, C, J, H, M or Z",$G112="B - Married women and widows entitled to reduced NI",$G112="C - Over the State Pension age",$G112="H - Apprentice under 25",$G112="J – Deferment",$G112="M - Under 21",$G112="Z - Deferment (Under 21)",$G112="Please Enter The NI Cont. in ££££")),$G112,SUM(MAX(MIN(AI112-'Input Data'!$BG$3,'Input Data'!$BG$5-'Input Data'!$BG$3),0)*VLOOKUP($G112,'Input Data'!$BI$3:$BL$10,2,FALSE),MAX(MIN(AI112-'Input Data'!$BG$5,IF(OR($G112="M (under 21)",$G112="Z (under 21 - deferment)"),'Input Data'!$BG$6,IF($G112="H (Apprentice under 25)",'Input Data'!$BG$7,'Input Data'!$BG$8))-'Input Data'!$BG$5),0)*VLOOKUP($G112,'Input Data'!$BI$3:$BL$10,3,FALSE),MAX((AI112-IF(OR($G112="M (under 21)",$G112="Z (under 21 - deferment)"),'Input Data'!$BG$6,IF($G112="H (Apprentice under 25)",'Input Data'!$BG$7,'Input Data'!$BG$8))),0)*VLOOKUP($G112,'Input Data'!$BI$3:$BL$10,4,FALSE))))</f>
        <v>0</v>
      </c>
      <c r="AR112" s="56">
        <f>IF($G112="",0,IF(NOT(OR($G112="A - All employees not in groups B, C, J, H, M or Z",$G112="B - Married women and widows entitled to reduced NI",$G112="C - Over the State Pension age",$G112="H - Apprentice under 25",$G112="J – Deferment",$G112="M - Under 21",$G112="Z - Deferment (Under 21)",$G112="Please Enter The NI Cont. in ££££")),$G112,SUM(MAX(MIN(AJ112-'Input Data'!$BG$3,'Input Data'!$BG$5-'Input Data'!$BG$3),0)*VLOOKUP($G112,'Input Data'!$BI$3:$BL$10,2,FALSE),MAX(MIN(AJ112-'Input Data'!$BG$5,IF(OR($G112="M (under 21)",$G112="Z (under 21 - deferment)"),'Input Data'!$BG$6,IF($G112="H (Apprentice under 25)",'Input Data'!$BG$7,'Input Data'!$BG$8))-'Input Data'!$BG$5),0)*VLOOKUP($G112,'Input Data'!$BI$3:$BL$10,3,FALSE),MAX((AJ112-IF(OR($G112="M (under 21)",$G112="Z (under 21 - deferment)"),'Input Data'!$BG$6,IF($G112="H (Apprentice under 25)",'Input Data'!$BG$7,'Input Data'!$BG$8))),0)*VLOOKUP($G112,'Input Data'!$BI$3:$BL$10,4,FALSE))))</f>
        <v>0</v>
      </c>
      <c r="AS112" s="56">
        <f>AC112*$F112</f>
        <v>0</v>
      </c>
      <c r="AT112" s="56">
        <f>AD112*$F112</f>
        <v>0</v>
      </c>
      <c r="AU112" s="56">
        <f>AE112*$F112</f>
        <v>0</v>
      </c>
      <c r="AV112" s="56">
        <f>AF112*$F112</f>
        <v>0</v>
      </c>
      <c r="AW112" s="56">
        <f>AG112*$F112</f>
        <v>0</v>
      </c>
      <c r="AX112" s="56">
        <f>AH112*$F112</f>
        <v>0</v>
      </c>
      <c r="AY112" s="56">
        <f>AI112*$F112</f>
        <v>0</v>
      </c>
      <c r="AZ112" s="56">
        <f>AJ112*$F112</f>
        <v>0</v>
      </c>
    </row>
    <row r="113" spans="2:52" ht="25.5">
      <c r="B113" s="60"/>
      <c r="C113" s="57" t="s">
        <v>83</v>
      </c>
      <c r="D113" s="58"/>
      <c r="E113" s="58"/>
      <c r="F113" s="535"/>
      <c r="G113" s="693" t="s">
        <v>1149</v>
      </c>
      <c r="H113" s="65"/>
      <c r="I113" s="65"/>
      <c r="J113" s="65"/>
      <c r="K113" s="65"/>
      <c r="L113" s="65"/>
      <c r="M113" s="65"/>
      <c r="N113" s="65"/>
      <c r="O113" s="65"/>
      <c r="P113" s="29"/>
      <c r="Q113" s="597"/>
      <c r="R113" s="61"/>
      <c r="T113" s="43">
        <f>SUM(AC113,AK113,AS113)</f>
        <v>0</v>
      </c>
      <c r="U113" s="43">
        <f>SUM(AD113,AL113,AT113)</f>
        <v>0</v>
      </c>
      <c r="V113" s="43">
        <f>SUM(AE113,AM113,AU113)</f>
        <v>0</v>
      </c>
      <c r="W113" s="43">
        <f>SUM(AF113,AN113,AV113)</f>
        <v>0</v>
      </c>
      <c r="X113" s="43">
        <f>SUM(AG113,AO113,AW113)</f>
        <v>0</v>
      </c>
      <c r="Y113" s="43">
        <f>SUM(AH113,AP113,AX113)</f>
        <v>0</v>
      </c>
      <c r="Z113" s="43">
        <f>SUM(AI113,AQ113,AY113)</f>
        <v>0</v>
      </c>
      <c r="AA113" s="43">
        <f>SUM(AJ113,AR113,AZ113)</f>
        <v>0</v>
      </c>
      <c r="AC113" s="631">
        <f>SUM($D113:$E113)*H113</f>
        <v>0</v>
      </c>
      <c r="AD113" s="631">
        <f>SUM($D113:$E113)*I113</f>
        <v>0</v>
      </c>
      <c r="AE113" s="631">
        <f>SUM($D113:$E113)*J113</f>
        <v>0</v>
      </c>
      <c r="AF113" s="631">
        <f>SUM($D113:$E113)*K113</f>
        <v>0</v>
      </c>
      <c r="AG113" s="631">
        <f>SUM($D113:$E113)*L113</f>
        <v>0</v>
      </c>
      <c r="AH113" s="631">
        <f>SUM($D113:$E113)*M113</f>
        <v>0</v>
      </c>
      <c r="AI113" s="631">
        <f>SUM($D113:$E113)*N113</f>
        <v>0</v>
      </c>
      <c r="AJ113" s="631">
        <f>SUM($D113:$E113)*O113</f>
        <v>0</v>
      </c>
      <c r="AK113" s="56">
        <f>IF($G113="",0,IF(NOT(OR($G113="A - All employees not in groups B, C, J, H, M or Z",$G113="B - Married women and widows entitled to reduced NI",$G113="C - Over the State Pension age",$G113="H - Apprentice under 25",$G113="J – Deferment",$G113="M - Under 21",$G113="Z - Deferment (Under 21)",$G113="Please Enter The NI Cont. in ££££")),$G113,SUM(MAX(MIN(AC113-'Input Data'!$BG$3,'Input Data'!$BG$5-'Input Data'!$BG$3),0)*VLOOKUP($G113,'Input Data'!$BI$3:$BL$10,2,FALSE),MAX(MIN(AC113-'Input Data'!$BG$5,IF(OR($G113="M (under 21)",$G113="Z (under 21 - deferment)"),'Input Data'!$BG$6,IF($G113="H (Apprentice under 25)",'Input Data'!$BG$7,'Input Data'!$BG$8))-'Input Data'!$BG$5),0)*VLOOKUP($G113,'Input Data'!$BI$3:$BL$10,3,FALSE),MAX((AC113-IF(OR($G113="M (under 21)",$G113="Z (under 21 - deferment)"),'Input Data'!$BG$6,IF($G113="H (Apprentice under 25)",'Input Data'!$BG$7,'Input Data'!$BG$8))),0)*VLOOKUP($G113,'Input Data'!$BI$3:$BL$10,4,FALSE))))</f>
        <v>0</v>
      </c>
      <c r="AL113" s="56">
        <f>IF($G113="",0,IF(NOT(OR($G113="A - All employees not in groups B, C, J, H, M or Z",$G113="B - Married women and widows entitled to reduced NI",$G113="C - Over the State Pension age",$G113="H - Apprentice under 25",$G113="J – Deferment",$G113="M - Under 21",$G113="Z - Deferment (Under 21)",$G113="Please Enter The NI Cont. in ££££")),$G113,SUM(MAX(MIN(AD113-'Input Data'!$BG$3,'Input Data'!$BG$5-'Input Data'!$BG$3),0)*VLOOKUP($G113,'Input Data'!$BI$3:$BL$10,2,FALSE),MAX(MIN(AD113-'Input Data'!$BG$5,IF(OR($G113="M (under 21)",$G113="Z (under 21 - deferment)"),'Input Data'!$BG$6,IF($G113="H (Apprentice under 25)",'Input Data'!$BG$7,'Input Data'!$BG$8))-'Input Data'!$BG$5),0)*VLOOKUP($G113,'Input Data'!$BI$3:$BL$10,3,FALSE),MAX((AD113-IF(OR($G113="M (under 21)",$G113="Z (under 21 - deferment)"),'Input Data'!$BG$6,IF($G113="H (Apprentice under 25)",'Input Data'!$BG$7,'Input Data'!$BG$8))),0)*VLOOKUP($G113,'Input Data'!$BI$3:$BL$10,4,FALSE))))</f>
        <v>0</v>
      </c>
      <c r="AM113" s="56">
        <f>IF($G113="",0,IF(NOT(OR($G113="A - All employees not in groups B, C, J, H, M or Z",$G113="B - Married women and widows entitled to reduced NI",$G113="C - Over the State Pension age",$G113="H - Apprentice under 25",$G113="J – Deferment",$G113="M - Under 21",$G113="Z - Deferment (Under 21)",$G113="Please Enter The NI Cont. in ££££")),$G113,SUM(MAX(MIN(AE113-'Input Data'!$BG$3,'Input Data'!$BG$5-'Input Data'!$BG$3),0)*VLOOKUP($G113,'Input Data'!$BI$3:$BL$10,2,FALSE),MAX(MIN(AE113-'Input Data'!$BG$5,IF(OR($G113="M (under 21)",$G113="Z (under 21 - deferment)"),'Input Data'!$BG$6,IF($G113="H (Apprentice under 25)",'Input Data'!$BG$7,'Input Data'!$BG$8))-'Input Data'!$BG$5),0)*VLOOKUP($G113,'Input Data'!$BI$3:$BL$10,3,FALSE),MAX((AE113-IF(OR($G113="M (under 21)",$G113="Z (under 21 - deferment)"),'Input Data'!$BG$6,IF($G113="H (Apprentice under 25)",'Input Data'!$BG$7,'Input Data'!$BG$8))),0)*VLOOKUP($G113,'Input Data'!$BI$3:$BL$10,4,FALSE))))</f>
        <v>0</v>
      </c>
      <c r="AN113" s="56">
        <f>IF($G113="",0,IF(NOT(OR($G113="A - All employees not in groups B, C, J, H, M or Z",$G113="B - Married women and widows entitled to reduced NI",$G113="C - Over the State Pension age",$G113="H - Apprentice under 25",$G113="J – Deferment",$G113="M - Under 21",$G113="Z - Deferment (Under 21)",$G113="Please Enter The NI Cont. in ££££")),$G113,SUM(MAX(MIN(AF113-'Input Data'!$BG$3,'Input Data'!$BG$5-'Input Data'!$BG$3),0)*VLOOKUP($G113,'Input Data'!$BI$3:$BL$10,2,FALSE),MAX(MIN(AF113-'Input Data'!$BG$5,IF(OR($G113="M (under 21)",$G113="Z (under 21 - deferment)"),'Input Data'!$BG$6,IF($G113="H (Apprentice under 25)",'Input Data'!$BG$7,'Input Data'!$BG$8))-'Input Data'!$BG$5),0)*VLOOKUP($G113,'Input Data'!$BI$3:$BL$10,3,FALSE),MAX((AF113-IF(OR($G113="M (under 21)",$G113="Z (under 21 - deferment)"),'Input Data'!$BG$6,IF($G113="H (Apprentice under 25)",'Input Data'!$BG$7,'Input Data'!$BG$8))),0)*VLOOKUP($G113,'Input Data'!$BI$3:$BL$10,4,FALSE))))</f>
        <v>0</v>
      </c>
      <c r="AO113" s="56">
        <f>IF($G113="",0,IF(NOT(OR($G113="A - All employees not in groups B, C, J, H, M or Z",$G113="B - Married women and widows entitled to reduced NI",$G113="C - Over the State Pension age",$G113="H - Apprentice under 25",$G113="J – Deferment",$G113="M - Under 21",$G113="Z - Deferment (Under 21)",$G113="Please Enter The NI Cont. in ££££")),$G113,SUM(MAX(MIN(AG113-'Input Data'!$BG$3,'Input Data'!$BG$5-'Input Data'!$BG$3),0)*VLOOKUP($G113,'Input Data'!$BI$3:$BL$10,2,FALSE),MAX(MIN(AG113-'Input Data'!$BG$5,IF(OR($G113="M (under 21)",$G113="Z (under 21 - deferment)"),'Input Data'!$BG$6,IF($G113="H (Apprentice under 25)",'Input Data'!$BG$7,'Input Data'!$BG$8))-'Input Data'!$BG$5),0)*VLOOKUP($G113,'Input Data'!$BI$3:$BL$10,3,FALSE),MAX((AG113-IF(OR($G113="M (under 21)",$G113="Z (under 21 - deferment)"),'Input Data'!$BG$6,IF($G113="H (Apprentice under 25)",'Input Data'!$BG$7,'Input Data'!$BG$8))),0)*VLOOKUP($G113,'Input Data'!$BI$3:$BL$10,4,FALSE))))</f>
        <v>0</v>
      </c>
      <c r="AP113" s="56">
        <f>IF($G113="",0,IF(NOT(OR($G113="A - All employees not in groups B, C, J, H, M or Z",$G113="B - Married women and widows entitled to reduced NI",$G113="C - Over the State Pension age",$G113="H - Apprentice under 25",$G113="J – Deferment",$G113="M - Under 21",$G113="Z - Deferment (Under 21)",$G113="Please Enter The NI Cont. in ££££")),$G113,SUM(MAX(MIN(AH113-'Input Data'!$BG$3,'Input Data'!$BG$5-'Input Data'!$BG$3),0)*VLOOKUP($G113,'Input Data'!$BI$3:$BL$10,2,FALSE),MAX(MIN(AH113-'Input Data'!$BG$5,IF(OR($G113="M (under 21)",$G113="Z (under 21 - deferment)"),'Input Data'!$BG$6,IF($G113="H (Apprentice under 25)",'Input Data'!$BG$7,'Input Data'!$BG$8))-'Input Data'!$BG$5),0)*VLOOKUP($G113,'Input Data'!$BI$3:$BL$10,3,FALSE),MAX((AH113-IF(OR($G113="M (under 21)",$G113="Z (under 21 - deferment)"),'Input Data'!$BG$6,IF($G113="H (Apprentice under 25)",'Input Data'!$BG$7,'Input Data'!$BG$8))),0)*VLOOKUP($G113,'Input Data'!$BI$3:$BL$10,4,FALSE))))</f>
        <v>0</v>
      </c>
      <c r="AQ113" s="56">
        <f>IF($G113="",0,IF(NOT(OR($G113="A - All employees not in groups B, C, J, H, M or Z",$G113="B - Married women and widows entitled to reduced NI",$G113="C - Over the State Pension age",$G113="H - Apprentice under 25",$G113="J – Deferment",$G113="M - Under 21",$G113="Z - Deferment (Under 21)",$G113="Please Enter The NI Cont. in ££££")),$G113,SUM(MAX(MIN(AI113-'Input Data'!$BG$3,'Input Data'!$BG$5-'Input Data'!$BG$3),0)*VLOOKUP($G113,'Input Data'!$BI$3:$BL$10,2,FALSE),MAX(MIN(AI113-'Input Data'!$BG$5,IF(OR($G113="M (under 21)",$G113="Z (under 21 - deferment)"),'Input Data'!$BG$6,IF($G113="H (Apprentice under 25)",'Input Data'!$BG$7,'Input Data'!$BG$8))-'Input Data'!$BG$5),0)*VLOOKUP($G113,'Input Data'!$BI$3:$BL$10,3,FALSE),MAX((AI113-IF(OR($G113="M (under 21)",$G113="Z (under 21 - deferment)"),'Input Data'!$BG$6,IF($G113="H (Apprentice under 25)",'Input Data'!$BG$7,'Input Data'!$BG$8))),0)*VLOOKUP($G113,'Input Data'!$BI$3:$BL$10,4,FALSE))))</f>
        <v>0</v>
      </c>
      <c r="AR113" s="56">
        <f>IF($G113="",0,IF(NOT(OR($G113="A - All employees not in groups B, C, J, H, M or Z",$G113="B - Married women and widows entitled to reduced NI",$G113="C - Over the State Pension age",$G113="H - Apprentice under 25",$G113="J – Deferment",$G113="M - Under 21",$G113="Z - Deferment (Under 21)",$G113="Please Enter The NI Cont. in ££££")),$G113,SUM(MAX(MIN(AJ113-'Input Data'!$BG$3,'Input Data'!$BG$5-'Input Data'!$BG$3),0)*VLOOKUP($G113,'Input Data'!$BI$3:$BL$10,2,FALSE),MAX(MIN(AJ113-'Input Data'!$BG$5,IF(OR($G113="M (under 21)",$G113="Z (under 21 - deferment)"),'Input Data'!$BG$6,IF($G113="H (Apprentice under 25)",'Input Data'!$BG$7,'Input Data'!$BG$8))-'Input Data'!$BG$5),0)*VLOOKUP($G113,'Input Data'!$BI$3:$BL$10,3,FALSE),MAX((AJ113-IF(OR($G113="M (under 21)",$G113="Z (under 21 - deferment)"),'Input Data'!$BG$6,IF($G113="H (Apprentice under 25)",'Input Data'!$BG$7,'Input Data'!$BG$8))),0)*VLOOKUP($G113,'Input Data'!$BI$3:$BL$10,4,FALSE))))</f>
        <v>0</v>
      </c>
      <c r="AS113" s="56">
        <f>AC113*$F113</f>
        <v>0</v>
      </c>
      <c r="AT113" s="56">
        <f>AD113*$F113</f>
        <v>0</v>
      </c>
      <c r="AU113" s="56">
        <f>AE113*$F113</f>
        <v>0</v>
      </c>
      <c r="AV113" s="56">
        <f>AF113*$F113</f>
        <v>0</v>
      </c>
      <c r="AW113" s="56">
        <f>AG113*$F113</f>
        <v>0</v>
      </c>
      <c r="AX113" s="56">
        <f>AH113*$F113</f>
        <v>0</v>
      </c>
      <c r="AY113" s="56">
        <f>AI113*$F113</f>
        <v>0</v>
      </c>
      <c r="AZ113" s="56">
        <f>AJ113*$F113</f>
        <v>0</v>
      </c>
    </row>
    <row r="114" spans="2:52" ht="25.5">
      <c r="B114" s="60"/>
      <c r="C114" s="57" t="s">
        <v>84</v>
      </c>
      <c r="D114" s="58"/>
      <c r="E114" s="58"/>
      <c r="F114" s="535"/>
      <c r="G114" s="693" t="s">
        <v>1149</v>
      </c>
      <c r="H114" s="65"/>
      <c r="I114" s="65"/>
      <c r="J114" s="65"/>
      <c r="K114" s="65"/>
      <c r="L114" s="65"/>
      <c r="M114" s="65"/>
      <c r="N114" s="65"/>
      <c r="O114" s="65"/>
      <c r="P114" s="29"/>
      <c r="Q114" s="597"/>
      <c r="R114" s="61"/>
      <c r="T114" s="43">
        <f>SUM(AC114,AK114,AS114)</f>
        <v>0</v>
      </c>
      <c r="U114" s="43">
        <f>SUM(AD114,AL114,AT114)</f>
        <v>0</v>
      </c>
      <c r="V114" s="43">
        <f>SUM(AE114,AM114,AU114)</f>
        <v>0</v>
      </c>
      <c r="W114" s="43">
        <f>SUM(AF114,AN114,AV114)</f>
        <v>0</v>
      </c>
      <c r="X114" s="43">
        <f>SUM(AG114,AO114,AW114)</f>
        <v>0</v>
      </c>
      <c r="Y114" s="43">
        <f>SUM(AH114,AP114,AX114)</f>
        <v>0</v>
      </c>
      <c r="Z114" s="43">
        <f>SUM(AI114,AQ114,AY114)</f>
        <v>0</v>
      </c>
      <c r="AA114" s="43">
        <f>SUM(AJ114,AR114,AZ114)</f>
        <v>0</v>
      </c>
      <c r="AC114" s="631">
        <f>SUM($D114:$E114)*H114</f>
        <v>0</v>
      </c>
      <c r="AD114" s="631">
        <f>SUM($D114:$E114)*I114</f>
        <v>0</v>
      </c>
      <c r="AE114" s="631">
        <f>SUM($D114:$E114)*J114</f>
        <v>0</v>
      </c>
      <c r="AF114" s="631">
        <f>SUM($D114:$E114)*K114</f>
        <v>0</v>
      </c>
      <c r="AG114" s="631">
        <f>SUM($D114:$E114)*L114</f>
        <v>0</v>
      </c>
      <c r="AH114" s="631">
        <f>SUM($D114:$E114)*M114</f>
        <v>0</v>
      </c>
      <c r="AI114" s="631">
        <f>SUM($D114:$E114)*N114</f>
        <v>0</v>
      </c>
      <c r="AJ114" s="631">
        <f>SUM($D114:$E114)*O114</f>
        <v>0</v>
      </c>
      <c r="AK114" s="56">
        <f>IF($G114="",0,IF(NOT(OR($G114="A - All employees not in groups B, C, J, H, M or Z",$G114="B - Married women and widows entitled to reduced NI",$G114="C - Over the State Pension age",$G114="H - Apprentice under 25",$G114="J – Deferment",$G114="M - Under 21",$G114="Z - Deferment (Under 21)",$G114="Please Enter The NI Cont. in ££££")),$G114,SUM(MAX(MIN(AC114-'Input Data'!$BG$3,'Input Data'!$BG$5-'Input Data'!$BG$3),0)*VLOOKUP($G114,'Input Data'!$BI$3:$BL$10,2,FALSE),MAX(MIN(AC114-'Input Data'!$BG$5,IF(OR($G114="M (under 21)",$G114="Z (under 21 - deferment)"),'Input Data'!$BG$6,IF($G114="H (Apprentice under 25)",'Input Data'!$BG$7,'Input Data'!$BG$8))-'Input Data'!$BG$5),0)*VLOOKUP($G114,'Input Data'!$BI$3:$BL$10,3,FALSE),MAX((AC114-IF(OR($G114="M (under 21)",$G114="Z (under 21 - deferment)"),'Input Data'!$BG$6,IF($G114="H (Apprentice under 25)",'Input Data'!$BG$7,'Input Data'!$BG$8))),0)*VLOOKUP($G114,'Input Data'!$BI$3:$BL$10,4,FALSE))))</f>
        <v>0</v>
      </c>
      <c r="AL114" s="56">
        <f>IF($G114="",0,IF(NOT(OR($G114="A - All employees not in groups B, C, J, H, M or Z",$G114="B - Married women and widows entitled to reduced NI",$G114="C - Over the State Pension age",$G114="H - Apprentice under 25",$G114="J – Deferment",$G114="M - Under 21",$G114="Z - Deferment (Under 21)",$G114="Please Enter The NI Cont. in ££££")),$G114,SUM(MAX(MIN(AD114-'Input Data'!$BG$3,'Input Data'!$BG$5-'Input Data'!$BG$3),0)*VLOOKUP($G114,'Input Data'!$BI$3:$BL$10,2,FALSE),MAX(MIN(AD114-'Input Data'!$BG$5,IF(OR($G114="M (under 21)",$G114="Z (under 21 - deferment)"),'Input Data'!$BG$6,IF($G114="H (Apprentice under 25)",'Input Data'!$BG$7,'Input Data'!$BG$8))-'Input Data'!$BG$5),0)*VLOOKUP($G114,'Input Data'!$BI$3:$BL$10,3,FALSE),MAX((AD114-IF(OR($G114="M (under 21)",$G114="Z (under 21 - deferment)"),'Input Data'!$BG$6,IF($G114="H (Apprentice under 25)",'Input Data'!$BG$7,'Input Data'!$BG$8))),0)*VLOOKUP($G114,'Input Data'!$BI$3:$BL$10,4,FALSE))))</f>
        <v>0</v>
      </c>
      <c r="AM114" s="56">
        <f>IF($G114="",0,IF(NOT(OR($G114="A - All employees not in groups B, C, J, H, M or Z",$G114="B - Married women and widows entitled to reduced NI",$G114="C - Over the State Pension age",$G114="H - Apprentice under 25",$G114="J – Deferment",$G114="M - Under 21",$G114="Z - Deferment (Under 21)",$G114="Please Enter The NI Cont. in ££££")),$G114,SUM(MAX(MIN(AE114-'Input Data'!$BG$3,'Input Data'!$BG$5-'Input Data'!$BG$3),0)*VLOOKUP($G114,'Input Data'!$BI$3:$BL$10,2,FALSE),MAX(MIN(AE114-'Input Data'!$BG$5,IF(OR($G114="M (under 21)",$G114="Z (under 21 - deferment)"),'Input Data'!$BG$6,IF($G114="H (Apprentice under 25)",'Input Data'!$BG$7,'Input Data'!$BG$8))-'Input Data'!$BG$5),0)*VLOOKUP($G114,'Input Data'!$BI$3:$BL$10,3,FALSE),MAX((AE114-IF(OR($G114="M (under 21)",$G114="Z (under 21 - deferment)"),'Input Data'!$BG$6,IF($G114="H (Apprentice under 25)",'Input Data'!$BG$7,'Input Data'!$BG$8))),0)*VLOOKUP($G114,'Input Data'!$BI$3:$BL$10,4,FALSE))))</f>
        <v>0</v>
      </c>
      <c r="AN114" s="56">
        <f>IF($G114="",0,IF(NOT(OR($G114="A - All employees not in groups B, C, J, H, M or Z",$G114="B - Married women and widows entitled to reduced NI",$G114="C - Over the State Pension age",$G114="H - Apprentice under 25",$G114="J – Deferment",$G114="M - Under 21",$G114="Z - Deferment (Under 21)",$G114="Please Enter The NI Cont. in ££££")),$G114,SUM(MAX(MIN(AF114-'Input Data'!$BG$3,'Input Data'!$BG$5-'Input Data'!$BG$3),0)*VLOOKUP($G114,'Input Data'!$BI$3:$BL$10,2,FALSE),MAX(MIN(AF114-'Input Data'!$BG$5,IF(OR($G114="M (under 21)",$G114="Z (under 21 - deferment)"),'Input Data'!$BG$6,IF($G114="H (Apprentice under 25)",'Input Data'!$BG$7,'Input Data'!$BG$8))-'Input Data'!$BG$5),0)*VLOOKUP($G114,'Input Data'!$BI$3:$BL$10,3,FALSE),MAX((AF114-IF(OR($G114="M (under 21)",$G114="Z (under 21 - deferment)"),'Input Data'!$BG$6,IF($G114="H (Apprentice under 25)",'Input Data'!$BG$7,'Input Data'!$BG$8))),0)*VLOOKUP($G114,'Input Data'!$BI$3:$BL$10,4,FALSE))))</f>
        <v>0</v>
      </c>
      <c r="AO114" s="56">
        <f>IF($G114="",0,IF(NOT(OR($G114="A - All employees not in groups B, C, J, H, M or Z",$G114="B - Married women and widows entitled to reduced NI",$G114="C - Over the State Pension age",$G114="H - Apprentice under 25",$G114="J – Deferment",$G114="M - Under 21",$G114="Z - Deferment (Under 21)",$G114="Please Enter The NI Cont. in ££££")),$G114,SUM(MAX(MIN(AG114-'Input Data'!$BG$3,'Input Data'!$BG$5-'Input Data'!$BG$3),0)*VLOOKUP($G114,'Input Data'!$BI$3:$BL$10,2,FALSE),MAX(MIN(AG114-'Input Data'!$BG$5,IF(OR($G114="M (under 21)",$G114="Z (under 21 - deferment)"),'Input Data'!$BG$6,IF($G114="H (Apprentice under 25)",'Input Data'!$BG$7,'Input Data'!$BG$8))-'Input Data'!$BG$5),0)*VLOOKUP($G114,'Input Data'!$BI$3:$BL$10,3,FALSE),MAX((AG114-IF(OR($G114="M (under 21)",$G114="Z (under 21 - deferment)"),'Input Data'!$BG$6,IF($G114="H (Apprentice under 25)",'Input Data'!$BG$7,'Input Data'!$BG$8))),0)*VLOOKUP($G114,'Input Data'!$BI$3:$BL$10,4,FALSE))))</f>
        <v>0</v>
      </c>
      <c r="AP114" s="56">
        <f>IF($G114="",0,IF(NOT(OR($G114="A - All employees not in groups B, C, J, H, M or Z",$G114="B - Married women and widows entitled to reduced NI",$G114="C - Over the State Pension age",$G114="H - Apprentice under 25",$G114="J – Deferment",$G114="M - Under 21",$G114="Z - Deferment (Under 21)",$G114="Please Enter The NI Cont. in ££££")),$G114,SUM(MAX(MIN(AH114-'Input Data'!$BG$3,'Input Data'!$BG$5-'Input Data'!$BG$3),0)*VLOOKUP($G114,'Input Data'!$BI$3:$BL$10,2,FALSE),MAX(MIN(AH114-'Input Data'!$BG$5,IF(OR($G114="M (under 21)",$G114="Z (under 21 - deferment)"),'Input Data'!$BG$6,IF($G114="H (Apprentice under 25)",'Input Data'!$BG$7,'Input Data'!$BG$8))-'Input Data'!$BG$5),0)*VLOOKUP($G114,'Input Data'!$BI$3:$BL$10,3,FALSE),MAX((AH114-IF(OR($G114="M (under 21)",$G114="Z (under 21 - deferment)"),'Input Data'!$BG$6,IF($G114="H (Apprentice under 25)",'Input Data'!$BG$7,'Input Data'!$BG$8))),0)*VLOOKUP($G114,'Input Data'!$BI$3:$BL$10,4,FALSE))))</f>
        <v>0</v>
      </c>
      <c r="AQ114" s="56">
        <f>IF($G114="",0,IF(NOT(OR($G114="A - All employees not in groups B, C, J, H, M or Z",$G114="B - Married women and widows entitled to reduced NI",$G114="C - Over the State Pension age",$G114="H - Apprentice under 25",$G114="J – Deferment",$G114="M - Under 21",$G114="Z - Deferment (Under 21)",$G114="Please Enter The NI Cont. in ££££")),$G114,SUM(MAX(MIN(AI114-'Input Data'!$BG$3,'Input Data'!$BG$5-'Input Data'!$BG$3),0)*VLOOKUP($G114,'Input Data'!$BI$3:$BL$10,2,FALSE),MAX(MIN(AI114-'Input Data'!$BG$5,IF(OR($G114="M (under 21)",$G114="Z (under 21 - deferment)"),'Input Data'!$BG$6,IF($G114="H (Apprentice under 25)",'Input Data'!$BG$7,'Input Data'!$BG$8))-'Input Data'!$BG$5),0)*VLOOKUP($G114,'Input Data'!$BI$3:$BL$10,3,FALSE),MAX((AI114-IF(OR($G114="M (under 21)",$G114="Z (under 21 - deferment)"),'Input Data'!$BG$6,IF($G114="H (Apprentice under 25)",'Input Data'!$BG$7,'Input Data'!$BG$8))),0)*VLOOKUP($G114,'Input Data'!$BI$3:$BL$10,4,FALSE))))</f>
        <v>0</v>
      </c>
      <c r="AR114" s="56">
        <f>IF($G114="",0,IF(NOT(OR($G114="A - All employees not in groups B, C, J, H, M or Z",$G114="B - Married women and widows entitled to reduced NI",$G114="C - Over the State Pension age",$G114="H - Apprentice under 25",$G114="J – Deferment",$G114="M - Under 21",$G114="Z - Deferment (Under 21)",$G114="Please Enter The NI Cont. in ££££")),$G114,SUM(MAX(MIN(AJ114-'Input Data'!$BG$3,'Input Data'!$BG$5-'Input Data'!$BG$3),0)*VLOOKUP($G114,'Input Data'!$BI$3:$BL$10,2,FALSE),MAX(MIN(AJ114-'Input Data'!$BG$5,IF(OR($G114="M (under 21)",$G114="Z (under 21 - deferment)"),'Input Data'!$BG$6,IF($G114="H (Apprentice under 25)",'Input Data'!$BG$7,'Input Data'!$BG$8))-'Input Data'!$BG$5),0)*VLOOKUP($G114,'Input Data'!$BI$3:$BL$10,3,FALSE),MAX((AJ114-IF(OR($G114="M (under 21)",$G114="Z (under 21 - deferment)"),'Input Data'!$BG$6,IF($G114="H (Apprentice under 25)",'Input Data'!$BG$7,'Input Data'!$BG$8))),0)*VLOOKUP($G114,'Input Data'!$BI$3:$BL$10,4,FALSE))))</f>
        <v>0</v>
      </c>
      <c r="AS114" s="56">
        <f>AC114*$F114</f>
        <v>0</v>
      </c>
      <c r="AT114" s="56">
        <f>AD114*$F114</f>
        <v>0</v>
      </c>
      <c r="AU114" s="56">
        <f>AE114*$F114</f>
        <v>0</v>
      </c>
      <c r="AV114" s="56">
        <f>AF114*$F114</f>
        <v>0</v>
      </c>
      <c r="AW114" s="56">
        <f>AG114*$F114</f>
        <v>0</v>
      </c>
      <c r="AX114" s="56">
        <f>AH114*$F114</f>
        <v>0</v>
      </c>
      <c r="AY114" s="56">
        <f>AI114*$F114</f>
        <v>0</v>
      </c>
      <c r="AZ114" s="56">
        <f>AJ114*$F114</f>
        <v>0</v>
      </c>
    </row>
    <row r="115" spans="2:52" ht="25.5">
      <c r="B115" s="60"/>
      <c r="C115" s="57" t="s">
        <v>86</v>
      </c>
      <c r="D115" s="58"/>
      <c r="E115" s="58"/>
      <c r="F115" s="535"/>
      <c r="G115" s="693" t="s">
        <v>1149</v>
      </c>
      <c r="H115" s="65"/>
      <c r="I115" s="65"/>
      <c r="J115" s="65"/>
      <c r="K115" s="65"/>
      <c r="L115" s="65"/>
      <c r="M115" s="65"/>
      <c r="N115" s="65"/>
      <c r="O115" s="65"/>
      <c r="P115" s="29"/>
      <c r="Q115" s="597"/>
      <c r="R115" s="61"/>
      <c r="T115" s="43">
        <f>SUM(AC115,AK115,AS115)</f>
        <v>0</v>
      </c>
      <c r="U115" s="43">
        <f>SUM(AD115,AL115,AT115)</f>
        <v>0</v>
      </c>
      <c r="V115" s="43">
        <f>SUM(AE115,AM115,AU115)</f>
        <v>0</v>
      </c>
      <c r="W115" s="43">
        <f>SUM(AF115,AN115,AV115)</f>
        <v>0</v>
      </c>
      <c r="X115" s="43">
        <f>SUM(AG115,AO115,AW115)</f>
        <v>0</v>
      </c>
      <c r="Y115" s="43">
        <f>SUM(AH115,AP115,AX115)</f>
        <v>0</v>
      </c>
      <c r="Z115" s="43">
        <f>SUM(AI115,AQ115,AY115)</f>
        <v>0</v>
      </c>
      <c r="AA115" s="43">
        <f>SUM(AJ115,AR115,AZ115)</f>
        <v>0</v>
      </c>
      <c r="AC115" s="631">
        <f>SUM($D115:$E115)*H115</f>
        <v>0</v>
      </c>
      <c r="AD115" s="631">
        <f>SUM($D115:$E115)*I115</f>
        <v>0</v>
      </c>
      <c r="AE115" s="631">
        <f>SUM($D115:$E115)*J115</f>
        <v>0</v>
      </c>
      <c r="AF115" s="631">
        <f>SUM($D115:$E115)*K115</f>
        <v>0</v>
      </c>
      <c r="AG115" s="631">
        <f>SUM($D115:$E115)*L115</f>
        <v>0</v>
      </c>
      <c r="AH115" s="631">
        <f>SUM($D115:$E115)*M115</f>
        <v>0</v>
      </c>
      <c r="AI115" s="631">
        <f>SUM($D115:$E115)*N115</f>
        <v>0</v>
      </c>
      <c r="AJ115" s="631">
        <f>SUM($D115:$E115)*O115</f>
        <v>0</v>
      </c>
      <c r="AK115" s="56">
        <f>IF($G115="",0,IF(NOT(OR($G115="A - All employees not in groups B, C, J, H, M or Z",$G115="B - Married women and widows entitled to reduced NI",$G115="C - Over the State Pension age",$G115="H - Apprentice under 25",$G115="J – Deferment",$G115="M - Under 21",$G115="Z - Deferment (Under 21)",$G115="Please Enter The NI Cont. in ££££")),$G115,SUM(MAX(MIN(AC115-'Input Data'!$BG$3,'Input Data'!$BG$5-'Input Data'!$BG$3),0)*VLOOKUP($G115,'Input Data'!$BI$3:$BL$10,2,FALSE),MAX(MIN(AC115-'Input Data'!$BG$5,IF(OR($G115="M (under 21)",$G115="Z (under 21 - deferment)"),'Input Data'!$BG$6,IF($G115="H (Apprentice under 25)",'Input Data'!$BG$7,'Input Data'!$BG$8))-'Input Data'!$BG$5),0)*VLOOKUP($G115,'Input Data'!$BI$3:$BL$10,3,FALSE),MAX((AC115-IF(OR($G115="M (under 21)",$G115="Z (under 21 - deferment)"),'Input Data'!$BG$6,IF($G115="H (Apprentice under 25)",'Input Data'!$BG$7,'Input Data'!$BG$8))),0)*VLOOKUP($G115,'Input Data'!$BI$3:$BL$10,4,FALSE))))</f>
        <v>0</v>
      </c>
      <c r="AL115" s="56">
        <f>IF($G115="",0,IF(NOT(OR($G115="A - All employees not in groups B, C, J, H, M or Z",$G115="B - Married women and widows entitled to reduced NI",$G115="C - Over the State Pension age",$G115="H - Apprentice under 25",$G115="J – Deferment",$G115="M - Under 21",$G115="Z - Deferment (Under 21)",$G115="Please Enter The NI Cont. in ££££")),$G115,SUM(MAX(MIN(AD115-'Input Data'!$BG$3,'Input Data'!$BG$5-'Input Data'!$BG$3),0)*VLOOKUP($G115,'Input Data'!$BI$3:$BL$10,2,FALSE),MAX(MIN(AD115-'Input Data'!$BG$5,IF(OR($G115="M (under 21)",$G115="Z (under 21 - deferment)"),'Input Data'!$BG$6,IF($G115="H (Apprentice under 25)",'Input Data'!$BG$7,'Input Data'!$BG$8))-'Input Data'!$BG$5),0)*VLOOKUP($G115,'Input Data'!$BI$3:$BL$10,3,FALSE),MAX((AD115-IF(OR($G115="M (under 21)",$G115="Z (under 21 - deferment)"),'Input Data'!$BG$6,IF($G115="H (Apprentice under 25)",'Input Data'!$BG$7,'Input Data'!$BG$8))),0)*VLOOKUP($G115,'Input Data'!$BI$3:$BL$10,4,FALSE))))</f>
        <v>0</v>
      </c>
      <c r="AM115" s="56">
        <f>IF($G115="",0,IF(NOT(OR($G115="A - All employees not in groups B, C, J, H, M or Z",$G115="B - Married women and widows entitled to reduced NI",$G115="C - Over the State Pension age",$G115="H - Apprentice under 25",$G115="J – Deferment",$G115="M - Under 21",$G115="Z - Deferment (Under 21)",$G115="Please Enter The NI Cont. in ££££")),$G115,SUM(MAX(MIN(AE115-'Input Data'!$BG$3,'Input Data'!$BG$5-'Input Data'!$BG$3),0)*VLOOKUP($G115,'Input Data'!$BI$3:$BL$10,2,FALSE),MAX(MIN(AE115-'Input Data'!$BG$5,IF(OR($G115="M (under 21)",$G115="Z (under 21 - deferment)"),'Input Data'!$BG$6,IF($G115="H (Apprentice under 25)",'Input Data'!$BG$7,'Input Data'!$BG$8))-'Input Data'!$BG$5),0)*VLOOKUP($G115,'Input Data'!$BI$3:$BL$10,3,FALSE),MAX((AE115-IF(OR($G115="M (under 21)",$G115="Z (under 21 - deferment)"),'Input Data'!$BG$6,IF($G115="H (Apprentice under 25)",'Input Data'!$BG$7,'Input Data'!$BG$8))),0)*VLOOKUP($G115,'Input Data'!$BI$3:$BL$10,4,FALSE))))</f>
        <v>0</v>
      </c>
      <c r="AN115" s="56">
        <f>IF($G115="",0,IF(NOT(OR($G115="A - All employees not in groups B, C, J, H, M or Z",$G115="B - Married women and widows entitled to reduced NI",$G115="C - Over the State Pension age",$G115="H - Apprentice under 25",$G115="J – Deferment",$G115="M - Under 21",$G115="Z - Deferment (Under 21)",$G115="Please Enter The NI Cont. in ££££")),$G115,SUM(MAX(MIN(AF115-'Input Data'!$BG$3,'Input Data'!$BG$5-'Input Data'!$BG$3),0)*VLOOKUP($G115,'Input Data'!$BI$3:$BL$10,2,FALSE),MAX(MIN(AF115-'Input Data'!$BG$5,IF(OR($G115="M (under 21)",$G115="Z (under 21 - deferment)"),'Input Data'!$BG$6,IF($G115="H (Apprentice under 25)",'Input Data'!$BG$7,'Input Data'!$BG$8))-'Input Data'!$BG$5),0)*VLOOKUP($G115,'Input Data'!$BI$3:$BL$10,3,FALSE),MAX((AF115-IF(OR($G115="M (under 21)",$G115="Z (under 21 - deferment)"),'Input Data'!$BG$6,IF($G115="H (Apprentice under 25)",'Input Data'!$BG$7,'Input Data'!$BG$8))),0)*VLOOKUP($G115,'Input Data'!$BI$3:$BL$10,4,FALSE))))</f>
        <v>0</v>
      </c>
      <c r="AO115" s="56">
        <f>IF($G115="",0,IF(NOT(OR($G115="A - All employees not in groups B, C, J, H, M or Z",$G115="B - Married women and widows entitled to reduced NI",$G115="C - Over the State Pension age",$G115="H - Apprentice under 25",$G115="J – Deferment",$G115="M - Under 21",$G115="Z - Deferment (Under 21)",$G115="Please Enter The NI Cont. in ££££")),$G115,SUM(MAX(MIN(AG115-'Input Data'!$BG$3,'Input Data'!$BG$5-'Input Data'!$BG$3),0)*VLOOKUP($G115,'Input Data'!$BI$3:$BL$10,2,FALSE),MAX(MIN(AG115-'Input Data'!$BG$5,IF(OR($G115="M (under 21)",$G115="Z (under 21 - deferment)"),'Input Data'!$BG$6,IF($G115="H (Apprentice under 25)",'Input Data'!$BG$7,'Input Data'!$BG$8))-'Input Data'!$BG$5),0)*VLOOKUP($G115,'Input Data'!$BI$3:$BL$10,3,FALSE),MAX((AG115-IF(OR($G115="M (under 21)",$G115="Z (under 21 - deferment)"),'Input Data'!$BG$6,IF($G115="H (Apprentice under 25)",'Input Data'!$BG$7,'Input Data'!$BG$8))),0)*VLOOKUP($G115,'Input Data'!$BI$3:$BL$10,4,FALSE))))</f>
        <v>0</v>
      </c>
      <c r="AP115" s="56">
        <f>IF($G115="",0,IF(NOT(OR($G115="A - All employees not in groups B, C, J, H, M or Z",$G115="B - Married women and widows entitled to reduced NI",$G115="C - Over the State Pension age",$G115="H - Apprentice under 25",$G115="J – Deferment",$G115="M - Under 21",$G115="Z - Deferment (Under 21)",$G115="Please Enter The NI Cont. in ££££")),$G115,SUM(MAX(MIN(AH115-'Input Data'!$BG$3,'Input Data'!$BG$5-'Input Data'!$BG$3),0)*VLOOKUP($G115,'Input Data'!$BI$3:$BL$10,2,FALSE),MAX(MIN(AH115-'Input Data'!$BG$5,IF(OR($G115="M (under 21)",$G115="Z (under 21 - deferment)"),'Input Data'!$BG$6,IF($G115="H (Apprentice under 25)",'Input Data'!$BG$7,'Input Data'!$BG$8))-'Input Data'!$BG$5),0)*VLOOKUP($G115,'Input Data'!$BI$3:$BL$10,3,FALSE),MAX((AH115-IF(OR($G115="M (under 21)",$G115="Z (under 21 - deferment)"),'Input Data'!$BG$6,IF($G115="H (Apprentice under 25)",'Input Data'!$BG$7,'Input Data'!$BG$8))),0)*VLOOKUP($G115,'Input Data'!$BI$3:$BL$10,4,FALSE))))</f>
        <v>0</v>
      </c>
      <c r="AQ115" s="56">
        <f>IF($G115="",0,IF(NOT(OR($G115="A - All employees not in groups B, C, J, H, M or Z",$G115="B - Married women and widows entitled to reduced NI",$G115="C - Over the State Pension age",$G115="H - Apprentice under 25",$G115="J – Deferment",$G115="M - Under 21",$G115="Z - Deferment (Under 21)",$G115="Please Enter The NI Cont. in ££££")),$G115,SUM(MAX(MIN(AI115-'Input Data'!$BG$3,'Input Data'!$BG$5-'Input Data'!$BG$3),0)*VLOOKUP($G115,'Input Data'!$BI$3:$BL$10,2,FALSE),MAX(MIN(AI115-'Input Data'!$BG$5,IF(OR($G115="M (under 21)",$G115="Z (under 21 - deferment)"),'Input Data'!$BG$6,IF($G115="H (Apprentice under 25)",'Input Data'!$BG$7,'Input Data'!$BG$8))-'Input Data'!$BG$5),0)*VLOOKUP($G115,'Input Data'!$BI$3:$BL$10,3,FALSE),MAX((AI115-IF(OR($G115="M (under 21)",$G115="Z (under 21 - deferment)"),'Input Data'!$BG$6,IF($G115="H (Apprentice under 25)",'Input Data'!$BG$7,'Input Data'!$BG$8))),0)*VLOOKUP($G115,'Input Data'!$BI$3:$BL$10,4,FALSE))))</f>
        <v>0</v>
      </c>
      <c r="AR115" s="56">
        <f>IF($G115="",0,IF(NOT(OR($G115="A - All employees not in groups B, C, J, H, M or Z",$G115="B - Married women and widows entitled to reduced NI",$G115="C - Over the State Pension age",$G115="H - Apprentice under 25",$G115="J – Deferment",$G115="M - Under 21",$G115="Z - Deferment (Under 21)",$G115="Please Enter The NI Cont. in ££££")),$G115,SUM(MAX(MIN(AJ115-'Input Data'!$BG$3,'Input Data'!$BG$5-'Input Data'!$BG$3),0)*VLOOKUP($G115,'Input Data'!$BI$3:$BL$10,2,FALSE),MAX(MIN(AJ115-'Input Data'!$BG$5,IF(OR($G115="M (under 21)",$G115="Z (under 21 - deferment)"),'Input Data'!$BG$6,IF($G115="H (Apprentice under 25)",'Input Data'!$BG$7,'Input Data'!$BG$8))-'Input Data'!$BG$5),0)*VLOOKUP($G115,'Input Data'!$BI$3:$BL$10,3,FALSE),MAX((AJ115-IF(OR($G115="M (under 21)",$G115="Z (under 21 - deferment)"),'Input Data'!$BG$6,IF($G115="H (Apprentice under 25)",'Input Data'!$BG$7,'Input Data'!$BG$8))),0)*VLOOKUP($G115,'Input Data'!$BI$3:$BL$10,4,FALSE))))</f>
        <v>0</v>
      </c>
      <c r="AS115" s="56">
        <f>AC115*$F115</f>
        <v>0</v>
      </c>
      <c r="AT115" s="56">
        <f>AD115*$F115</f>
        <v>0</v>
      </c>
      <c r="AU115" s="56">
        <f>AE115*$F115</f>
        <v>0</v>
      </c>
      <c r="AV115" s="56">
        <f>AF115*$F115</f>
        <v>0</v>
      </c>
      <c r="AW115" s="56">
        <f>AG115*$F115</f>
        <v>0</v>
      </c>
      <c r="AX115" s="56">
        <f>AH115*$F115</f>
        <v>0</v>
      </c>
      <c r="AY115" s="56">
        <f>AI115*$F115</f>
        <v>0</v>
      </c>
      <c r="AZ115" s="56">
        <f>AJ115*$F115</f>
        <v>0</v>
      </c>
    </row>
    <row r="116" spans="2:52" ht="25.5">
      <c r="B116" s="60"/>
      <c r="C116" s="57" t="s">
        <v>87</v>
      </c>
      <c r="D116" s="58"/>
      <c r="E116" s="58"/>
      <c r="F116" s="535"/>
      <c r="G116" s="693" t="s">
        <v>1149</v>
      </c>
      <c r="H116" s="65"/>
      <c r="I116" s="65"/>
      <c r="J116" s="65"/>
      <c r="K116" s="65"/>
      <c r="L116" s="65"/>
      <c r="M116" s="65"/>
      <c r="N116" s="65"/>
      <c r="O116" s="65"/>
      <c r="P116" s="29"/>
      <c r="Q116" s="597"/>
      <c r="R116" s="61"/>
      <c r="T116" s="43">
        <f>SUM(AC116,AK116,AS116)</f>
        <v>0</v>
      </c>
      <c r="U116" s="43">
        <f>SUM(AD116,AL116,AT116)</f>
        <v>0</v>
      </c>
      <c r="V116" s="43">
        <f>SUM(AE116,AM116,AU116)</f>
        <v>0</v>
      </c>
      <c r="W116" s="43">
        <f>SUM(AF116,AN116,AV116)</f>
        <v>0</v>
      </c>
      <c r="X116" s="43">
        <f>SUM(AG116,AO116,AW116)</f>
        <v>0</v>
      </c>
      <c r="Y116" s="43">
        <f>SUM(AH116,AP116,AX116)</f>
        <v>0</v>
      </c>
      <c r="Z116" s="43">
        <f>SUM(AI116,AQ116,AY116)</f>
        <v>0</v>
      </c>
      <c r="AA116" s="43">
        <f>SUM(AJ116,AR116,AZ116)</f>
        <v>0</v>
      </c>
      <c r="AC116" s="631">
        <f>SUM($D116:$E116)*H116</f>
        <v>0</v>
      </c>
      <c r="AD116" s="631">
        <f>SUM($D116:$E116)*I116</f>
        <v>0</v>
      </c>
      <c r="AE116" s="631">
        <f>SUM($D116:$E116)*J116</f>
        <v>0</v>
      </c>
      <c r="AF116" s="631">
        <f>SUM($D116:$E116)*K116</f>
        <v>0</v>
      </c>
      <c r="AG116" s="631">
        <f>SUM($D116:$E116)*L116</f>
        <v>0</v>
      </c>
      <c r="AH116" s="631">
        <f>SUM($D116:$E116)*M116</f>
        <v>0</v>
      </c>
      <c r="AI116" s="631">
        <f>SUM($D116:$E116)*N116</f>
        <v>0</v>
      </c>
      <c r="AJ116" s="631">
        <f>SUM($D116:$E116)*O116</f>
        <v>0</v>
      </c>
      <c r="AK116" s="56">
        <f>IF($G116="",0,IF(NOT(OR($G116="A - All employees not in groups B, C, J, H, M or Z",$G116="B - Married women and widows entitled to reduced NI",$G116="C - Over the State Pension age",$G116="H - Apprentice under 25",$G116="J – Deferment",$G116="M - Under 21",$G116="Z - Deferment (Under 21)",$G116="Please Enter The NI Cont. in ££££")),$G116,SUM(MAX(MIN(AC116-'Input Data'!$BG$3,'Input Data'!$BG$5-'Input Data'!$BG$3),0)*VLOOKUP($G116,'Input Data'!$BI$3:$BL$10,2,FALSE),MAX(MIN(AC116-'Input Data'!$BG$5,IF(OR($G116="M (under 21)",$G116="Z (under 21 - deferment)"),'Input Data'!$BG$6,IF($G116="H (Apprentice under 25)",'Input Data'!$BG$7,'Input Data'!$BG$8))-'Input Data'!$BG$5),0)*VLOOKUP($G116,'Input Data'!$BI$3:$BL$10,3,FALSE),MAX((AC116-IF(OR($G116="M (under 21)",$G116="Z (under 21 - deferment)"),'Input Data'!$BG$6,IF($G116="H (Apprentice under 25)",'Input Data'!$BG$7,'Input Data'!$BG$8))),0)*VLOOKUP($G116,'Input Data'!$BI$3:$BL$10,4,FALSE))))</f>
        <v>0</v>
      </c>
      <c r="AL116" s="56">
        <f>IF($G116="",0,IF(NOT(OR($G116="A - All employees not in groups B, C, J, H, M or Z",$G116="B - Married women and widows entitled to reduced NI",$G116="C - Over the State Pension age",$G116="H - Apprentice under 25",$G116="J – Deferment",$G116="M - Under 21",$G116="Z - Deferment (Under 21)",$G116="Please Enter The NI Cont. in ££££")),$G116,SUM(MAX(MIN(AD116-'Input Data'!$BG$3,'Input Data'!$BG$5-'Input Data'!$BG$3),0)*VLOOKUP($G116,'Input Data'!$BI$3:$BL$10,2,FALSE),MAX(MIN(AD116-'Input Data'!$BG$5,IF(OR($G116="M (under 21)",$G116="Z (under 21 - deferment)"),'Input Data'!$BG$6,IF($G116="H (Apprentice under 25)",'Input Data'!$BG$7,'Input Data'!$BG$8))-'Input Data'!$BG$5),0)*VLOOKUP($G116,'Input Data'!$BI$3:$BL$10,3,FALSE),MAX((AD116-IF(OR($G116="M (under 21)",$G116="Z (under 21 - deferment)"),'Input Data'!$BG$6,IF($G116="H (Apprentice under 25)",'Input Data'!$BG$7,'Input Data'!$BG$8))),0)*VLOOKUP($G116,'Input Data'!$BI$3:$BL$10,4,FALSE))))</f>
        <v>0</v>
      </c>
      <c r="AM116" s="56">
        <f>IF($G116="",0,IF(NOT(OR($G116="A - All employees not in groups B, C, J, H, M or Z",$G116="B - Married women and widows entitled to reduced NI",$G116="C - Over the State Pension age",$G116="H - Apprentice under 25",$G116="J – Deferment",$G116="M - Under 21",$G116="Z - Deferment (Under 21)",$G116="Please Enter The NI Cont. in ££££")),$G116,SUM(MAX(MIN(AE116-'Input Data'!$BG$3,'Input Data'!$BG$5-'Input Data'!$BG$3),0)*VLOOKUP($G116,'Input Data'!$BI$3:$BL$10,2,FALSE),MAX(MIN(AE116-'Input Data'!$BG$5,IF(OR($G116="M (under 21)",$G116="Z (under 21 - deferment)"),'Input Data'!$BG$6,IF($G116="H (Apprentice under 25)",'Input Data'!$BG$7,'Input Data'!$BG$8))-'Input Data'!$BG$5),0)*VLOOKUP($G116,'Input Data'!$BI$3:$BL$10,3,FALSE),MAX((AE116-IF(OR($G116="M (under 21)",$G116="Z (under 21 - deferment)"),'Input Data'!$BG$6,IF($G116="H (Apprentice under 25)",'Input Data'!$BG$7,'Input Data'!$BG$8))),0)*VLOOKUP($G116,'Input Data'!$BI$3:$BL$10,4,FALSE))))</f>
        <v>0</v>
      </c>
      <c r="AN116" s="56">
        <f>IF($G116="",0,IF(NOT(OR($G116="A - All employees not in groups B, C, J, H, M or Z",$G116="B - Married women and widows entitled to reduced NI",$G116="C - Over the State Pension age",$G116="H - Apprentice under 25",$G116="J – Deferment",$G116="M - Under 21",$G116="Z - Deferment (Under 21)",$G116="Please Enter The NI Cont. in ££££")),$G116,SUM(MAX(MIN(AF116-'Input Data'!$BG$3,'Input Data'!$BG$5-'Input Data'!$BG$3),0)*VLOOKUP($G116,'Input Data'!$BI$3:$BL$10,2,FALSE),MAX(MIN(AF116-'Input Data'!$BG$5,IF(OR($G116="M (under 21)",$G116="Z (under 21 - deferment)"),'Input Data'!$BG$6,IF($G116="H (Apprentice under 25)",'Input Data'!$BG$7,'Input Data'!$BG$8))-'Input Data'!$BG$5),0)*VLOOKUP($G116,'Input Data'!$BI$3:$BL$10,3,FALSE),MAX((AF116-IF(OR($G116="M (under 21)",$G116="Z (under 21 - deferment)"),'Input Data'!$BG$6,IF($G116="H (Apprentice under 25)",'Input Data'!$BG$7,'Input Data'!$BG$8))),0)*VLOOKUP($G116,'Input Data'!$BI$3:$BL$10,4,FALSE))))</f>
        <v>0</v>
      </c>
      <c r="AO116" s="56">
        <f>IF($G116="",0,IF(NOT(OR($G116="A - All employees not in groups B, C, J, H, M or Z",$G116="B - Married women and widows entitled to reduced NI",$G116="C - Over the State Pension age",$G116="H - Apprentice under 25",$G116="J – Deferment",$G116="M - Under 21",$G116="Z - Deferment (Under 21)",$G116="Please Enter The NI Cont. in ££££")),$G116,SUM(MAX(MIN(AG116-'Input Data'!$BG$3,'Input Data'!$BG$5-'Input Data'!$BG$3),0)*VLOOKUP($G116,'Input Data'!$BI$3:$BL$10,2,FALSE),MAX(MIN(AG116-'Input Data'!$BG$5,IF(OR($G116="M (under 21)",$G116="Z (under 21 - deferment)"),'Input Data'!$BG$6,IF($G116="H (Apprentice under 25)",'Input Data'!$BG$7,'Input Data'!$BG$8))-'Input Data'!$BG$5),0)*VLOOKUP($G116,'Input Data'!$BI$3:$BL$10,3,FALSE),MAX((AG116-IF(OR($G116="M (under 21)",$G116="Z (under 21 - deferment)"),'Input Data'!$BG$6,IF($G116="H (Apprentice under 25)",'Input Data'!$BG$7,'Input Data'!$BG$8))),0)*VLOOKUP($G116,'Input Data'!$BI$3:$BL$10,4,FALSE))))</f>
        <v>0</v>
      </c>
      <c r="AP116" s="56">
        <f>IF($G116="",0,IF(NOT(OR($G116="A - All employees not in groups B, C, J, H, M or Z",$G116="B - Married women and widows entitled to reduced NI",$G116="C - Over the State Pension age",$G116="H - Apprentice under 25",$G116="J – Deferment",$G116="M - Under 21",$G116="Z - Deferment (Under 21)",$G116="Please Enter The NI Cont. in ££££")),$G116,SUM(MAX(MIN(AH116-'Input Data'!$BG$3,'Input Data'!$BG$5-'Input Data'!$BG$3),0)*VLOOKUP($G116,'Input Data'!$BI$3:$BL$10,2,FALSE),MAX(MIN(AH116-'Input Data'!$BG$5,IF(OR($G116="M (under 21)",$G116="Z (under 21 - deferment)"),'Input Data'!$BG$6,IF($G116="H (Apprentice under 25)",'Input Data'!$BG$7,'Input Data'!$BG$8))-'Input Data'!$BG$5),0)*VLOOKUP($G116,'Input Data'!$BI$3:$BL$10,3,FALSE),MAX((AH116-IF(OR($G116="M (under 21)",$G116="Z (under 21 - deferment)"),'Input Data'!$BG$6,IF($G116="H (Apprentice under 25)",'Input Data'!$BG$7,'Input Data'!$BG$8))),0)*VLOOKUP($G116,'Input Data'!$BI$3:$BL$10,4,FALSE))))</f>
        <v>0</v>
      </c>
      <c r="AQ116" s="56">
        <f>IF($G116="",0,IF(NOT(OR($G116="A - All employees not in groups B, C, J, H, M or Z",$G116="B - Married women and widows entitled to reduced NI",$G116="C - Over the State Pension age",$G116="H - Apprentice under 25",$G116="J – Deferment",$G116="M - Under 21",$G116="Z - Deferment (Under 21)",$G116="Please Enter The NI Cont. in ££££")),$G116,SUM(MAX(MIN(AI116-'Input Data'!$BG$3,'Input Data'!$BG$5-'Input Data'!$BG$3),0)*VLOOKUP($G116,'Input Data'!$BI$3:$BL$10,2,FALSE),MAX(MIN(AI116-'Input Data'!$BG$5,IF(OR($G116="M (under 21)",$G116="Z (under 21 - deferment)"),'Input Data'!$BG$6,IF($G116="H (Apprentice under 25)",'Input Data'!$BG$7,'Input Data'!$BG$8))-'Input Data'!$BG$5),0)*VLOOKUP($G116,'Input Data'!$BI$3:$BL$10,3,FALSE),MAX((AI116-IF(OR($G116="M (under 21)",$G116="Z (under 21 - deferment)"),'Input Data'!$BG$6,IF($G116="H (Apprentice under 25)",'Input Data'!$BG$7,'Input Data'!$BG$8))),0)*VLOOKUP($G116,'Input Data'!$BI$3:$BL$10,4,FALSE))))</f>
        <v>0</v>
      </c>
      <c r="AR116" s="56">
        <f>IF($G116="",0,IF(NOT(OR($G116="A - All employees not in groups B, C, J, H, M or Z",$G116="B - Married women and widows entitled to reduced NI",$G116="C - Over the State Pension age",$G116="H - Apprentice under 25",$G116="J – Deferment",$G116="M - Under 21",$G116="Z - Deferment (Under 21)",$G116="Please Enter The NI Cont. in ££££")),$G116,SUM(MAX(MIN(AJ116-'Input Data'!$BG$3,'Input Data'!$BG$5-'Input Data'!$BG$3),0)*VLOOKUP($G116,'Input Data'!$BI$3:$BL$10,2,FALSE),MAX(MIN(AJ116-'Input Data'!$BG$5,IF(OR($G116="M (under 21)",$G116="Z (under 21 - deferment)"),'Input Data'!$BG$6,IF($G116="H (Apprentice under 25)",'Input Data'!$BG$7,'Input Data'!$BG$8))-'Input Data'!$BG$5),0)*VLOOKUP($G116,'Input Data'!$BI$3:$BL$10,3,FALSE),MAX((AJ116-IF(OR($G116="M (under 21)",$G116="Z (under 21 - deferment)"),'Input Data'!$BG$6,IF($G116="H (Apprentice under 25)",'Input Data'!$BG$7,'Input Data'!$BG$8))),0)*VLOOKUP($G116,'Input Data'!$BI$3:$BL$10,4,FALSE))))</f>
        <v>0</v>
      </c>
      <c r="AS116" s="56">
        <f>AC116*$F116</f>
        <v>0</v>
      </c>
      <c r="AT116" s="56">
        <f>AD116*$F116</f>
        <v>0</v>
      </c>
      <c r="AU116" s="56">
        <f>AE116*$F116</f>
        <v>0</v>
      </c>
      <c r="AV116" s="56">
        <f>AF116*$F116</f>
        <v>0</v>
      </c>
      <c r="AW116" s="56">
        <f>AG116*$F116</f>
        <v>0</v>
      </c>
      <c r="AX116" s="56">
        <f>AH116*$F116</f>
        <v>0</v>
      </c>
      <c r="AY116" s="56">
        <f>AI116*$F116</f>
        <v>0</v>
      </c>
      <c r="AZ116" s="56">
        <f>AJ116*$F116</f>
        <v>0</v>
      </c>
    </row>
    <row r="117" spans="2:52" ht="25.5">
      <c r="B117" s="60"/>
      <c r="C117" s="57" t="s">
        <v>88</v>
      </c>
      <c r="D117" s="58"/>
      <c r="E117" s="58"/>
      <c r="F117" s="535"/>
      <c r="G117" s="693" t="s">
        <v>1149</v>
      </c>
      <c r="H117" s="65"/>
      <c r="I117" s="65"/>
      <c r="J117" s="65"/>
      <c r="K117" s="65"/>
      <c r="L117" s="65"/>
      <c r="M117" s="65"/>
      <c r="N117" s="65"/>
      <c r="O117" s="65"/>
      <c r="P117" s="29"/>
      <c r="Q117" s="597"/>
      <c r="R117" s="61"/>
      <c r="T117" s="43">
        <f>SUM(AC117,AK117,AS117)</f>
        <v>0</v>
      </c>
      <c r="U117" s="43">
        <f>SUM(AD117,AL117,AT117)</f>
        <v>0</v>
      </c>
      <c r="V117" s="43">
        <f>SUM(AE117,AM117,AU117)</f>
        <v>0</v>
      </c>
      <c r="W117" s="43">
        <f>SUM(AF117,AN117,AV117)</f>
        <v>0</v>
      </c>
      <c r="X117" s="43">
        <f>SUM(AG117,AO117,AW117)</f>
        <v>0</v>
      </c>
      <c r="Y117" s="43">
        <f>SUM(AH117,AP117,AX117)</f>
        <v>0</v>
      </c>
      <c r="Z117" s="43">
        <f>SUM(AI117,AQ117,AY117)</f>
        <v>0</v>
      </c>
      <c r="AA117" s="43">
        <f>SUM(AJ117,AR117,AZ117)</f>
        <v>0</v>
      </c>
      <c r="AC117" s="631">
        <f>SUM($D117:$E117)*H117</f>
        <v>0</v>
      </c>
      <c r="AD117" s="631">
        <f>SUM($D117:$E117)*I117</f>
        <v>0</v>
      </c>
      <c r="AE117" s="631">
        <f>SUM($D117:$E117)*J117</f>
        <v>0</v>
      </c>
      <c r="AF117" s="631">
        <f>SUM($D117:$E117)*K117</f>
        <v>0</v>
      </c>
      <c r="AG117" s="631">
        <f>SUM($D117:$E117)*L117</f>
        <v>0</v>
      </c>
      <c r="AH117" s="631">
        <f>SUM($D117:$E117)*M117</f>
        <v>0</v>
      </c>
      <c r="AI117" s="631">
        <f>SUM($D117:$E117)*N117</f>
        <v>0</v>
      </c>
      <c r="AJ117" s="631">
        <f>SUM($D117:$E117)*O117</f>
        <v>0</v>
      </c>
      <c r="AK117" s="56">
        <f>IF($G117="",0,IF(NOT(OR($G117="A - All employees not in groups B, C, J, H, M or Z",$G117="B - Married women and widows entitled to reduced NI",$G117="C - Over the State Pension age",$G117="H - Apprentice under 25",$G117="J – Deferment",$G117="M - Under 21",$G117="Z - Deferment (Under 21)",$G117="Please Enter The NI Cont. in ££££")),$G117,SUM(MAX(MIN(AC117-'Input Data'!$BG$3,'Input Data'!$BG$5-'Input Data'!$BG$3),0)*VLOOKUP($G117,'Input Data'!$BI$3:$BL$10,2,FALSE),MAX(MIN(AC117-'Input Data'!$BG$5,IF(OR($G117="M (under 21)",$G117="Z (under 21 - deferment)"),'Input Data'!$BG$6,IF($G117="H (Apprentice under 25)",'Input Data'!$BG$7,'Input Data'!$BG$8))-'Input Data'!$BG$5),0)*VLOOKUP($G117,'Input Data'!$BI$3:$BL$10,3,FALSE),MAX((AC117-IF(OR($G117="M (under 21)",$G117="Z (under 21 - deferment)"),'Input Data'!$BG$6,IF($G117="H (Apprentice under 25)",'Input Data'!$BG$7,'Input Data'!$BG$8))),0)*VLOOKUP($G117,'Input Data'!$BI$3:$BL$10,4,FALSE))))</f>
        <v>0</v>
      </c>
      <c r="AL117" s="56">
        <f>IF($G117="",0,IF(NOT(OR($G117="A - All employees not in groups B, C, J, H, M or Z",$G117="B - Married women and widows entitled to reduced NI",$G117="C - Over the State Pension age",$G117="H - Apprentice under 25",$G117="J – Deferment",$G117="M - Under 21",$G117="Z - Deferment (Under 21)",$G117="Please Enter The NI Cont. in ££££")),$G117,SUM(MAX(MIN(AD117-'Input Data'!$BG$3,'Input Data'!$BG$5-'Input Data'!$BG$3),0)*VLOOKUP($G117,'Input Data'!$BI$3:$BL$10,2,FALSE),MAX(MIN(AD117-'Input Data'!$BG$5,IF(OR($G117="M (under 21)",$G117="Z (under 21 - deferment)"),'Input Data'!$BG$6,IF($G117="H (Apprentice under 25)",'Input Data'!$BG$7,'Input Data'!$BG$8))-'Input Data'!$BG$5),0)*VLOOKUP($G117,'Input Data'!$BI$3:$BL$10,3,FALSE),MAX((AD117-IF(OR($G117="M (under 21)",$G117="Z (under 21 - deferment)"),'Input Data'!$BG$6,IF($G117="H (Apprentice under 25)",'Input Data'!$BG$7,'Input Data'!$BG$8))),0)*VLOOKUP($G117,'Input Data'!$BI$3:$BL$10,4,FALSE))))</f>
        <v>0</v>
      </c>
      <c r="AM117" s="56">
        <f>IF($G117="",0,IF(NOT(OR($G117="A - All employees not in groups B, C, J, H, M or Z",$G117="B - Married women and widows entitled to reduced NI",$G117="C - Over the State Pension age",$G117="H - Apprentice under 25",$G117="J – Deferment",$G117="M - Under 21",$G117="Z - Deferment (Under 21)",$G117="Please Enter The NI Cont. in ££££")),$G117,SUM(MAX(MIN(AE117-'Input Data'!$BG$3,'Input Data'!$BG$5-'Input Data'!$BG$3),0)*VLOOKUP($G117,'Input Data'!$BI$3:$BL$10,2,FALSE),MAX(MIN(AE117-'Input Data'!$BG$5,IF(OR($G117="M (under 21)",$G117="Z (under 21 - deferment)"),'Input Data'!$BG$6,IF($G117="H (Apprentice under 25)",'Input Data'!$BG$7,'Input Data'!$BG$8))-'Input Data'!$BG$5),0)*VLOOKUP($G117,'Input Data'!$BI$3:$BL$10,3,FALSE),MAX((AE117-IF(OR($G117="M (under 21)",$G117="Z (under 21 - deferment)"),'Input Data'!$BG$6,IF($G117="H (Apprentice under 25)",'Input Data'!$BG$7,'Input Data'!$BG$8))),0)*VLOOKUP($G117,'Input Data'!$BI$3:$BL$10,4,FALSE))))</f>
        <v>0</v>
      </c>
      <c r="AN117" s="56">
        <f>IF($G117="",0,IF(NOT(OR($G117="A - All employees not in groups B, C, J, H, M or Z",$G117="B - Married women and widows entitled to reduced NI",$G117="C - Over the State Pension age",$G117="H - Apprentice under 25",$G117="J – Deferment",$G117="M - Under 21",$G117="Z - Deferment (Under 21)",$G117="Please Enter The NI Cont. in ££££")),$G117,SUM(MAX(MIN(AF117-'Input Data'!$BG$3,'Input Data'!$BG$5-'Input Data'!$BG$3),0)*VLOOKUP($G117,'Input Data'!$BI$3:$BL$10,2,FALSE),MAX(MIN(AF117-'Input Data'!$BG$5,IF(OR($G117="M (under 21)",$G117="Z (under 21 - deferment)"),'Input Data'!$BG$6,IF($G117="H (Apprentice under 25)",'Input Data'!$BG$7,'Input Data'!$BG$8))-'Input Data'!$BG$5),0)*VLOOKUP($G117,'Input Data'!$BI$3:$BL$10,3,FALSE),MAX((AF117-IF(OR($G117="M (under 21)",$G117="Z (under 21 - deferment)"),'Input Data'!$BG$6,IF($G117="H (Apprentice under 25)",'Input Data'!$BG$7,'Input Data'!$BG$8))),0)*VLOOKUP($G117,'Input Data'!$BI$3:$BL$10,4,FALSE))))</f>
        <v>0</v>
      </c>
      <c r="AO117" s="56">
        <f>IF($G117="",0,IF(NOT(OR($G117="A - All employees not in groups B, C, J, H, M or Z",$G117="B - Married women and widows entitled to reduced NI",$G117="C - Over the State Pension age",$G117="H - Apprentice under 25",$G117="J – Deferment",$G117="M - Under 21",$G117="Z - Deferment (Under 21)",$G117="Please Enter The NI Cont. in ££££")),$G117,SUM(MAX(MIN(AG117-'Input Data'!$BG$3,'Input Data'!$BG$5-'Input Data'!$BG$3),0)*VLOOKUP($G117,'Input Data'!$BI$3:$BL$10,2,FALSE),MAX(MIN(AG117-'Input Data'!$BG$5,IF(OR($G117="M (under 21)",$G117="Z (under 21 - deferment)"),'Input Data'!$BG$6,IF($G117="H (Apprentice under 25)",'Input Data'!$BG$7,'Input Data'!$BG$8))-'Input Data'!$BG$5),0)*VLOOKUP($G117,'Input Data'!$BI$3:$BL$10,3,FALSE),MAX((AG117-IF(OR($G117="M (under 21)",$G117="Z (under 21 - deferment)"),'Input Data'!$BG$6,IF($G117="H (Apprentice under 25)",'Input Data'!$BG$7,'Input Data'!$BG$8))),0)*VLOOKUP($G117,'Input Data'!$BI$3:$BL$10,4,FALSE))))</f>
        <v>0</v>
      </c>
      <c r="AP117" s="56">
        <f>IF($G117="",0,IF(NOT(OR($G117="A - All employees not in groups B, C, J, H, M or Z",$G117="B - Married women and widows entitled to reduced NI",$G117="C - Over the State Pension age",$G117="H - Apprentice under 25",$G117="J – Deferment",$G117="M - Under 21",$G117="Z - Deferment (Under 21)",$G117="Please Enter The NI Cont. in ££££")),$G117,SUM(MAX(MIN(AH117-'Input Data'!$BG$3,'Input Data'!$BG$5-'Input Data'!$BG$3),0)*VLOOKUP($G117,'Input Data'!$BI$3:$BL$10,2,FALSE),MAX(MIN(AH117-'Input Data'!$BG$5,IF(OR($G117="M (under 21)",$G117="Z (under 21 - deferment)"),'Input Data'!$BG$6,IF($G117="H (Apprentice under 25)",'Input Data'!$BG$7,'Input Data'!$BG$8))-'Input Data'!$BG$5),0)*VLOOKUP($G117,'Input Data'!$BI$3:$BL$10,3,FALSE),MAX((AH117-IF(OR($G117="M (under 21)",$G117="Z (under 21 - deferment)"),'Input Data'!$BG$6,IF($G117="H (Apprentice under 25)",'Input Data'!$BG$7,'Input Data'!$BG$8))),0)*VLOOKUP($G117,'Input Data'!$BI$3:$BL$10,4,FALSE))))</f>
        <v>0</v>
      </c>
      <c r="AQ117" s="56">
        <f>IF($G117="",0,IF(NOT(OR($G117="A - All employees not in groups B, C, J, H, M or Z",$G117="B - Married women and widows entitled to reduced NI",$G117="C - Over the State Pension age",$G117="H - Apprentice under 25",$G117="J – Deferment",$G117="M - Under 21",$G117="Z - Deferment (Under 21)",$G117="Please Enter The NI Cont. in ££££")),$G117,SUM(MAX(MIN(AI117-'Input Data'!$BG$3,'Input Data'!$BG$5-'Input Data'!$BG$3),0)*VLOOKUP($G117,'Input Data'!$BI$3:$BL$10,2,FALSE),MAX(MIN(AI117-'Input Data'!$BG$5,IF(OR($G117="M (under 21)",$G117="Z (under 21 - deferment)"),'Input Data'!$BG$6,IF($G117="H (Apprentice under 25)",'Input Data'!$BG$7,'Input Data'!$BG$8))-'Input Data'!$BG$5),0)*VLOOKUP($G117,'Input Data'!$BI$3:$BL$10,3,FALSE),MAX((AI117-IF(OR($G117="M (under 21)",$G117="Z (under 21 - deferment)"),'Input Data'!$BG$6,IF($G117="H (Apprentice under 25)",'Input Data'!$BG$7,'Input Data'!$BG$8))),0)*VLOOKUP($G117,'Input Data'!$BI$3:$BL$10,4,FALSE))))</f>
        <v>0</v>
      </c>
      <c r="AR117" s="56">
        <f>IF($G117="",0,IF(NOT(OR($G117="A - All employees not in groups B, C, J, H, M or Z",$G117="B - Married women and widows entitled to reduced NI",$G117="C - Over the State Pension age",$G117="H - Apprentice under 25",$G117="J – Deferment",$G117="M - Under 21",$G117="Z - Deferment (Under 21)",$G117="Please Enter The NI Cont. in ££££")),$G117,SUM(MAX(MIN(AJ117-'Input Data'!$BG$3,'Input Data'!$BG$5-'Input Data'!$BG$3),0)*VLOOKUP($G117,'Input Data'!$BI$3:$BL$10,2,FALSE),MAX(MIN(AJ117-'Input Data'!$BG$5,IF(OR($G117="M (under 21)",$G117="Z (under 21 - deferment)"),'Input Data'!$BG$6,IF($G117="H (Apprentice under 25)",'Input Data'!$BG$7,'Input Data'!$BG$8))-'Input Data'!$BG$5),0)*VLOOKUP($G117,'Input Data'!$BI$3:$BL$10,3,FALSE),MAX((AJ117-IF(OR($G117="M (under 21)",$G117="Z (under 21 - deferment)"),'Input Data'!$BG$6,IF($G117="H (Apprentice under 25)",'Input Data'!$BG$7,'Input Data'!$BG$8))),0)*VLOOKUP($G117,'Input Data'!$BI$3:$BL$10,4,FALSE))))</f>
        <v>0</v>
      </c>
      <c r="AS117" s="56">
        <f>AC117*$F117</f>
        <v>0</v>
      </c>
      <c r="AT117" s="56">
        <f>AD117*$F117</f>
        <v>0</v>
      </c>
      <c r="AU117" s="56">
        <f>AE117*$F117</f>
        <v>0</v>
      </c>
      <c r="AV117" s="56">
        <f>AF117*$F117</f>
        <v>0</v>
      </c>
      <c r="AW117" s="56">
        <f>AG117*$F117</f>
        <v>0</v>
      </c>
      <c r="AX117" s="56">
        <f>AH117*$F117</f>
        <v>0</v>
      </c>
      <c r="AY117" s="56">
        <f>AI117*$F117</f>
        <v>0</v>
      </c>
      <c r="AZ117" s="56">
        <f>AJ117*$F117</f>
        <v>0</v>
      </c>
    </row>
    <row r="118" spans="2:52" ht="25.5">
      <c r="B118" s="60"/>
      <c r="C118" s="57" t="s">
        <v>89</v>
      </c>
      <c r="D118" s="58"/>
      <c r="E118" s="58"/>
      <c r="F118" s="535"/>
      <c r="G118" s="693" t="s">
        <v>1149</v>
      </c>
      <c r="H118" s="65"/>
      <c r="I118" s="65"/>
      <c r="J118" s="65"/>
      <c r="K118" s="65"/>
      <c r="L118" s="65"/>
      <c r="M118" s="65"/>
      <c r="N118" s="65"/>
      <c r="O118" s="65"/>
      <c r="P118" s="29"/>
      <c r="Q118" s="597"/>
      <c r="R118" s="61"/>
      <c r="T118" s="43">
        <f>SUM(AC118,AK118,AS118)</f>
        <v>0</v>
      </c>
      <c r="U118" s="43">
        <f>SUM(AD118,AL118,AT118)</f>
        <v>0</v>
      </c>
      <c r="V118" s="43">
        <f>SUM(AE118,AM118,AU118)</f>
        <v>0</v>
      </c>
      <c r="W118" s="43">
        <f>SUM(AF118,AN118,AV118)</f>
        <v>0</v>
      </c>
      <c r="X118" s="43">
        <f>SUM(AG118,AO118,AW118)</f>
        <v>0</v>
      </c>
      <c r="Y118" s="43">
        <f>SUM(AH118,AP118,AX118)</f>
        <v>0</v>
      </c>
      <c r="Z118" s="43">
        <f>SUM(AI118,AQ118,AY118)</f>
        <v>0</v>
      </c>
      <c r="AA118" s="43">
        <f>SUM(AJ118,AR118,AZ118)</f>
        <v>0</v>
      </c>
      <c r="AC118" s="631">
        <f>SUM($D118:$E118)*H118</f>
        <v>0</v>
      </c>
      <c r="AD118" s="631">
        <f>SUM($D118:$E118)*I118</f>
        <v>0</v>
      </c>
      <c r="AE118" s="631">
        <f>SUM($D118:$E118)*J118</f>
        <v>0</v>
      </c>
      <c r="AF118" s="631">
        <f>SUM($D118:$E118)*K118</f>
        <v>0</v>
      </c>
      <c r="AG118" s="631">
        <f>SUM($D118:$E118)*L118</f>
        <v>0</v>
      </c>
      <c r="AH118" s="631">
        <f>SUM($D118:$E118)*M118</f>
        <v>0</v>
      </c>
      <c r="AI118" s="631">
        <f>SUM($D118:$E118)*N118</f>
        <v>0</v>
      </c>
      <c r="AJ118" s="631">
        <f>SUM($D118:$E118)*O118</f>
        <v>0</v>
      </c>
      <c r="AK118" s="56">
        <f>IF($G118="",0,IF(NOT(OR($G118="A - All employees not in groups B, C, J, H, M or Z",$G118="B - Married women and widows entitled to reduced NI",$G118="C - Over the State Pension age",$G118="H - Apprentice under 25",$G118="J – Deferment",$G118="M - Under 21",$G118="Z - Deferment (Under 21)",$G118="Please Enter The NI Cont. in ££££")),$G118,SUM(MAX(MIN(AC118-'Input Data'!$BG$3,'Input Data'!$BG$5-'Input Data'!$BG$3),0)*VLOOKUP($G118,'Input Data'!$BI$3:$BL$10,2,FALSE),MAX(MIN(AC118-'Input Data'!$BG$5,IF(OR($G118="M (under 21)",$G118="Z (under 21 - deferment)"),'Input Data'!$BG$6,IF($G118="H (Apprentice under 25)",'Input Data'!$BG$7,'Input Data'!$BG$8))-'Input Data'!$BG$5),0)*VLOOKUP($G118,'Input Data'!$BI$3:$BL$10,3,FALSE),MAX((AC118-IF(OR($G118="M (under 21)",$G118="Z (under 21 - deferment)"),'Input Data'!$BG$6,IF($G118="H (Apprentice under 25)",'Input Data'!$BG$7,'Input Data'!$BG$8))),0)*VLOOKUP($G118,'Input Data'!$BI$3:$BL$10,4,FALSE))))</f>
        <v>0</v>
      </c>
      <c r="AL118" s="56">
        <f>IF($G118="",0,IF(NOT(OR($G118="A - All employees not in groups B, C, J, H, M or Z",$G118="B - Married women and widows entitled to reduced NI",$G118="C - Over the State Pension age",$G118="H - Apprentice under 25",$G118="J – Deferment",$G118="M - Under 21",$G118="Z - Deferment (Under 21)",$G118="Please Enter The NI Cont. in ££££")),$G118,SUM(MAX(MIN(AD118-'Input Data'!$BG$3,'Input Data'!$BG$5-'Input Data'!$BG$3),0)*VLOOKUP($G118,'Input Data'!$BI$3:$BL$10,2,FALSE),MAX(MIN(AD118-'Input Data'!$BG$5,IF(OR($G118="M (under 21)",$G118="Z (under 21 - deferment)"),'Input Data'!$BG$6,IF($G118="H (Apprentice under 25)",'Input Data'!$BG$7,'Input Data'!$BG$8))-'Input Data'!$BG$5),0)*VLOOKUP($G118,'Input Data'!$BI$3:$BL$10,3,FALSE),MAX((AD118-IF(OR($G118="M (under 21)",$G118="Z (under 21 - deferment)"),'Input Data'!$BG$6,IF($G118="H (Apprentice under 25)",'Input Data'!$BG$7,'Input Data'!$BG$8))),0)*VLOOKUP($G118,'Input Data'!$BI$3:$BL$10,4,FALSE))))</f>
        <v>0</v>
      </c>
      <c r="AM118" s="56">
        <f>IF($G118="",0,IF(NOT(OR($G118="A - All employees not in groups B, C, J, H, M or Z",$G118="B - Married women and widows entitled to reduced NI",$G118="C - Over the State Pension age",$G118="H - Apprentice under 25",$G118="J – Deferment",$G118="M - Under 21",$G118="Z - Deferment (Under 21)",$G118="Please Enter The NI Cont. in ££££")),$G118,SUM(MAX(MIN(AE118-'Input Data'!$BG$3,'Input Data'!$BG$5-'Input Data'!$BG$3),0)*VLOOKUP($G118,'Input Data'!$BI$3:$BL$10,2,FALSE),MAX(MIN(AE118-'Input Data'!$BG$5,IF(OR($G118="M (under 21)",$G118="Z (under 21 - deferment)"),'Input Data'!$BG$6,IF($G118="H (Apprentice under 25)",'Input Data'!$BG$7,'Input Data'!$BG$8))-'Input Data'!$BG$5),0)*VLOOKUP($G118,'Input Data'!$BI$3:$BL$10,3,FALSE),MAX((AE118-IF(OR($G118="M (under 21)",$G118="Z (under 21 - deferment)"),'Input Data'!$BG$6,IF($G118="H (Apprentice under 25)",'Input Data'!$BG$7,'Input Data'!$BG$8))),0)*VLOOKUP($G118,'Input Data'!$BI$3:$BL$10,4,FALSE))))</f>
        <v>0</v>
      </c>
      <c r="AN118" s="56">
        <f>IF($G118="",0,IF(NOT(OR($G118="A - All employees not in groups B, C, J, H, M or Z",$G118="B - Married women and widows entitled to reduced NI",$G118="C - Over the State Pension age",$G118="H - Apprentice under 25",$G118="J – Deferment",$G118="M - Under 21",$G118="Z - Deferment (Under 21)",$G118="Please Enter The NI Cont. in ££££")),$G118,SUM(MAX(MIN(AF118-'Input Data'!$BG$3,'Input Data'!$BG$5-'Input Data'!$BG$3),0)*VLOOKUP($G118,'Input Data'!$BI$3:$BL$10,2,FALSE),MAX(MIN(AF118-'Input Data'!$BG$5,IF(OR($G118="M (under 21)",$G118="Z (under 21 - deferment)"),'Input Data'!$BG$6,IF($G118="H (Apprentice under 25)",'Input Data'!$BG$7,'Input Data'!$BG$8))-'Input Data'!$BG$5),0)*VLOOKUP($G118,'Input Data'!$BI$3:$BL$10,3,FALSE),MAX((AF118-IF(OR($G118="M (under 21)",$G118="Z (under 21 - deferment)"),'Input Data'!$BG$6,IF($G118="H (Apprentice under 25)",'Input Data'!$BG$7,'Input Data'!$BG$8))),0)*VLOOKUP($G118,'Input Data'!$BI$3:$BL$10,4,FALSE))))</f>
        <v>0</v>
      </c>
      <c r="AO118" s="56">
        <f>IF($G118="",0,IF(NOT(OR($G118="A - All employees not in groups B, C, J, H, M or Z",$G118="B - Married women and widows entitled to reduced NI",$G118="C - Over the State Pension age",$G118="H - Apprentice under 25",$G118="J – Deferment",$G118="M - Under 21",$G118="Z - Deferment (Under 21)",$G118="Please Enter The NI Cont. in ££££")),$G118,SUM(MAX(MIN(AG118-'Input Data'!$BG$3,'Input Data'!$BG$5-'Input Data'!$BG$3),0)*VLOOKUP($G118,'Input Data'!$BI$3:$BL$10,2,FALSE),MAX(MIN(AG118-'Input Data'!$BG$5,IF(OR($G118="M (under 21)",$G118="Z (under 21 - deferment)"),'Input Data'!$BG$6,IF($G118="H (Apprentice under 25)",'Input Data'!$BG$7,'Input Data'!$BG$8))-'Input Data'!$BG$5),0)*VLOOKUP($G118,'Input Data'!$BI$3:$BL$10,3,FALSE),MAX((AG118-IF(OR($G118="M (under 21)",$G118="Z (under 21 - deferment)"),'Input Data'!$BG$6,IF($G118="H (Apprentice under 25)",'Input Data'!$BG$7,'Input Data'!$BG$8))),0)*VLOOKUP($G118,'Input Data'!$BI$3:$BL$10,4,FALSE))))</f>
        <v>0</v>
      </c>
      <c r="AP118" s="56">
        <f>IF($G118="",0,IF(NOT(OR($G118="A - All employees not in groups B, C, J, H, M or Z",$G118="B - Married women and widows entitled to reduced NI",$G118="C - Over the State Pension age",$G118="H - Apprentice under 25",$G118="J – Deferment",$G118="M - Under 21",$G118="Z - Deferment (Under 21)",$G118="Please Enter The NI Cont. in ££££")),$G118,SUM(MAX(MIN(AH118-'Input Data'!$BG$3,'Input Data'!$BG$5-'Input Data'!$BG$3),0)*VLOOKUP($G118,'Input Data'!$BI$3:$BL$10,2,FALSE),MAX(MIN(AH118-'Input Data'!$BG$5,IF(OR($G118="M (under 21)",$G118="Z (under 21 - deferment)"),'Input Data'!$BG$6,IF($G118="H (Apprentice under 25)",'Input Data'!$BG$7,'Input Data'!$BG$8))-'Input Data'!$BG$5),0)*VLOOKUP($G118,'Input Data'!$BI$3:$BL$10,3,FALSE),MAX((AH118-IF(OR($G118="M (under 21)",$G118="Z (under 21 - deferment)"),'Input Data'!$BG$6,IF($G118="H (Apprentice under 25)",'Input Data'!$BG$7,'Input Data'!$BG$8))),0)*VLOOKUP($G118,'Input Data'!$BI$3:$BL$10,4,FALSE))))</f>
        <v>0</v>
      </c>
      <c r="AQ118" s="56">
        <f>IF($G118="",0,IF(NOT(OR($G118="A - All employees not in groups B, C, J, H, M or Z",$G118="B - Married women and widows entitled to reduced NI",$G118="C - Over the State Pension age",$G118="H - Apprentice under 25",$G118="J – Deferment",$G118="M - Under 21",$G118="Z - Deferment (Under 21)",$G118="Please Enter The NI Cont. in ££££")),$G118,SUM(MAX(MIN(AI118-'Input Data'!$BG$3,'Input Data'!$BG$5-'Input Data'!$BG$3),0)*VLOOKUP($G118,'Input Data'!$BI$3:$BL$10,2,FALSE),MAX(MIN(AI118-'Input Data'!$BG$5,IF(OR($G118="M (under 21)",$G118="Z (under 21 - deferment)"),'Input Data'!$BG$6,IF($G118="H (Apprentice under 25)",'Input Data'!$BG$7,'Input Data'!$BG$8))-'Input Data'!$BG$5),0)*VLOOKUP($G118,'Input Data'!$BI$3:$BL$10,3,FALSE),MAX((AI118-IF(OR($G118="M (under 21)",$G118="Z (under 21 - deferment)"),'Input Data'!$BG$6,IF($G118="H (Apprentice under 25)",'Input Data'!$BG$7,'Input Data'!$BG$8))),0)*VLOOKUP($G118,'Input Data'!$BI$3:$BL$10,4,FALSE))))</f>
        <v>0</v>
      </c>
      <c r="AR118" s="56">
        <f>IF($G118="",0,IF(NOT(OR($G118="A - All employees not in groups B, C, J, H, M or Z",$G118="B - Married women and widows entitled to reduced NI",$G118="C - Over the State Pension age",$G118="H - Apprentice under 25",$G118="J – Deferment",$G118="M - Under 21",$G118="Z - Deferment (Under 21)",$G118="Please Enter The NI Cont. in ££££")),$G118,SUM(MAX(MIN(AJ118-'Input Data'!$BG$3,'Input Data'!$BG$5-'Input Data'!$BG$3),0)*VLOOKUP($G118,'Input Data'!$BI$3:$BL$10,2,FALSE),MAX(MIN(AJ118-'Input Data'!$BG$5,IF(OR($G118="M (under 21)",$G118="Z (under 21 - deferment)"),'Input Data'!$BG$6,IF($G118="H (Apprentice under 25)",'Input Data'!$BG$7,'Input Data'!$BG$8))-'Input Data'!$BG$5),0)*VLOOKUP($G118,'Input Data'!$BI$3:$BL$10,3,FALSE),MAX((AJ118-IF(OR($G118="M (under 21)",$G118="Z (under 21 - deferment)"),'Input Data'!$BG$6,IF($G118="H (Apprentice under 25)",'Input Data'!$BG$7,'Input Data'!$BG$8))),0)*VLOOKUP($G118,'Input Data'!$BI$3:$BL$10,4,FALSE))))</f>
        <v>0</v>
      </c>
      <c r="AS118" s="56">
        <f>AC118*$F118</f>
        <v>0</v>
      </c>
      <c r="AT118" s="56">
        <f>AD118*$F118</f>
        <v>0</v>
      </c>
      <c r="AU118" s="56">
        <f>AE118*$F118</f>
        <v>0</v>
      </c>
      <c r="AV118" s="56">
        <f>AF118*$F118</f>
        <v>0</v>
      </c>
      <c r="AW118" s="56">
        <f>AG118*$F118</f>
        <v>0</v>
      </c>
      <c r="AX118" s="56">
        <f>AH118*$F118</f>
        <v>0</v>
      </c>
      <c r="AY118" s="56">
        <f>AI118*$F118</f>
        <v>0</v>
      </c>
      <c r="AZ118" s="56">
        <f>AJ118*$F118</f>
        <v>0</v>
      </c>
    </row>
    <row r="119" spans="2:52" ht="25.5">
      <c r="B119" s="60"/>
      <c r="C119" s="57" t="s">
        <v>90</v>
      </c>
      <c r="D119" s="58"/>
      <c r="E119" s="58"/>
      <c r="F119" s="535"/>
      <c r="G119" s="693" t="s">
        <v>1149</v>
      </c>
      <c r="H119" s="65"/>
      <c r="I119" s="65"/>
      <c r="J119" s="65"/>
      <c r="K119" s="65"/>
      <c r="L119" s="65"/>
      <c r="M119" s="65"/>
      <c r="N119" s="65"/>
      <c r="O119" s="65"/>
      <c r="P119" s="29"/>
      <c r="Q119" s="597"/>
      <c r="R119" s="61"/>
      <c r="T119" s="43">
        <f>SUM(AC119,AK119,AS119)</f>
        <v>0</v>
      </c>
      <c r="U119" s="43">
        <f>SUM(AD119,AL119,AT119)</f>
        <v>0</v>
      </c>
      <c r="V119" s="43">
        <f>SUM(AE119,AM119,AU119)</f>
        <v>0</v>
      </c>
      <c r="W119" s="43">
        <f>SUM(AF119,AN119,AV119)</f>
        <v>0</v>
      </c>
      <c r="X119" s="43">
        <f>SUM(AG119,AO119,AW119)</f>
        <v>0</v>
      </c>
      <c r="Y119" s="43">
        <f>SUM(AH119,AP119,AX119)</f>
        <v>0</v>
      </c>
      <c r="Z119" s="43">
        <f>SUM(AI119,AQ119,AY119)</f>
        <v>0</v>
      </c>
      <c r="AA119" s="43">
        <f>SUM(AJ119,AR119,AZ119)</f>
        <v>0</v>
      </c>
      <c r="AC119" s="631">
        <f>SUM($D119:$E119)*H119</f>
        <v>0</v>
      </c>
      <c r="AD119" s="631">
        <f>SUM($D119:$E119)*I119</f>
        <v>0</v>
      </c>
      <c r="AE119" s="631">
        <f>SUM($D119:$E119)*J119</f>
        <v>0</v>
      </c>
      <c r="AF119" s="631">
        <f>SUM($D119:$E119)*K119</f>
        <v>0</v>
      </c>
      <c r="AG119" s="631">
        <f>SUM($D119:$E119)*L119</f>
        <v>0</v>
      </c>
      <c r="AH119" s="631">
        <f>SUM($D119:$E119)*M119</f>
        <v>0</v>
      </c>
      <c r="AI119" s="631">
        <f>SUM($D119:$E119)*N119</f>
        <v>0</v>
      </c>
      <c r="AJ119" s="631">
        <f>SUM($D119:$E119)*O119</f>
        <v>0</v>
      </c>
      <c r="AK119" s="56">
        <f>IF($G119="",0,IF(NOT(OR($G119="A - All employees not in groups B, C, J, H, M or Z",$G119="B - Married women and widows entitled to reduced NI",$G119="C - Over the State Pension age",$G119="H - Apprentice under 25",$G119="J – Deferment",$G119="M - Under 21",$G119="Z - Deferment (Under 21)",$G119="Please Enter The NI Cont. in ££££")),$G119,SUM(MAX(MIN(AC119-'Input Data'!$BG$3,'Input Data'!$BG$5-'Input Data'!$BG$3),0)*VLOOKUP($G119,'Input Data'!$BI$3:$BL$10,2,FALSE),MAX(MIN(AC119-'Input Data'!$BG$5,IF(OR($G119="M (under 21)",$G119="Z (under 21 - deferment)"),'Input Data'!$BG$6,IF($G119="H (Apprentice under 25)",'Input Data'!$BG$7,'Input Data'!$BG$8))-'Input Data'!$BG$5),0)*VLOOKUP($G119,'Input Data'!$BI$3:$BL$10,3,FALSE),MAX((AC119-IF(OR($G119="M (under 21)",$G119="Z (under 21 - deferment)"),'Input Data'!$BG$6,IF($G119="H (Apprentice under 25)",'Input Data'!$BG$7,'Input Data'!$BG$8))),0)*VLOOKUP($G119,'Input Data'!$BI$3:$BL$10,4,FALSE))))</f>
        <v>0</v>
      </c>
      <c r="AL119" s="56">
        <f>IF($G119="",0,IF(NOT(OR($G119="A - All employees not in groups B, C, J, H, M or Z",$G119="B - Married women and widows entitled to reduced NI",$G119="C - Over the State Pension age",$G119="H - Apprentice under 25",$G119="J – Deferment",$G119="M - Under 21",$G119="Z - Deferment (Under 21)",$G119="Please Enter The NI Cont. in ££££")),$G119,SUM(MAX(MIN(AD119-'Input Data'!$BG$3,'Input Data'!$BG$5-'Input Data'!$BG$3),0)*VLOOKUP($G119,'Input Data'!$BI$3:$BL$10,2,FALSE),MAX(MIN(AD119-'Input Data'!$BG$5,IF(OR($G119="M (under 21)",$G119="Z (under 21 - deferment)"),'Input Data'!$BG$6,IF($G119="H (Apprentice under 25)",'Input Data'!$BG$7,'Input Data'!$BG$8))-'Input Data'!$BG$5),0)*VLOOKUP($G119,'Input Data'!$BI$3:$BL$10,3,FALSE),MAX((AD119-IF(OR($G119="M (under 21)",$G119="Z (under 21 - deferment)"),'Input Data'!$BG$6,IF($G119="H (Apprentice under 25)",'Input Data'!$BG$7,'Input Data'!$BG$8))),0)*VLOOKUP($G119,'Input Data'!$BI$3:$BL$10,4,FALSE))))</f>
        <v>0</v>
      </c>
      <c r="AM119" s="56">
        <f>IF($G119="",0,IF(NOT(OR($G119="A - All employees not in groups B, C, J, H, M or Z",$G119="B - Married women and widows entitled to reduced NI",$G119="C - Over the State Pension age",$G119="H - Apprentice under 25",$G119="J – Deferment",$G119="M - Under 21",$G119="Z - Deferment (Under 21)",$G119="Please Enter The NI Cont. in ££££")),$G119,SUM(MAX(MIN(AE119-'Input Data'!$BG$3,'Input Data'!$BG$5-'Input Data'!$BG$3),0)*VLOOKUP($G119,'Input Data'!$BI$3:$BL$10,2,FALSE),MAX(MIN(AE119-'Input Data'!$BG$5,IF(OR($G119="M (under 21)",$G119="Z (under 21 - deferment)"),'Input Data'!$BG$6,IF($G119="H (Apprentice under 25)",'Input Data'!$BG$7,'Input Data'!$BG$8))-'Input Data'!$BG$5),0)*VLOOKUP($G119,'Input Data'!$BI$3:$BL$10,3,FALSE),MAX((AE119-IF(OR($G119="M (under 21)",$G119="Z (under 21 - deferment)"),'Input Data'!$BG$6,IF($G119="H (Apprentice under 25)",'Input Data'!$BG$7,'Input Data'!$BG$8))),0)*VLOOKUP($G119,'Input Data'!$BI$3:$BL$10,4,FALSE))))</f>
        <v>0</v>
      </c>
      <c r="AN119" s="56">
        <f>IF($G119="",0,IF(NOT(OR($G119="A - All employees not in groups B, C, J, H, M or Z",$G119="B - Married women and widows entitled to reduced NI",$G119="C - Over the State Pension age",$G119="H - Apprentice under 25",$G119="J – Deferment",$G119="M - Under 21",$G119="Z - Deferment (Under 21)",$G119="Please Enter The NI Cont. in ££££")),$G119,SUM(MAX(MIN(AF119-'Input Data'!$BG$3,'Input Data'!$BG$5-'Input Data'!$BG$3),0)*VLOOKUP($G119,'Input Data'!$BI$3:$BL$10,2,FALSE),MAX(MIN(AF119-'Input Data'!$BG$5,IF(OR($G119="M (under 21)",$G119="Z (under 21 - deferment)"),'Input Data'!$BG$6,IF($G119="H (Apprentice under 25)",'Input Data'!$BG$7,'Input Data'!$BG$8))-'Input Data'!$BG$5),0)*VLOOKUP($G119,'Input Data'!$BI$3:$BL$10,3,FALSE),MAX((AF119-IF(OR($G119="M (under 21)",$G119="Z (under 21 - deferment)"),'Input Data'!$BG$6,IF($G119="H (Apprentice under 25)",'Input Data'!$BG$7,'Input Data'!$BG$8))),0)*VLOOKUP($G119,'Input Data'!$BI$3:$BL$10,4,FALSE))))</f>
        <v>0</v>
      </c>
      <c r="AO119" s="56">
        <f>IF($G119="",0,IF(NOT(OR($G119="A - All employees not in groups B, C, J, H, M or Z",$G119="B - Married women and widows entitled to reduced NI",$G119="C - Over the State Pension age",$G119="H - Apprentice under 25",$G119="J – Deferment",$G119="M - Under 21",$G119="Z - Deferment (Under 21)",$G119="Please Enter The NI Cont. in ££££")),$G119,SUM(MAX(MIN(AG119-'Input Data'!$BG$3,'Input Data'!$BG$5-'Input Data'!$BG$3),0)*VLOOKUP($G119,'Input Data'!$BI$3:$BL$10,2,FALSE),MAX(MIN(AG119-'Input Data'!$BG$5,IF(OR($G119="M (under 21)",$G119="Z (under 21 - deferment)"),'Input Data'!$BG$6,IF($G119="H (Apprentice under 25)",'Input Data'!$BG$7,'Input Data'!$BG$8))-'Input Data'!$BG$5),0)*VLOOKUP($G119,'Input Data'!$BI$3:$BL$10,3,FALSE),MAX((AG119-IF(OR($G119="M (under 21)",$G119="Z (under 21 - deferment)"),'Input Data'!$BG$6,IF($G119="H (Apprentice under 25)",'Input Data'!$BG$7,'Input Data'!$BG$8))),0)*VLOOKUP($G119,'Input Data'!$BI$3:$BL$10,4,FALSE))))</f>
        <v>0</v>
      </c>
      <c r="AP119" s="56">
        <f>IF($G119="",0,IF(NOT(OR($G119="A - All employees not in groups B, C, J, H, M or Z",$G119="B - Married women and widows entitled to reduced NI",$G119="C - Over the State Pension age",$G119="H - Apprentice under 25",$G119="J – Deferment",$G119="M - Under 21",$G119="Z - Deferment (Under 21)",$G119="Please Enter The NI Cont. in ££££")),$G119,SUM(MAX(MIN(AH119-'Input Data'!$BG$3,'Input Data'!$BG$5-'Input Data'!$BG$3),0)*VLOOKUP($G119,'Input Data'!$BI$3:$BL$10,2,FALSE),MAX(MIN(AH119-'Input Data'!$BG$5,IF(OR($G119="M (under 21)",$G119="Z (under 21 - deferment)"),'Input Data'!$BG$6,IF($G119="H (Apprentice under 25)",'Input Data'!$BG$7,'Input Data'!$BG$8))-'Input Data'!$BG$5),0)*VLOOKUP($G119,'Input Data'!$BI$3:$BL$10,3,FALSE),MAX((AH119-IF(OR($G119="M (under 21)",$G119="Z (under 21 - deferment)"),'Input Data'!$BG$6,IF($G119="H (Apprentice under 25)",'Input Data'!$BG$7,'Input Data'!$BG$8))),0)*VLOOKUP($G119,'Input Data'!$BI$3:$BL$10,4,FALSE))))</f>
        <v>0</v>
      </c>
      <c r="AQ119" s="56">
        <f>IF($G119="",0,IF(NOT(OR($G119="A - All employees not in groups B, C, J, H, M or Z",$G119="B - Married women and widows entitled to reduced NI",$G119="C - Over the State Pension age",$G119="H - Apprentice under 25",$G119="J – Deferment",$G119="M - Under 21",$G119="Z - Deferment (Under 21)",$G119="Please Enter The NI Cont. in ££££")),$G119,SUM(MAX(MIN(AI119-'Input Data'!$BG$3,'Input Data'!$BG$5-'Input Data'!$BG$3),0)*VLOOKUP($G119,'Input Data'!$BI$3:$BL$10,2,FALSE),MAX(MIN(AI119-'Input Data'!$BG$5,IF(OR($G119="M (under 21)",$G119="Z (under 21 - deferment)"),'Input Data'!$BG$6,IF($G119="H (Apprentice under 25)",'Input Data'!$BG$7,'Input Data'!$BG$8))-'Input Data'!$BG$5),0)*VLOOKUP($G119,'Input Data'!$BI$3:$BL$10,3,FALSE),MAX((AI119-IF(OR($G119="M (under 21)",$G119="Z (under 21 - deferment)"),'Input Data'!$BG$6,IF($G119="H (Apprentice under 25)",'Input Data'!$BG$7,'Input Data'!$BG$8))),0)*VLOOKUP($G119,'Input Data'!$BI$3:$BL$10,4,FALSE))))</f>
        <v>0</v>
      </c>
      <c r="AR119" s="56">
        <f>IF($G119="",0,IF(NOT(OR($G119="A - All employees not in groups B, C, J, H, M or Z",$G119="B - Married women and widows entitled to reduced NI",$G119="C - Over the State Pension age",$G119="H - Apprentice under 25",$G119="J – Deferment",$G119="M - Under 21",$G119="Z - Deferment (Under 21)",$G119="Please Enter The NI Cont. in ££££")),$G119,SUM(MAX(MIN(AJ119-'Input Data'!$BG$3,'Input Data'!$BG$5-'Input Data'!$BG$3),0)*VLOOKUP($G119,'Input Data'!$BI$3:$BL$10,2,FALSE),MAX(MIN(AJ119-'Input Data'!$BG$5,IF(OR($G119="M (under 21)",$G119="Z (under 21 - deferment)"),'Input Data'!$BG$6,IF($G119="H (Apprentice under 25)",'Input Data'!$BG$7,'Input Data'!$BG$8))-'Input Data'!$BG$5),0)*VLOOKUP($G119,'Input Data'!$BI$3:$BL$10,3,FALSE),MAX((AJ119-IF(OR($G119="M (under 21)",$G119="Z (under 21 - deferment)"),'Input Data'!$BG$6,IF($G119="H (Apprentice under 25)",'Input Data'!$BG$7,'Input Data'!$BG$8))),0)*VLOOKUP($G119,'Input Data'!$BI$3:$BL$10,4,FALSE))))</f>
        <v>0</v>
      </c>
      <c r="AS119" s="56">
        <f>AC119*$F119</f>
        <v>0</v>
      </c>
      <c r="AT119" s="56">
        <f>AD119*$F119</f>
        <v>0</v>
      </c>
      <c r="AU119" s="56">
        <f>AE119*$F119</f>
        <v>0</v>
      </c>
      <c r="AV119" s="56">
        <f>AF119*$F119</f>
        <v>0</v>
      </c>
      <c r="AW119" s="56">
        <f>AG119*$F119</f>
        <v>0</v>
      </c>
      <c r="AX119" s="56">
        <f>AH119*$F119</f>
        <v>0</v>
      </c>
      <c r="AY119" s="56">
        <f>AI119*$F119</f>
        <v>0</v>
      </c>
      <c r="AZ119" s="56">
        <f>AJ119*$F119</f>
        <v>0</v>
      </c>
    </row>
    <row r="120" spans="2:52" ht="25.5">
      <c r="B120" s="60"/>
      <c r="C120" s="57" t="s">
        <v>91</v>
      </c>
      <c r="D120" s="58"/>
      <c r="E120" s="58"/>
      <c r="F120" s="535"/>
      <c r="G120" s="693" t="s">
        <v>1149</v>
      </c>
      <c r="H120" s="65"/>
      <c r="I120" s="65"/>
      <c r="J120" s="65"/>
      <c r="K120" s="65"/>
      <c r="L120" s="65"/>
      <c r="M120" s="65"/>
      <c r="N120" s="65"/>
      <c r="O120" s="65"/>
      <c r="P120" s="29"/>
      <c r="Q120" s="597"/>
      <c r="R120" s="61"/>
      <c r="T120" s="43">
        <f>SUM(AC120,AK120,AS120)</f>
        <v>0</v>
      </c>
      <c r="U120" s="43">
        <f>SUM(AD120,AL120,AT120)</f>
        <v>0</v>
      </c>
      <c r="V120" s="43">
        <f>SUM(AE120,AM120,AU120)</f>
        <v>0</v>
      </c>
      <c r="W120" s="43">
        <f>SUM(AF120,AN120,AV120)</f>
        <v>0</v>
      </c>
      <c r="X120" s="43">
        <f>SUM(AG120,AO120,AW120)</f>
        <v>0</v>
      </c>
      <c r="Y120" s="43">
        <f>SUM(AH120,AP120,AX120)</f>
        <v>0</v>
      </c>
      <c r="Z120" s="43">
        <f>SUM(AI120,AQ120,AY120)</f>
        <v>0</v>
      </c>
      <c r="AA120" s="43">
        <f>SUM(AJ120,AR120,AZ120)</f>
        <v>0</v>
      </c>
      <c r="AC120" s="631">
        <f>SUM($D120:$E120)*H120</f>
        <v>0</v>
      </c>
      <c r="AD120" s="631">
        <f>SUM($D120:$E120)*I120</f>
        <v>0</v>
      </c>
      <c r="AE120" s="631">
        <f>SUM($D120:$E120)*J120</f>
        <v>0</v>
      </c>
      <c r="AF120" s="631">
        <f>SUM($D120:$E120)*K120</f>
        <v>0</v>
      </c>
      <c r="AG120" s="631">
        <f>SUM($D120:$E120)*L120</f>
        <v>0</v>
      </c>
      <c r="AH120" s="631">
        <f>SUM($D120:$E120)*M120</f>
        <v>0</v>
      </c>
      <c r="AI120" s="631">
        <f>SUM($D120:$E120)*N120</f>
        <v>0</v>
      </c>
      <c r="AJ120" s="631">
        <f>SUM($D120:$E120)*O120</f>
        <v>0</v>
      </c>
      <c r="AK120" s="56">
        <f>IF($G120="",0,IF(NOT(OR($G120="A - All employees not in groups B, C, J, H, M or Z",$G120="B - Married women and widows entitled to reduced NI",$G120="C - Over the State Pension age",$G120="H - Apprentice under 25",$G120="J – Deferment",$G120="M - Under 21",$G120="Z - Deferment (Under 21)",$G120="Please Enter The NI Cont. in ££££")),$G120,SUM(MAX(MIN(AC120-'Input Data'!$BG$3,'Input Data'!$BG$5-'Input Data'!$BG$3),0)*VLOOKUP($G120,'Input Data'!$BI$3:$BL$10,2,FALSE),MAX(MIN(AC120-'Input Data'!$BG$5,IF(OR($G120="M (under 21)",$G120="Z (under 21 - deferment)"),'Input Data'!$BG$6,IF($G120="H (Apprentice under 25)",'Input Data'!$BG$7,'Input Data'!$BG$8))-'Input Data'!$BG$5),0)*VLOOKUP($G120,'Input Data'!$BI$3:$BL$10,3,FALSE),MAX((AC120-IF(OR($G120="M (under 21)",$G120="Z (under 21 - deferment)"),'Input Data'!$BG$6,IF($G120="H (Apprentice under 25)",'Input Data'!$BG$7,'Input Data'!$BG$8))),0)*VLOOKUP($G120,'Input Data'!$BI$3:$BL$10,4,FALSE))))</f>
        <v>0</v>
      </c>
      <c r="AL120" s="56">
        <f>IF($G120="",0,IF(NOT(OR($G120="A - All employees not in groups B, C, J, H, M or Z",$G120="B - Married women and widows entitled to reduced NI",$G120="C - Over the State Pension age",$G120="H - Apprentice under 25",$G120="J – Deferment",$G120="M - Under 21",$G120="Z - Deferment (Under 21)",$G120="Please Enter The NI Cont. in ££££")),$G120,SUM(MAX(MIN(AD120-'Input Data'!$BG$3,'Input Data'!$BG$5-'Input Data'!$BG$3),0)*VLOOKUP($G120,'Input Data'!$BI$3:$BL$10,2,FALSE),MAX(MIN(AD120-'Input Data'!$BG$5,IF(OR($G120="M (under 21)",$G120="Z (under 21 - deferment)"),'Input Data'!$BG$6,IF($G120="H (Apprentice under 25)",'Input Data'!$BG$7,'Input Data'!$BG$8))-'Input Data'!$BG$5),0)*VLOOKUP($G120,'Input Data'!$BI$3:$BL$10,3,FALSE),MAX((AD120-IF(OR($G120="M (under 21)",$G120="Z (under 21 - deferment)"),'Input Data'!$BG$6,IF($G120="H (Apprentice under 25)",'Input Data'!$BG$7,'Input Data'!$BG$8))),0)*VLOOKUP($G120,'Input Data'!$BI$3:$BL$10,4,FALSE))))</f>
        <v>0</v>
      </c>
      <c r="AM120" s="56">
        <f>IF($G120="",0,IF(NOT(OR($G120="A - All employees not in groups B, C, J, H, M or Z",$G120="B - Married women and widows entitled to reduced NI",$G120="C - Over the State Pension age",$G120="H - Apprentice under 25",$G120="J – Deferment",$G120="M - Under 21",$G120="Z - Deferment (Under 21)",$G120="Please Enter The NI Cont. in ££££")),$G120,SUM(MAX(MIN(AE120-'Input Data'!$BG$3,'Input Data'!$BG$5-'Input Data'!$BG$3),0)*VLOOKUP($G120,'Input Data'!$BI$3:$BL$10,2,FALSE),MAX(MIN(AE120-'Input Data'!$BG$5,IF(OR($G120="M (under 21)",$G120="Z (under 21 - deferment)"),'Input Data'!$BG$6,IF($G120="H (Apprentice under 25)",'Input Data'!$BG$7,'Input Data'!$BG$8))-'Input Data'!$BG$5),0)*VLOOKUP($G120,'Input Data'!$BI$3:$BL$10,3,FALSE),MAX((AE120-IF(OR($G120="M (under 21)",$G120="Z (under 21 - deferment)"),'Input Data'!$BG$6,IF($G120="H (Apprentice under 25)",'Input Data'!$BG$7,'Input Data'!$BG$8))),0)*VLOOKUP($G120,'Input Data'!$BI$3:$BL$10,4,FALSE))))</f>
        <v>0</v>
      </c>
      <c r="AN120" s="56">
        <f>IF($G120="",0,IF(NOT(OR($G120="A - All employees not in groups B, C, J, H, M or Z",$G120="B - Married women and widows entitled to reduced NI",$G120="C - Over the State Pension age",$G120="H - Apprentice under 25",$G120="J – Deferment",$G120="M - Under 21",$G120="Z - Deferment (Under 21)",$G120="Please Enter The NI Cont. in ££££")),$G120,SUM(MAX(MIN(AF120-'Input Data'!$BG$3,'Input Data'!$BG$5-'Input Data'!$BG$3),0)*VLOOKUP($G120,'Input Data'!$BI$3:$BL$10,2,FALSE),MAX(MIN(AF120-'Input Data'!$BG$5,IF(OR($G120="M (under 21)",$G120="Z (under 21 - deferment)"),'Input Data'!$BG$6,IF($G120="H (Apprentice under 25)",'Input Data'!$BG$7,'Input Data'!$BG$8))-'Input Data'!$BG$5),0)*VLOOKUP($G120,'Input Data'!$BI$3:$BL$10,3,FALSE),MAX((AF120-IF(OR($G120="M (under 21)",$G120="Z (under 21 - deferment)"),'Input Data'!$BG$6,IF($G120="H (Apprentice under 25)",'Input Data'!$BG$7,'Input Data'!$BG$8))),0)*VLOOKUP($G120,'Input Data'!$BI$3:$BL$10,4,FALSE))))</f>
        <v>0</v>
      </c>
      <c r="AO120" s="56">
        <f>IF($G120="",0,IF(NOT(OR($G120="A - All employees not in groups B, C, J, H, M or Z",$G120="B - Married women and widows entitled to reduced NI",$G120="C - Over the State Pension age",$G120="H - Apprentice under 25",$G120="J – Deferment",$G120="M - Under 21",$G120="Z - Deferment (Under 21)",$G120="Please Enter The NI Cont. in ££££")),$G120,SUM(MAX(MIN(AG120-'Input Data'!$BG$3,'Input Data'!$BG$5-'Input Data'!$BG$3),0)*VLOOKUP($G120,'Input Data'!$BI$3:$BL$10,2,FALSE),MAX(MIN(AG120-'Input Data'!$BG$5,IF(OR($G120="M (under 21)",$G120="Z (under 21 - deferment)"),'Input Data'!$BG$6,IF($G120="H (Apprentice under 25)",'Input Data'!$BG$7,'Input Data'!$BG$8))-'Input Data'!$BG$5),0)*VLOOKUP($G120,'Input Data'!$BI$3:$BL$10,3,FALSE),MAX((AG120-IF(OR($G120="M (under 21)",$G120="Z (under 21 - deferment)"),'Input Data'!$BG$6,IF($G120="H (Apprentice under 25)",'Input Data'!$BG$7,'Input Data'!$BG$8))),0)*VLOOKUP($G120,'Input Data'!$BI$3:$BL$10,4,FALSE))))</f>
        <v>0</v>
      </c>
      <c r="AP120" s="56">
        <f>IF($G120="",0,IF(NOT(OR($G120="A - All employees not in groups B, C, J, H, M or Z",$G120="B - Married women and widows entitled to reduced NI",$G120="C - Over the State Pension age",$G120="H - Apprentice under 25",$G120="J – Deferment",$G120="M - Under 21",$G120="Z - Deferment (Under 21)",$G120="Please Enter The NI Cont. in ££££")),$G120,SUM(MAX(MIN(AH120-'Input Data'!$BG$3,'Input Data'!$BG$5-'Input Data'!$BG$3),0)*VLOOKUP($G120,'Input Data'!$BI$3:$BL$10,2,FALSE),MAX(MIN(AH120-'Input Data'!$BG$5,IF(OR($G120="M (under 21)",$G120="Z (under 21 - deferment)"),'Input Data'!$BG$6,IF($G120="H (Apprentice under 25)",'Input Data'!$BG$7,'Input Data'!$BG$8))-'Input Data'!$BG$5),0)*VLOOKUP($G120,'Input Data'!$BI$3:$BL$10,3,FALSE),MAX((AH120-IF(OR($G120="M (under 21)",$G120="Z (under 21 - deferment)"),'Input Data'!$BG$6,IF($G120="H (Apprentice under 25)",'Input Data'!$BG$7,'Input Data'!$BG$8))),0)*VLOOKUP($G120,'Input Data'!$BI$3:$BL$10,4,FALSE))))</f>
        <v>0</v>
      </c>
      <c r="AQ120" s="56">
        <f>IF($G120="",0,IF(NOT(OR($G120="A - All employees not in groups B, C, J, H, M or Z",$G120="B - Married women and widows entitled to reduced NI",$G120="C - Over the State Pension age",$G120="H - Apprentice under 25",$G120="J – Deferment",$G120="M - Under 21",$G120="Z - Deferment (Under 21)",$G120="Please Enter The NI Cont. in ££££")),$G120,SUM(MAX(MIN(AI120-'Input Data'!$BG$3,'Input Data'!$BG$5-'Input Data'!$BG$3),0)*VLOOKUP($G120,'Input Data'!$BI$3:$BL$10,2,FALSE),MAX(MIN(AI120-'Input Data'!$BG$5,IF(OR($G120="M (under 21)",$G120="Z (under 21 - deferment)"),'Input Data'!$BG$6,IF($G120="H (Apprentice under 25)",'Input Data'!$BG$7,'Input Data'!$BG$8))-'Input Data'!$BG$5),0)*VLOOKUP($G120,'Input Data'!$BI$3:$BL$10,3,FALSE),MAX((AI120-IF(OR($G120="M (under 21)",$G120="Z (under 21 - deferment)"),'Input Data'!$BG$6,IF($G120="H (Apprentice under 25)",'Input Data'!$BG$7,'Input Data'!$BG$8))),0)*VLOOKUP($G120,'Input Data'!$BI$3:$BL$10,4,FALSE))))</f>
        <v>0</v>
      </c>
      <c r="AR120" s="56">
        <f>IF($G120="",0,IF(NOT(OR($G120="A - All employees not in groups B, C, J, H, M or Z",$G120="B - Married women and widows entitled to reduced NI",$G120="C - Over the State Pension age",$G120="H - Apprentice under 25",$G120="J – Deferment",$G120="M - Under 21",$G120="Z - Deferment (Under 21)",$G120="Please Enter The NI Cont. in ££££")),$G120,SUM(MAX(MIN(AJ120-'Input Data'!$BG$3,'Input Data'!$BG$5-'Input Data'!$BG$3),0)*VLOOKUP($G120,'Input Data'!$BI$3:$BL$10,2,FALSE),MAX(MIN(AJ120-'Input Data'!$BG$5,IF(OR($G120="M (under 21)",$G120="Z (under 21 - deferment)"),'Input Data'!$BG$6,IF($G120="H (Apprentice under 25)",'Input Data'!$BG$7,'Input Data'!$BG$8))-'Input Data'!$BG$5),0)*VLOOKUP($G120,'Input Data'!$BI$3:$BL$10,3,FALSE),MAX((AJ120-IF(OR($G120="M (under 21)",$G120="Z (under 21 - deferment)"),'Input Data'!$BG$6,IF($G120="H (Apprentice under 25)",'Input Data'!$BG$7,'Input Data'!$BG$8))),0)*VLOOKUP($G120,'Input Data'!$BI$3:$BL$10,4,FALSE))))</f>
        <v>0</v>
      </c>
      <c r="AS120" s="56">
        <f>AC120*$F120</f>
        <v>0</v>
      </c>
      <c r="AT120" s="56">
        <f>AD120*$F120</f>
        <v>0</v>
      </c>
      <c r="AU120" s="56">
        <f>AE120*$F120</f>
        <v>0</v>
      </c>
      <c r="AV120" s="56">
        <f>AF120*$F120</f>
        <v>0</v>
      </c>
      <c r="AW120" s="56">
        <f>AG120*$F120</f>
        <v>0</v>
      </c>
      <c r="AX120" s="56">
        <f>AH120*$F120</f>
        <v>0</v>
      </c>
      <c r="AY120" s="56">
        <f>AI120*$F120</f>
        <v>0</v>
      </c>
      <c r="AZ120" s="56">
        <f>AJ120*$F120</f>
        <v>0</v>
      </c>
    </row>
    <row r="121" spans="2:52" ht="25.5">
      <c r="B121" s="60"/>
      <c r="C121" s="57" t="s">
        <v>92</v>
      </c>
      <c r="D121" s="58"/>
      <c r="E121" s="58"/>
      <c r="F121" s="535"/>
      <c r="G121" s="693" t="s">
        <v>1149</v>
      </c>
      <c r="H121" s="65"/>
      <c r="I121" s="65"/>
      <c r="J121" s="65"/>
      <c r="K121" s="65"/>
      <c r="L121" s="65"/>
      <c r="M121" s="65"/>
      <c r="N121" s="65"/>
      <c r="O121" s="65"/>
      <c r="P121" s="29"/>
      <c r="Q121" s="597"/>
      <c r="R121" s="61"/>
      <c r="T121" s="43">
        <f>SUM(AC121,AK121,AS121)</f>
        <v>0</v>
      </c>
      <c r="U121" s="43">
        <f>SUM(AD121,AL121,AT121)</f>
        <v>0</v>
      </c>
      <c r="V121" s="43">
        <f>SUM(AE121,AM121,AU121)</f>
        <v>0</v>
      </c>
      <c r="W121" s="43">
        <f>SUM(AF121,AN121,AV121)</f>
        <v>0</v>
      </c>
      <c r="X121" s="43">
        <f>SUM(AG121,AO121,AW121)</f>
        <v>0</v>
      </c>
      <c r="Y121" s="43">
        <f>SUM(AH121,AP121,AX121)</f>
        <v>0</v>
      </c>
      <c r="Z121" s="43">
        <f>SUM(AI121,AQ121,AY121)</f>
        <v>0</v>
      </c>
      <c r="AA121" s="43">
        <f>SUM(AJ121,AR121,AZ121)</f>
        <v>0</v>
      </c>
      <c r="AC121" s="631">
        <f>SUM($D121:$E121)*H121</f>
        <v>0</v>
      </c>
      <c r="AD121" s="631">
        <f>SUM($D121:$E121)*I121</f>
        <v>0</v>
      </c>
      <c r="AE121" s="631">
        <f>SUM($D121:$E121)*J121</f>
        <v>0</v>
      </c>
      <c r="AF121" s="631">
        <f>SUM($D121:$E121)*K121</f>
        <v>0</v>
      </c>
      <c r="AG121" s="631">
        <f>SUM($D121:$E121)*L121</f>
        <v>0</v>
      </c>
      <c r="AH121" s="631">
        <f>SUM($D121:$E121)*M121</f>
        <v>0</v>
      </c>
      <c r="AI121" s="631">
        <f>SUM($D121:$E121)*N121</f>
        <v>0</v>
      </c>
      <c r="AJ121" s="631">
        <f>SUM($D121:$E121)*O121</f>
        <v>0</v>
      </c>
      <c r="AK121" s="56">
        <f>IF($G121="",0,IF(NOT(OR($G121="A - All employees not in groups B, C, J, H, M or Z",$G121="B - Married women and widows entitled to reduced NI",$G121="C - Over the State Pension age",$G121="H - Apprentice under 25",$G121="J – Deferment",$G121="M - Under 21",$G121="Z - Deferment (Under 21)",$G121="Please Enter The NI Cont. in ££££")),$G121,SUM(MAX(MIN(AC121-'Input Data'!$BG$3,'Input Data'!$BG$5-'Input Data'!$BG$3),0)*VLOOKUP($G121,'Input Data'!$BI$3:$BL$10,2,FALSE),MAX(MIN(AC121-'Input Data'!$BG$5,IF(OR($G121="M (under 21)",$G121="Z (under 21 - deferment)"),'Input Data'!$BG$6,IF($G121="H (Apprentice under 25)",'Input Data'!$BG$7,'Input Data'!$BG$8))-'Input Data'!$BG$5),0)*VLOOKUP($G121,'Input Data'!$BI$3:$BL$10,3,FALSE),MAX((AC121-IF(OR($G121="M (under 21)",$G121="Z (under 21 - deferment)"),'Input Data'!$BG$6,IF($G121="H (Apprentice under 25)",'Input Data'!$BG$7,'Input Data'!$BG$8))),0)*VLOOKUP($G121,'Input Data'!$BI$3:$BL$10,4,FALSE))))</f>
        <v>0</v>
      </c>
      <c r="AL121" s="56">
        <f>IF($G121="",0,IF(NOT(OR($G121="A - All employees not in groups B, C, J, H, M or Z",$G121="B - Married women and widows entitled to reduced NI",$G121="C - Over the State Pension age",$G121="H - Apprentice under 25",$G121="J – Deferment",$G121="M - Under 21",$G121="Z - Deferment (Under 21)",$G121="Please Enter The NI Cont. in ££££")),$G121,SUM(MAX(MIN(AD121-'Input Data'!$BG$3,'Input Data'!$BG$5-'Input Data'!$BG$3),0)*VLOOKUP($G121,'Input Data'!$BI$3:$BL$10,2,FALSE),MAX(MIN(AD121-'Input Data'!$BG$5,IF(OR($G121="M (under 21)",$G121="Z (under 21 - deferment)"),'Input Data'!$BG$6,IF($G121="H (Apprentice under 25)",'Input Data'!$BG$7,'Input Data'!$BG$8))-'Input Data'!$BG$5),0)*VLOOKUP($G121,'Input Data'!$BI$3:$BL$10,3,FALSE),MAX((AD121-IF(OR($G121="M (under 21)",$G121="Z (under 21 - deferment)"),'Input Data'!$BG$6,IF($G121="H (Apprentice under 25)",'Input Data'!$BG$7,'Input Data'!$BG$8))),0)*VLOOKUP($G121,'Input Data'!$BI$3:$BL$10,4,FALSE))))</f>
        <v>0</v>
      </c>
      <c r="AM121" s="56">
        <f>IF($G121="",0,IF(NOT(OR($G121="A - All employees not in groups B, C, J, H, M or Z",$G121="B - Married women and widows entitled to reduced NI",$G121="C - Over the State Pension age",$G121="H - Apprentice under 25",$G121="J – Deferment",$G121="M - Under 21",$G121="Z - Deferment (Under 21)",$G121="Please Enter The NI Cont. in ££££")),$G121,SUM(MAX(MIN(AE121-'Input Data'!$BG$3,'Input Data'!$BG$5-'Input Data'!$BG$3),0)*VLOOKUP($G121,'Input Data'!$BI$3:$BL$10,2,FALSE),MAX(MIN(AE121-'Input Data'!$BG$5,IF(OR($G121="M (under 21)",$G121="Z (under 21 - deferment)"),'Input Data'!$BG$6,IF($G121="H (Apprentice under 25)",'Input Data'!$BG$7,'Input Data'!$BG$8))-'Input Data'!$BG$5),0)*VLOOKUP($G121,'Input Data'!$BI$3:$BL$10,3,FALSE),MAX((AE121-IF(OR($G121="M (under 21)",$G121="Z (under 21 - deferment)"),'Input Data'!$BG$6,IF($G121="H (Apprentice under 25)",'Input Data'!$BG$7,'Input Data'!$BG$8))),0)*VLOOKUP($G121,'Input Data'!$BI$3:$BL$10,4,FALSE))))</f>
        <v>0</v>
      </c>
      <c r="AN121" s="56">
        <f>IF($G121="",0,IF(NOT(OR($G121="A - All employees not in groups B, C, J, H, M or Z",$G121="B - Married women and widows entitled to reduced NI",$G121="C - Over the State Pension age",$G121="H - Apprentice under 25",$G121="J – Deferment",$G121="M - Under 21",$G121="Z - Deferment (Under 21)",$G121="Please Enter The NI Cont. in ££££")),$G121,SUM(MAX(MIN(AF121-'Input Data'!$BG$3,'Input Data'!$BG$5-'Input Data'!$BG$3),0)*VLOOKUP($G121,'Input Data'!$BI$3:$BL$10,2,FALSE),MAX(MIN(AF121-'Input Data'!$BG$5,IF(OR($G121="M (under 21)",$G121="Z (under 21 - deferment)"),'Input Data'!$BG$6,IF($G121="H (Apprentice under 25)",'Input Data'!$BG$7,'Input Data'!$BG$8))-'Input Data'!$BG$5),0)*VLOOKUP($G121,'Input Data'!$BI$3:$BL$10,3,FALSE),MAX((AF121-IF(OR($G121="M (under 21)",$G121="Z (under 21 - deferment)"),'Input Data'!$BG$6,IF($G121="H (Apprentice under 25)",'Input Data'!$BG$7,'Input Data'!$BG$8))),0)*VLOOKUP($G121,'Input Data'!$BI$3:$BL$10,4,FALSE))))</f>
        <v>0</v>
      </c>
      <c r="AO121" s="56">
        <f>IF($G121="",0,IF(NOT(OR($G121="A - All employees not in groups B, C, J, H, M or Z",$G121="B - Married women and widows entitled to reduced NI",$G121="C - Over the State Pension age",$G121="H - Apprentice under 25",$G121="J – Deferment",$G121="M - Under 21",$G121="Z - Deferment (Under 21)",$G121="Please Enter The NI Cont. in ££££")),$G121,SUM(MAX(MIN(AG121-'Input Data'!$BG$3,'Input Data'!$BG$5-'Input Data'!$BG$3),0)*VLOOKUP($G121,'Input Data'!$BI$3:$BL$10,2,FALSE),MAX(MIN(AG121-'Input Data'!$BG$5,IF(OR($G121="M (under 21)",$G121="Z (under 21 - deferment)"),'Input Data'!$BG$6,IF($G121="H (Apprentice under 25)",'Input Data'!$BG$7,'Input Data'!$BG$8))-'Input Data'!$BG$5),0)*VLOOKUP($G121,'Input Data'!$BI$3:$BL$10,3,FALSE),MAX((AG121-IF(OR($G121="M (under 21)",$G121="Z (under 21 - deferment)"),'Input Data'!$BG$6,IF($G121="H (Apprentice under 25)",'Input Data'!$BG$7,'Input Data'!$BG$8))),0)*VLOOKUP($G121,'Input Data'!$BI$3:$BL$10,4,FALSE))))</f>
        <v>0</v>
      </c>
      <c r="AP121" s="56">
        <f>IF($G121="",0,IF(NOT(OR($G121="A - All employees not in groups B, C, J, H, M or Z",$G121="B - Married women and widows entitled to reduced NI",$G121="C - Over the State Pension age",$G121="H - Apprentice under 25",$G121="J – Deferment",$G121="M - Under 21",$G121="Z - Deferment (Under 21)",$G121="Please Enter The NI Cont. in ££££")),$G121,SUM(MAX(MIN(AH121-'Input Data'!$BG$3,'Input Data'!$BG$5-'Input Data'!$BG$3),0)*VLOOKUP($G121,'Input Data'!$BI$3:$BL$10,2,FALSE),MAX(MIN(AH121-'Input Data'!$BG$5,IF(OR($G121="M (under 21)",$G121="Z (under 21 - deferment)"),'Input Data'!$BG$6,IF($G121="H (Apprentice under 25)",'Input Data'!$BG$7,'Input Data'!$BG$8))-'Input Data'!$BG$5),0)*VLOOKUP($G121,'Input Data'!$BI$3:$BL$10,3,FALSE),MAX((AH121-IF(OR($G121="M (under 21)",$G121="Z (under 21 - deferment)"),'Input Data'!$BG$6,IF($G121="H (Apprentice under 25)",'Input Data'!$BG$7,'Input Data'!$BG$8))),0)*VLOOKUP($G121,'Input Data'!$BI$3:$BL$10,4,FALSE))))</f>
        <v>0</v>
      </c>
      <c r="AQ121" s="56">
        <f>IF($G121="",0,IF(NOT(OR($G121="A - All employees not in groups B, C, J, H, M or Z",$G121="B - Married women and widows entitled to reduced NI",$G121="C - Over the State Pension age",$G121="H - Apprentice under 25",$G121="J – Deferment",$G121="M - Under 21",$G121="Z - Deferment (Under 21)",$G121="Please Enter The NI Cont. in ££££")),$G121,SUM(MAX(MIN(AI121-'Input Data'!$BG$3,'Input Data'!$BG$5-'Input Data'!$BG$3),0)*VLOOKUP($G121,'Input Data'!$BI$3:$BL$10,2,FALSE),MAX(MIN(AI121-'Input Data'!$BG$5,IF(OR($G121="M (under 21)",$G121="Z (under 21 - deferment)"),'Input Data'!$BG$6,IF($G121="H (Apprentice under 25)",'Input Data'!$BG$7,'Input Data'!$BG$8))-'Input Data'!$BG$5),0)*VLOOKUP($G121,'Input Data'!$BI$3:$BL$10,3,FALSE),MAX((AI121-IF(OR($G121="M (under 21)",$G121="Z (under 21 - deferment)"),'Input Data'!$BG$6,IF($G121="H (Apprentice under 25)",'Input Data'!$BG$7,'Input Data'!$BG$8))),0)*VLOOKUP($G121,'Input Data'!$BI$3:$BL$10,4,FALSE))))</f>
        <v>0</v>
      </c>
      <c r="AR121" s="56">
        <f>IF($G121="",0,IF(NOT(OR($G121="A - All employees not in groups B, C, J, H, M or Z",$G121="B - Married women and widows entitled to reduced NI",$G121="C - Over the State Pension age",$G121="H - Apprentice under 25",$G121="J – Deferment",$G121="M - Under 21",$G121="Z - Deferment (Under 21)",$G121="Please Enter The NI Cont. in ££££")),$G121,SUM(MAX(MIN(AJ121-'Input Data'!$BG$3,'Input Data'!$BG$5-'Input Data'!$BG$3),0)*VLOOKUP($G121,'Input Data'!$BI$3:$BL$10,2,FALSE),MAX(MIN(AJ121-'Input Data'!$BG$5,IF(OR($G121="M (under 21)",$G121="Z (under 21 - deferment)"),'Input Data'!$BG$6,IF($G121="H (Apprentice under 25)",'Input Data'!$BG$7,'Input Data'!$BG$8))-'Input Data'!$BG$5),0)*VLOOKUP($G121,'Input Data'!$BI$3:$BL$10,3,FALSE),MAX((AJ121-IF(OR($G121="M (under 21)",$G121="Z (under 21 - deferment)"),'Input Data'!$BG$6,IF($G121="H (Apprentice under 25)",'Input Data'!$BG$7,'Input Data'!$BG$8))),0)*VLOOKUP($G121,'Input Data'!$BI$3:$BL$10,4,FALSE))))</f>
        <v>0</v>
      </c>
      <c r="AS121" s="56">
        <f>AC121*$F121</f>
        <v>0</v>
      </c>
      <c r="AT121" s="56">
        <f>AD121*$F121</f>
        <v>0</v>
      </c>
      <c r="AU121" s="56">
        <f>AE121*$F121</f>
        <v>0</v>
      </c>
      <c r="AV121" s="56">
        <f>AF121*$F121</f>
        <v>0</v>
      </c>
      <c r="AW121" s="56">
        <f>AG121*$F121</f>
        <v>0</v>
      </c>
      <c r="AX121" s="56">
        <f>AH121*$F121</f>
        <v>0</v>
      </c>
      <c r="AY121" s="56">
        <f>AI121*$F121</f>
        <v>0</v>
      </c>
      <c r="AZ121" s="56">
        <f>AJ121*$F121</f>
        <v>0</v>
      </c>
    </row>
    <row r="122" spans="2:52" ht="25.5">
      <c r="B122" s="60"/>
      <c r="C122" s="57" t="s">
        <v>93</v>
      </c>
      <c r="D122" s="58"/>
      <c r="E122" s="58"/>
      <c r="F122" s="535"/>
      <c r="G122" s="693" t="s">
        <v>1149</v>
      </c>
      <c r="H122" s="65"/>
      <c r="I122" s="65"/>
      <c r="J122" s="65"/>
      <c r="K122" s="65"/>
      <c r="L122" s="65"/>
      <c r="M122" s="65"/>
      <c r="N122" s="65"/>
      <c r="O122" s="65"/>
      <c r="P122" s="29"/>
      <c r="Q122" s="597"/>
      <c r="R122" s="61"/>
      <c r="T122" s="43">
        <f>SUM(AC122,AK122,AS122)</f>
        <v>0</v>
      </c>
      <c r="U122" s="43">
        <f>SUM(AD122,AL122,AT122)</f>
        <v>0</v>
      </c>
      <c r="V122" s="43">
        <f>SUM(AE122,AM122,AU122)</f>
        <v>0</v>
      </c>
      <c r="W122" s="43">
        <f>SUM(AF122,AN122,AV122)</f>
        <v>0</v>
      </c>
      <c r="X122" s="43">
        <f>SUM(AG122,AO122,AW122)</f>
        <v>0</v>
      </c>
      <c r="Y122" s="43">
        <f>SUM(AH122,AP122,AX122)</f>
        <v>0</v>
      </c>
      <c r="Z122" s="43">
        <f>SUM(AI122,AQ122,AY122)</f>
        <v>0</v>
      </c>
      <c r="AA122" s="43">
        <f>SUM(AJ122,AR122,AZ122)</f>
        <v>0</v>
      </c>
      <c r="AC122" s="631">
        <f>SUM($D122:$E122)*H122</f>
        <v>0</v>
      </c>
      <c r="AD122" s="631">
        <f>SUM($D122:$E122)*I122</f>
        <v>0</v>
      </c>
      <c r="AE122" s="631">
        <f>SUM($D122:$E122)*J122</f>
        <v>0</v>
      </c>
      <c r="AF122" s="631">
        <f>SUM($D122:$E122)*K122</f>
        <v>0</v>
      </c>
      <c r="AG122" s="631">
        <f>SUM($D122:$E122)*L122</f>
        <v>0</v>
      </c>
      <c r="AH122" s="631">
        <f>SUM($D122:$E122)*M122</f>
        <v>0</v>
      </c>
      <c r="AI122" s="631">
        <f>SUM($D122:$E122)*N122</f>
        <v>0</v>
      </c>
      <c r="AJ122" s="631">
        <f>SUM($D122:$E122)*O122</f>
        <v>0</v>
      </c>
      <c r="AK122" s="56">
        <f>IF($G122="",0,IF(NOT(OR($G122="A - All employees not in groups B, C, J, H, M or Z",$G122="B - Married women and widows entitled to reduced NI",$G122="C - Over the State Pension age",$G122="H - Apprentice under 25",$G122="J – Deferment",$G122="M - Under 21",$G122="Z - Deferment (Under 21)",$G122="Please Enter The NI Cont. in ££££")),$G122,SUM(MAX(MIN(AC122-'Input Data'!$BG$3,'Input Data'!$BG$5-'Input Data'!$BG$3),0)*VLOOKUP($G122,'Input Data'!$BI$3:$BL$10,2,FALSE),MAX(MIN(AC122-'Input Data'!$BG$5,IF(OR($G122="M (under 21)",$G122="Z (under 21 - deferment)"),'Input Data'!$BG$6,IF($G122="H (Apprentice under 25)",'Input Data'!$BG$7,'Input Data'!$BG$8))-'Input Data'!$BG$5),0)*VLOOKUP($G122,'Input Data'!$BI$3:$BL$10,3,FALSE),MAX((AC122-IF(OR($G122="M (under 21)",$G122="Z (under 21 - deferment)"),'Input Data'!$BG$6,IF($G122="H (Apprentice under 25)",'Input Data'!$BG$7,'Input Data'!$BG$8))),0)*VLOOKUP($G122,'Input Data'!$BI$3:$BL$10,4,FALSE))))</f>
        <v>0</v>
      </c>
      <c r="AL122" s="56">
        <f>IF($G122="",0,IF(NOT(OR($G122="A - All employees not in groups B, C, J, H, M or Z",$G122="B - Married women and widows entitled to reduced NI",$G122="C - Over the State Pension age",$G122="H - Apprentice under 25",$G122="J – Deferment",$G122="M - Under 21",$G122="Z - Deferment (Under 21)",$G122="Please Enter The NI Cont. in ££££")),$G122,SUM(MAX(MIN(AD122-'Input Data'!$BG$3,'Input Data'!$BG$5-'Input Data'!$BG$3),0)*VLOOKUP($G122,'Input Data'!$BI$3:$BL$10,2,FALSE),MAX(MIN(AD122-'Input Data'!$BG$5,IF(OR($G122="M (under 21)",$G122="Z (under 21 - deferment)"),'Input Data'!$BG$6,IF($G122="H (Apprentice under 25)",'Input Data'!$BG$7,'Input Data'!$BG$8))-'Input Data'!$BG$5),0)*VLOOKUP($G122,'Input Data'!$BI$3:$BL$10,3,FALSE),MAX((AD122-IF(OR($G122="M (under 21)",$G122="Z (under 21 - deferment)"),'Input Data'!$BG$6,IF($G122="H (Apprentice under 25)",'Input Data'!$BG$7,'Input Data'!$BG$8))),0)*VLOOKUP($G122,'Input Data'!$BI$3:$BL$10,4,FALSE))))</f>
        <v>0</v>
      </c>
      <c r="AM122" s="56">
        <f>IF($G122="",0,IF(NOT(OR($G122="A - All employees not in groups B, C, J, H, M or Z",$G122="B - Married women and widows entitled to reduced NI",$G122="C - Over the State Pension age",$G122="H - Apprentice under 25",$G122="J – Deferment",$G122="M - Under 21",$G122="Z - Deferment (Under 21)",$G122="Please Enter The NI Cont. in ££££")),$G122,SUM(MAX(MIN(AE122-'Input Data'!$BG$3,'Input Data'!$BG$5-'Input Data'!$BG$3),0)*VLOOKUP($G122,'Input Data'!$BI$3:$BL$10,2,FALSE),MAX(MIN(AE122-'Input Data'!$BG$5,IF(OR($G122="M (under 21)",$G122="Z (under 21 - deferment)"),'Input Data'!$BG$6,IF($G122="H (Apprentice under 25)",'Input Data'!$BG$7,'Input Data'!$BG$8))-'Input Data'!$BG$5),0)*VLOOKUP($G122,'Input Data'!$BI$3:$BL$10,3,FALSE),MAX((AE122-IF(OR($G122="M (under 21)",$G122="Z (under 21 - deferment)"),'Input Data'!$BG$6,IF($G122="H (Apprentice under 25)",'Input Data'!$BG$7,'Input Data'!$BG$8))),0)*VLOOKUP($G122,'Input Data'!$BI$3:$BL$10,4,FALSE))))</f>
        <v>0</v>
      </c>
      <c r="AN122" s="56">
        <f>IF($G122="",0,IF(NOT(OR($G122="A - All employees not in groups B, C, J, H, M or Z",$G122="B - Married women and widows entitled to reduced NI",$G122="C - Over the State Pension age",$G122="H - Apprentice under 25",$G122="J – Deferment",$G122="M - Under 21",$G122="Z - Deferment (Under 21)",$G122="Please Enter The NI Cont. in ££££")),$G122,SUM(MAX(MIN(AF122-'Input Data'!$BG$3,'Input Data'!$BG$5-'Input Data'!$BG$3),0)*VLOOKUP($G122,'Input Data'!$BI$3:$BL$10,2,FALSE),MAX(MIN(AF122-'Input Data'!$BG$5,IF(OR($G122="M (under 21)",$G122="Z (under 21 - deferment)"),'Input Data'!$BG$6,IF($G122="H (Apprentice under 25)",'Input Data'!$BG$7,'Input Data'!$BG$8))-'Input Data'!$BG$5),0)*VLOOKUP($G122,'Input Data'!$BI$3:$BL$10,3,FALSE),MAX((AF122-IF(OR($G122="M (under 21)",$G122="Z (under 21 - deferment)"),'Input Data'!$BG$6,IF($G122="H (Apprentice under 25)",'Input Data'!$BG$7,'Input Data'!$BG$8))),0)*VLOOKUP($G122,'Input Data'!$BI$3:$BL$10,4,FALSE))))</f>
        <v>0</v>
      </c>
      <c r="AO122" s="56">
        <f>IF($G122="",0,IF(NOT(OR($G122="A - All employees not in groups B, C, J, H, M or Z",$G122="B - Married women and widows entitled to reduced NI",$G122="C - Over the State Pension age",$G122="H - Apprentice under 25",$G122="J – Deferment",$G122="M - Under 21",$G122="Z - Deferment (Under 21)",$G122="Please Enter The NI Cont. in ££££")),$G122,SUM(MAX(MIN(AG122-'Input Data'!$BG$3,'Input Data'!$BG$5-'Input Data'!$BG$3),0)*VLOOKUP($G122,'Input Data'!$BI$3:$BL$10,2,FALSE),MAX(MIN(AG122-'Input Data'!$BG$5,IF(OR($G122="M (under 21)",$G122="Z (under 21 - deferment)"),'Input Data'!$BG$6,IF($G122="H (Apprentice under 25)",'Input Data'!$BG$7,'Input Data'!$BG$8))-'Input Data'!$BG$5),0)*VLOOKUP($G122,'Input Data'!$BI$3:$BL$10,3,FALSE),MAX((AG122-IF(OR($G122="M (under 21)",$G122="Z (under 21 - deferment)"),'Input Data'!$BG$6,IF($G122="H (Apprentice under 25)",'Input Data'!$BG$7,'Input Data'!$BG$8))),0)*VLOOKUP($G122,'Input Data'!$BI$3:$BL$10,4,FALSE))))</f>
        <v>0</v>
      </c>
      <c r="AP122" s="56">
        <f>IF($G122="",0,IF(NOT(OR($G122="A - All employees not in groups B, C, J, H, M or Z",$G122="B - Married women and widows entitled to reduced NI",$G122="C - Over the State Pension age",$G122="H - Apprentice under 25",$G122="J – Deferment",$G122="M - Under 21",$G122="Z - Deferment (Under 21)",$G122="Please Enter The NI Cont. in ££££")),$G122,SUM(MAX(MIN(AH122-'Input Data'!$BG$3,'Input Data'!$BG$5-'Input Data'!$BG$3),0)*VLOOKUP($G122,'Input Data'!$BI$3:$BL$10,2,FALSE),MAX(MIN(AH122-'Input Data'!$BG$5,IF(OR($G122="M (under 21)",$G122="Z (under 21 - deferment)"),'Input Data'!$BG$6,IF($G122="H (Apprentice under 25)",'Input Data'!$BG$7,'Input Data'!$BG$8))-'Input Data'!$BG$5),0)*VLOOKUP($G122,'Input Data'!$BI$3:$BL$10,3,FALSE),MAX((AH122-IF(OR($G122="M (under 21)",$G122="Z (under 21 - deferment)"),'Input Data'!$BG$6,IF($G122="H (Apprentice under 25)",'Input Data'!$BG$7,'Input Data'!$BG$8))),0)*VLOOKUP($G122,'Input Data'!$BI$3:$BL$10,4,FALSE))))</f>
        <v>0</v>
      </c>
      <c r="AQ122" s="56">
        <f>IF($G122="",0,IF(NOT(OR($G122="A - All employees not in groups B, C, J, H, M or Z",$G122="B - Married women and widows entitled to reduced NI",$G122="C - Over the State Pension age",$G122="H - Apprentice under 25",$G122="J – Deferment",$G122="M - Under 21",$G122="Z - Deferment (Under 21)",$G122="Please Enter The NI Cont. in ££££")),$G122,SUM(MAX(MIN(AI122-'Input Data'!$BG$3,'Input Data'!$BG$5-'Input Data'!$BG$3),0)*VLOOKUP($G122,'Input Data'!$BI$3:$BL$10,2,FALSE),MAX(MIN(AI122-'Input Data'!$BG$5,IF(OR($G122="M (under 21)",$G122="Z (under 21 - deferment)"),'Input Data'!$BG$6,IF($G122="H (Apprentice under 25)",'Input Data'!$BG$7,'Input Data'!$BG$8))-'Input Data'!$BG$5),0)*VLOOKUP($G122,'Input Data'!$BI$3:$BL$10,3,FALSE),MAX((AI122-IF(OR($G122="M (under 21)",$G122="Z (under 21 - deferment)"),'Input Data'!$BG$6,IF($G122="H (Apprentice under 25)",'Input Data'!$BG$7,'Input Data'!$BG$8))),0)*VLOOKUP($G122,'Input Data'!$BI$3:$BL$10,4,FALSE))))</f>
        <v>0</v>
      </c>
      <c r="AR122" s="56">
        <f>IF($G122="",0,IF(NOT(OR($G122="A - All employees not in groups B, C, J, H, M or Z",$G122="B - Married women and widows entitled to reduced NI",$G122="C - Over the State Pension age",$G122="H - Apprentice under 25",$G122="J – Deferment",$G122="M - Under 21",$G122="Z - Deferment (Under 21)",$G122="Please Enter The NI Cont. in ££££")),$G122,SUM(MAX(MIN(AJ122-'Input Data'!$BG$3,'Input Data'!$BG$5-'Input Data'!$BG$3),0)*VLOOKUP($G122,'Input Data'!$BI$3:$BL$10,2,FALSE),MAX(MIN(AJ122-'Input Data'!$BG$5,IF(OR($G122="M (under 21)",$G122="Z (under 21 - deferment)"),'Input Data'!$BG$6,IF($G122="H (Apprentice under 25)",'Input Data'!$BG$7,'Input Data'!$BG$8))-'Input Data'!$BG$5),0)*VLOOKUP($G122,'Input Data'!$BI$3:$BL$10,3,FALSE),MAX((AJ122-IF(OR($G122="M (under 21)",$G122="Z (under 21 - deferment)"),'Input Data'!$BG$6,IF($G122="H (Apprentice under 25)",'Input Data'!$BG$7,'Input Data'!$BG$8))),0)*VLOOKUP($G122,'Input Data'!$BI$3:$BL$10,4,FALSE))))</f>
        <v>0</v>
      </c>
      <c r="AS122" s="56">
        <f>AC122*$F122</f>
        <v>0</v>
      </c>
      <c r="AT122" s="56">
        <f>AD122*$F122</f>
        <v>0</v>
      </c>
      <c r="AU122" s="56">
        <f>AE122*$F122</f>
        <v>0</v>
      </c>
      <c r="AV122" s="56">
        <f>AF122*$F122</f>
        <v>0</v>
      </c>
      <c r="AW122" s="56">
        <f>AG122*$F122</f>
        <v>0</v>
      </c>
      <c r="AX122" s="56">
        <f>AH122*$F122</f>
        <v>0</v>
      </c>
      <c r="AY122" s="56">
        <f>AI122*$F122</f>
        <v>0</v>
      </c>
      <c r="AZ122" s="56">
        <f>AJ122*$F122</f>
        <v>0</v>
      </c>
    </row>
    <row r="123" spans="2:52" ht="25.5">
      <c r="B123" s="60"/>
      <c r="C123" s="57" t="s">
        <v>94</v>
      </c>
      <c r="D123" s="58"/>
      <c r="E123" s="58"/>
      <c r="F123" s="535"/>
      <c r="G123" s="693" t="s">
        <v>1149</v>
      </c>
      <c r="H123" s="65"/>
      <c r="I123" s="65"/>
      <c r="J123" s="65"/>
      <c r="K123" s="65"/>
      <c r="L123" s="65"/>
      <c r="M123" s="65"/>
      <c r="N123" s="65"/>
      <c r="O123" s="65"/>
      <c r="P123" s="29"/>
      <c r="Q123" s="597"/>
      <c r="R123" s="61"/>
      <c r="T123" s="43">
        <f>SUM(AC123,AK123,AS123)</f>
        <v>0</v>
      </c>
      <c r="U123" s="43">
        <f>SUM(AD123,AL123,AT123)</f>
        <v>0</v>
      </c>
      <c r="V123" s="43">
        <f>SUM(AE123,AM123,AU123)</f>
        <v>0</v>
      </c>
      <c r="W123" s="43">
        <f>SUM(AF123,AN123,AV123)</f>
        <v>0</v>
      </c>
      <c r="X123" s="43">
        <f>SUM(AG123,AO123,AW123)</f>
        <v>0</v>
      </c>
      <c r="Y123" s="43">
        <f>SUM(AH123,AP123,AX123)</f>
        <v>0</v>
      </c>
      <c r="Z123" s="43">
        <f>SUM(AI123,AQ123,AY123)</f>
        <v>0</v>
      </c>
      <c r="AA123" s="43">
        <f>SUM(AJ123,AR123,AZ123)</f>
        <v>0</v>
      </c>
      <c r="AC123" s="631">
        <f>SUM($D123:$E123)*H123</f>
        <v>0</v>
      </c>
      <c r="AD123" s="631">
        <f>SUM($D123:$E123)*I123</f>
        <v>0</v>
      </c>
      <c r="AE123" s="631">
        <f>SUM($D123:$E123)*J123</f>
        <v>0</v>
      </c>
      <c r="AF123" s="631">
        <f>SUM($D123:$E123)*K123</f>
        <v>0</v>
      </c>
      <c r="AG123" s="631">
        <f>SUM($D123:$E123)*L123</f>
        <v>0</v>
      </c>
      <c r="AH123" s="631">
        <f>SUM($D123:$E123)*M123</f>
        <v>0</v>
      </c>
      <c r="AI123" s="631">
        <f>SUM($D123:$E123)*N123</f>
        <v>0</v>
      </c>
      <c r="AJ123" s="631">
        <f>SUM($D123:$E123)*O123</f>
        <v>0</v>
      </c>
      <c r="AK123" s="56">
        <f>IF($G123="",0,IF(NOT(OR($G123="A - All employees not in groups B, C, J, H, M or Z",$G123="B - Married women and widows entitled to reduced NI",$G123="C - Over the State Pension age",$G123="H - Apprentice under 25",$G123="J – Deferment",$G123="M - Under 21",$G123="Z - Deferment (Under 21)",$G123="Please Enter The NI Cont. in ££££")),$G123,SUM(MAX(MIN(AC123-'Input Data'!$BG$3,'Input Data'!$BG$5-'Input Data'!$BG$3),0)*VLOOKUP($G123,'Input Data'!$BI$3:$BL$10,2,FALSE),MAX(MIN(AC123-'Input Data'!$BG$5,IF(OR($G123="M (under 21)",$G123="Z (under 21 - deferment)"),'Input Data'!$BG$6,IF($G123="H (Apprentice under 25)",'Input Data'!$BG$7,'Input Data'!$BG$8))-'Input Data'!$BG$5),0)*VLOOKUP($G123,'Input Data'!$BI$3:$BL$10,3,FALSE),MAX((AC123-IF(OR($G123="M (under 21)",$G123="Z (under 21 - deferment)"),'Input Data'!$BG$6,IF($G123="H (Apprentice under 25)",'Input Data'!$BG$7,'Input Data'!$BG$8))),0)*VLOOKUP($G123,'Input Data'!$BI$3:$BL$10,4,FALSE))))</f>
        <v>0</v>
      </c>
      <c r="AL123" s="56">
        <f>IF($G123="",0,IF(NOT(OR($G123="A - All employees not in groups B, C, J, H, M or Z",$G123="B - Married women and widows entitled to reduced NI",$G123="C - Over the State Pension age",$G123="H - Apprentice under 25",$G123="J – Deferment",$G123="M - Under 21",$G123="Z - Deferment (Under 21)",$G123="Please Enter The NI Cont. in ££££")),$G123,SUM(MAX(MIN(AD123-'Input Data'!$BG$3,'Input Data'!$BG$5-'Input Data'!$BG$3),0)*VLOOKUP($G123,'Input Data'!$BI$3:$BL$10,2,FALSE),MAX(MIN(AD123-'Input Data'!$BG$5,IF(OR($G123="M (under 21)",$G123="Z (under 21 - deferment)"),'Input Data'!$BG$6,IF($G123="H (Apprentice under 25)",'Input Data'!$BG$7,'Input Data'!$BG$8))-'Input Data'!$BG$5),0)*VLOOKUP($G123,'Input Data'!$BI$3:$BL$10,3,FALSE),MAX((AD123-IF(OR($G123="M (under 21)",$G123="Z (under 21 - deferment)"),'Input Data'!$BG$6,IF($G123="H (Apprentice under 25)",'Input Data'!$BG$7,'Input Data'!$BG$8))),0)*VLOOKUP($G123,'Input Data'!$BI$3:$BL$10,4,FALSE))))</f>
        <v>0</v>
      </c>
      <c r="AM123" s="56">
        <f>IF($G123="",0,IF(NOT(OR($G123="A - All employees not in groups B, C, J, H, M or Z",$G123="B - Married women and widows entitled to reduced NI",$G123="C - Over the State Pension age",$G123="H - Apprentice under 25",$G123="J – Deferment",$G123="M - Under 21",$G123="Z - Deferment (Under 21)",$G123="Please Enter The NI Cont. in ££££")),$G123,SUM(MAX(MIN(AE123-'Input Data'!$BG$3,'Input Data'!$BG$5-'Input Data'!$BG$3),0)*VLOOKUP($G123,'Input Data'!$BI$3:$BL$10,2,FALSE),MAX(MIN(AE123-'Input Data'!$BG$5,IF(OR($G123="M (under 21)",$G123="Z (under 21 - deferment)"),'Input Data'!$BG$6,IF($G123="H (Apprentice under 25)",'Input Data'!$BG$7,'Input Data'!$BG$8))-'Input Data'!$BG$5),0)*VLOOKUP($G123,'Input Data'!$BI$3:$BL$10,3,FALSE),MAX((AE123-IF(OR($G123="M (under 21)",$G123="Z (under 21 - deferment)"),'Input Data'!$BG$6,IF($G123="H (Apprentice under 25)",'Input Data'!$BG$7,'Input Data'!$BG$8))),0)*VLOOKUP($G123,'Input Data'!$BI$3:$BL$10,4,FALSE))))</f>
        <v>0</v>
      </c>
      <c r="AN123" s="56">
        <f>IF($G123="",0,IF(NOT(OR($G123="A - All employees not in groups B, C, J, H, M or Z",$G123="B - Married women and widows entitled to reduced NI",$G123="C - Over the State Pension age",$G123="H - Apprentice under 25",$G123="J – Deferment",$G123="M - Under 21",$G123="Z - Deferment (Under 21)",$G123="Please Enter The NI Cont. in ££££")),$G123,SUM(MAX(MIN(AF123-'Input Data'!$BG$3,'Input Data'!$BG$5-'Input Data'!$BG$3),0)*VLOOKUP($G123,'Input Data'!$BI$3:$BL$10,2,FALSE),MAX(MIN(AF123-'Input Data'!$BG$5,IF(OR($G123="M (under 21)",$G123="Z (under 21 - deferment)"),'Input Data'!$BG$6,IF($G123="H (Apprentice under 25)",'Input Data'!$BG$7,'Input Data'!$BG$8))-'Input Data'!$BG$5),0)*VLOOKUP($G123,'Input Data'!$BI$3:$BL$10,3,FALSE),MAX((AF123-IF(OR($G123="M (under 21)",$G123="Z (under 21 - deferment)"),'Input Data'!$BG$6,IF($G123="H (Apprentice under 25)",'Input Data'!$BG$7,'Input Data'!$BG$8))),0)*VLOOKUP($G123,'Input Data'!$BI$3:$BL$10,4,FALSE))))</f>
        <v>0</v>
      </c>
      <c r="AO123" s="56">
        <f>IF($G123="",0,IF(NOT(OR($G123="A - All employees not in groups B, C, J, H, M or Z",$G123="B - Married women and widows entitled to reduced NI",$G123="C - Over the State Pension age",$G123="H - Apprentice under 25",$G123="J – Deferment",$G123="M - Under 21",$G123="Z - Deferment (Under 21)",$G123="Please Enter The NI Cont. in ££££")),$G123,SUM(MAX(MIN(AG123-'Input Data'!$BG$3,'Input Data'!$BG$5-'Input Data'!$BG$3),0)*VLOOKUP($G123,'Input Data'!$BI$3:$BL$10,2,FALSE),MAX(MIN(AG123-'Input Data'!$BG$5,IF(OR($G123="M (under 21)",$G123="Z (under 21 - deferment)"),'Input Data'!$BG$6,IF($G123="H (Apprentice under 25)",'Input Data'!$BG$7,'Input Data'!$BG$8))-'Input Data'!$BG$5),0)*VLOOKUP($G123,'Input Data'!$BI$3:$BL$10,3,FALSE),MAX((AG123-IF(OR($G123="M (under 21)",$G123="Z (under 21 - deferment)"),'Input Data'!$BG$6,IF($G123="H (Apprentice under 25)",'Input Data'!$BG$7,'Input Data'!$BG$8))),0)*VLOOKUP($G123,'Input Data'!$BI$3:$BL$10,4,FALSE))))</f>
        <v>0</v>
      </c>
      <c r="AP123" s="56">
        <f>IF($G123="",0,IF(NOT(OR($G123="A - All employees not in groups B, C, J, H, M or Z",$G123="B - Married women and widows entitled to reduced NI",$G123="C - Over the State Pension age",$G123="H - Apprentice under 25",$G123="J – Deferment",$G123="M - Under 21",$G123="Z - Deferment (Under 21)",$G123="Please Enter The NI Cont. in ££££")),$G123,SUM(MAX(MIN(AH123-'Input Data'!$BG$3,'Input Data'!$BG$5-'Input Data'!$BG$3),0)*VLOOKUP($G123,'Input Data'!$BI$3:$BL$10,2,FALSE),MAX(MIN(AH123-'Input Data'!$BG$5,IF(OR($G123="M (under 21)",$G123="Z (under 21 - deferment)"),'Input Data'!$BG$6,IF($G123="H (Apprentice under 25)",'Input Data'!$BG$7,'Input Data'!$BG$8))-'Input Data'!$BG$5),0)*VLOOKUP($G123,'Input Data'!$BI$3:$BL$10,3,FALSE),MAX((AH123-IF(OR($G123="M (under 21)",$G123="Z (under 21 - deferment)"),'Input Data'!$BG$6,IF($G123="H (Apprentice under 25)",'Input Data'!$BG$7,'Input Data'!$BG$8))),0)*VLOOKUP($G123,'Input Data'!$BI$3:$BL$10,4,FALSE))))</f>
        <v>0</v>
      </c>
      <c r="AQ123" s="56">
        <f>IF($G123="",0,IF(NOT(OR($G123="A - All employees not in groups B, C, J, H, M or Z",$G123="B - Married women and widows entitled to reduced NI",$G123="C - Over the State Pension age",$G123="H - Apprentice under 25",$G123="J – Deferment",$G123="M - Under 21",$G123="Z - Deferment (Under 21)",$G123="Please Enter The NI Cont. in ££££")),$G123,SUM(MAX(MIN(AI123-'Input Data'!$BG$3,'Input Data'!$BG$5-'Input Data'!$BG$3),0)*VLOOKUP($G123,'Input Data'!$BI$3:$BL$10,2,FALSE),MAX(MIN(AI123-'Input Data'!$BG$5,IF(OR($G123="M (under 21)",$G123="Z (under 21 - deferment)"),'Input Data'!$BG$6,IF($G123="H (Apprentice under 25)",'Input Data'!$BG$7,'Input Data'!$BG$8))-'Input Data'!$BG$5),0)*VLOOKUP($G123,'Input Data'!$BI$3:$BL$10,3,FALSE),MAX((AI123-IF(OR($G123="M (under 21)",$G123="Z (under 21 - deferment)"),'Input Data'!$BG$6,IF($G123="H (Apprentice under 25)",'Input Data'!$BG$7,'Input Data'!$BG$8))),0)*VLOOKUP($G123,'Input Data'!$BI$3:$BL$10,4,FALSE))))</f>
        <v>0</v>
      </c>
      <c r="AR123" s="56">
        <f>IF($G123="",0,IF(NOT(OR($G123="A - All employees not in groups B, C, J, H, M or Z",$G123="B - Married women and widows entitled to reduced NI",$G123="C - Over the State Pension age",$G123="H - Apprentice under 25",$G123="J – Deferment",$G123="M - Under 21",$G123="Z - Deferment (Under 21)",$G123="Please Enter The NI Cont. in ££££")),$G123,SUM(MAX(MIN(AJ123-'Input Data'!$BG$3,'Input Data'!$BG$5-'Input Data'!$BG$3),0)*VLOOKUP($G123,'Input Data'!$BI$3:$BL$10,2,FALSE),MAX(MIN(AJ123-'Input Data'!$BG$5,IF(OR($G123="M (under 21)",$G123="Z (under 21 - deferment)"),'Input Data'!$BG$6,IF($G123="H (Apprentice under 25)",'Input Data'!$BG$7,'Input Data'!$BG$8))-'Input Data'!$BG$5),0)*VLOOKUP($G123,'Input Data'!$BI$3:$BL$10,3,FALSE),MAX((AJ123-IF(OR($G123="M (under 21)",$G123="Z (under 21 - deferment)"),'Input Data'!$BG$6,IF($G123="H (Apprentice under 25)",'Input Data'!$BG$7,'Input Data'!$BG$8))),0)*VLOOKUP($G123,'Input Data'!$BI$3:$BL$10,4,FALSE))))</f>
        <v>0</v>
      </c>
      <c r="AS123" s="56">
        <f>AC123*$F123</f>
        <v>0</v>
      </c>
      <c r="AT123" s="56">
        <f>AD123*$F123</f>
        <v>0</v>
      </c>
      <c r="AU123" s="56">
        <f>AE123*$F123</f>
        <v>0</v>
      </c>
      <c r="AV123" s="56">
        <f>AF123*$F123</f>
        <v>0</v>
      </c>
      <c r="AW123" s="56">
        <f>AG123*$F123</f>
        <v>0</v>
      </c>
      <c r="AX123" s="56">
        <f>AH123*$F123</f>
        <v>0</v>
      </c>
      <c r="AY123" s="56">
        <f>AI123*$F123</f>
        <v>0</v>
      </c>
      <c r="AZ123" s="56">
        <f>AJ123*$F123</f>
        <v>0</v>
      </c>
    </row>
    <row r="124" spans="2:52" ht="25.5">
      <c r="B124" s="60"/>
      <c r="C124" s="57" t="s">
        <v>95</v>
      </c>
      <c r="D124" s="58"/>
      <c r="E124" s="58"/>
      <c r="F124" s="535"/>
      <c r="G124" s="693" t="s">
        <v>1149</v>
      </c>
      <c r="H124" s="65"/>
      <c r="I124" s="65"/>
      <c r="J124" s="65"/>
      <c r="K124" s="65"/>
      <c r="L124" s="65"/>
      <c r="M124" s="65"/>
      <c r="N124" s="65"/>
      <c r="O124" s="65"/>
      <c r="P124" s="29"/>
      <c r="Q124" s="597"/>
      <c r="R124" s="61"/>
      <c r="T124" s="43">
        <f>SUM(AC124,AK124,AS124)</f>
        <v>0</v>
      </c>
      <c r="U124" s="43">
        <f>SUM(AD124,AL124,AT124)</f>
        <v>0</v>
      </c>
      <c r="V124" s="43">
        <f>SUM(AE124,AM124,AU124)</f>
        <v>0</v>
      </c>
      <c r="W124" s="43">
        <f>SUM(AF124,AN124,AV124)</f>
        <v>0</v>
      </c>
      <c r="X124" s="43">
        <f>SUM(AG124,AO124,AW124)</f>
        <v>0</v>
      </c>
      <c r="Y124" s="43">
        <f>SUM(AH124,AP124,AX124)</f>
        <v>0</v>
      </c>
      <c r="Z124" s="43">
        <f>SUM(AI124,AQ124,AY124)</f>
        <v>0</v>
      </c>
      <c r="AA124" s="43">
        <f>SUM(AJ124,AR124,AZ124)</f>
        <v>0</v>
      </c>
      <c r="AC124" s="631">
        <f>SUM($D124:$E124)*H124</f>
        <v>0</v>
      </c>
      <c r="AD124" s="631">
        <f>SUM($D124:$E124)*I124</f>
        <v>0</v>
      </c>
      <c r="AE124" s="631">
        <f>SUM($D124:$E124)*J124</f>
        <v>0</v>
      </c>
      <c r="AF124" s="631">
        <f>SUM($D124:$E124)*K124</f>
        <v>0</v>
      </c>
      <c r="AG124" s="631">
        <f>SUM($D124:$E124)*L124</f>
        <v>0</v>
      </c>
      <c r="AH124" s="631">
        <f>SUM($D124:$E124)*M124</f>
        <v>0</v>
      </c>
      <c r="AI124" s="631">
        <f>SUM($D124:$E124)*N124</f>
        <v>0</v>
      </c>
      <c r="AJ124" s="631">
        <f>SUM($D124:$E124)*O124</f>
        <v>0</v>
      </c>
      <c r="AK124" s="56">
        <f>IF($G124="",0,IF(NOT(OR($G124="A - All employees not in groups B, C, J, H, M or Z",$G124="B - Married women and widows entitled to reduced NI",$G124="C - Over the State Pension age",$G124="H - Apprentice under 25",$G124="J – Deferment",$G124="M - Under 21",$G124="Z - Deferment (Under 21)",$G124="Please Enter The NI Cont. in ££££")),$G124,SUM(MAX(MIN(AC124-'Input Data'!$BG$3,'Input Data'!$BG$5-'Input Data'!$BG$3),0)*VLOOKUP($G124,'Input Data'!$BI$3:$BL$10,2,FALSE),MAX(MIN(AC124-'Input Data'!$BG$5,IF(OR($G124="M (under 21)",$G124="Z (under 21 - deferment)"),'Input Data'!$BG$6,IF($G124="H (Apprentice under 25)",'Input Data'!$BG$7,'Input Data'!$BG$8))-'Input Data'!$BG$5),0)*VLOOKUP($G124,'Input Data'!$BI$3:$BL$10,3,FALSE),MAX((AC124-IF(OR($G124="M (under 21)",$G124="Z (under 21 - deferment)"),'Input Data'!$BG$6,IF($G124="H (Apprentice under 25)",'Input Data'!$BG$7,'Input Data'!$BG$8))),0)*VLOOKUP($G124,'Input Data'!$BI$3:$BL$10,4,FALSE))))</f>
        <v>0</v>
      </c>
      <c r="AL124" s="56">
        <f>IF($G124="",0,IF(NOT(OR($G124="A - All employees not in groups B, C, J, H, M or Z",$G124="B - Married women and widows entitled to reduced NI",$G124="C - Over the State Pension age",$G124="H - Apprentice under 25",$G124="J – Deferment",$G124="M - Under 21",$G124="Z - Deferment (Under 21)",$G124="Please Enter The NI Cont. in ££££")),$G124,SUM(MAX(MIN(AD124-'Input Data'!$BG$3,'Input Data'!$BG$5-'Input Data'!$BG$3),0)*VLOOKUP($G124,'Input Data'!$BI$3:$BL$10,2,FALSE),MAX(MIN(AD124-'Input Data'!$BG$5,IF(OR($G124="M (under 21)",$G124="Z (under 21 - deferment)"),'Input Data'!$BG$6,IF($G124="H (Apprentice under 25)",'Input Data'!$BG$7,'Input Data'!$BG$8))-'Input Data'!$BG$5),0)*VLOOKUP($G124,'Input Data'!$BI$3:$BL$10,3,FALSE),MAX((AD124-IF(OR($G124="M (under 21)",$G124="Z (under 21 - deferment)"),'Input Data'!$BG$6,IF($G124="H (Apprentice under 25)",'Input Data'!$BG$7,'Input Data'!$BG$8))),0)*VLOOKUP($G124,'Input Data'!$BI$3:$BL$10,4,FALSE))))</f>
        <v>0</v>
      </c>
      <c r="AM124" s="56">
        <f>IF($G124="",0,IF(NOT(OR($G124="A - All employees not in groups B, C, J, H, M or Z",$G124="B - Married women and widows entitled to reduced NI",$G124="C - Over the State Pension age",$G124="H - Apprentice under 25",$G124="J – Deferment",$G124="M - Under 21",$G124="Z - Deferment (Under 21)",$G124="Please Enter The NI Cont. in ££££")),$G124,SUM(MAX(MIN(AE124-'Input Data'!$BG$3,'Input Data'!$BG$5-'Input Data'!$BG$3),0)*VLOOKUP($G124,'Input Data'!$BI$3:$BL$10,2,FALSE),MAX(MIN(AE124-'Input Data'!$BG$5,IF(OR($G124="M (under 21)",$G124="Z (under 21 - deferment)"),'Input Data'!$BG$6,IF($G124="H (Apprentice under 25)",'Input Data'!$BG$7,'Input Data'!$BG$8))-'Input Data'!$BG$5),0)*VLOOKUP($G124,'Input Data'!$BI$3:$BL$10,3,FALSE),MAX((AE124-IF(OR($G124="M (under 21)",$G124="Z (under 21 - deferment)"),'Input Data'!$BG$6,IF($G124="H (Apprentice under 25)",'Input Data'!$BG$7,'Input Data'!$BG$8))),0)*VLOOKUP($G124,'Input Data'!$BI$3:$BL$10,4,FALSE))))</f>
        <v>0</v>
      </c>
      <c r="AN124" s="56">
        <f>IF($G124="",0,IF(NOT(OR($G124="A - All employees not in groups B, C, J, H, M or Z",$G124="B - Married women and widows entitled to reduced NI",$G124="C - Over the State Pension age",$G124="H - Apprentice under 25",$G124="J – Deferment",$G124="M - Under 21",$G124="Z - Deferment (Under 21)",$G124="Please Enter The NI Cont. in ££££")),$G124,SUM(MAX(MIN(AF124-'Input Data'!$BG$3,'Input Data'!$BG$5-'Input Data'!$BG$3),0)*VLOOKUP($G124,'Input Data'!$BI$3:$BL$10,2,FALSE),MAX(MIN(AF124-'Input Data'!$BG$5,IF(OR($G124="M (under 21)",$G124="Z (under 21 - deferment)"),'Input Data'!$BG$6,IF($G124="H (Apprentice under 25)",'Input Data'!$BG$7,'Input Data'!$BG$8))-'Input Data'!$BG$5),0)*VLOOKUP($G124,'Input Data'!$BI$3:$BL$10,3,FALSE),MAX((AF124-IF(OR($G124="M (under 21)",$G124="Z (under 21 - deferment)"),'Input Data'!$BG$6,IF($G124="H (Apprentice under 25)",'Input Data'!$BG$7,'Input Data'!$BG$8))),0)*VLOOKUP($G124,'Input Data'!$BI$3:$BL$10,4,FALSE))))</f>
        <v>0</v>
      </c>
      <c r="AO124" s="56">
        <f>IF($G124="",0,IF(NOT(OR($G124="A - All employees not in groups B, C, J, H, M or Z",$G124="B - Married women and widows entitled to reduced NI",$G124="C - Over the State Pension age",$G124="H - Apprentice under 25",$G124="J – Deferment",$G124="M - Under 21",$G124="Z - Deferment (Under 21)",$G124="Please Enter The NI Cont. in ££££")),$G124,SUM(MAX(MIN(AG124-'Input Data'!$BG$3,'Input Data'!$BG$5-'Input Data'!$BG$3),0)*VLOOKUP($G124,'Input Data'!$BI$3:$BL$10,2,FALSE),MAX(MIN(AG124-'Input Data'!$BG$5,IF(OR($G124="M (under 21)",$G124="Z (under 21 - deferment)"),'Input Data'!$BG$6,IF($G124="H (Apprentice under 25)",'Input Data'!$BG$7,'Input Data'!$BG$8))-'Input Data'!$BG$5),0)*VLOOKUP($G124,'Input Data'!$BI$3:$BL$10,3,FALSE),MAX((AG124-IF(OR($G124="M (under 21)",$G124="Z (under 21 - deferment)"),'Input Data'!$BG$6,IF($G124="H (Apprentice under 25)",'Input Data'!$BG$7,'Input Data'!$BG$8))),0)*VLOOKUP($G124,'Input Data'!$BI$3:$BL$10,4,FALSE))))</f>
        <v>0</v>
      </c>
      <c r="AP124" s="56">
        <f>IF($G124="",0,IF(NOT(OR($G124="A - All employees not in groups B, C, J, H, M or Z",$G124="B - Married women and widows entitled to reduced NI",$G124="C - Over the State Pension age",$G124="H - Apprentice under 25",$G124="J – Deferment",$G124="M - Under 21",$G124="Z - Deferment (Under 21)",$G124="Please Enter The NI Cont. in ££££")),$G124,SUM(MAX(MIN(AH124-'Input Data'!$BG$3,'Input Data'!$BG$5-'Input Data'!$BG$3),0)*VLOOKUP($G124,'Input Data'!$BI$3:$BL$10,2,FALSE),MAX(MIN(AH124-'Input Data'!$BG$5,IF(OR($G124="M (under 21)",$G124="Z (under 21 - deferment)"),'Input Data'!$BG$6,IF($G124="H (Apprentice under 25)",'Input Data'!$BG$7,'Input Data'!$BG$8))-'Input Data'!$BG$5),0)*VLOOKUP($G124,'Input Data'!$BI$3:$BL$10,3,FALSE),MAX((AH124-IF(OR($G124="M (under 21)",$G124="Z (under 21 - deferment)"),'Input Data'!$BG$6,IF($G124="H (Apprentice under 25)",'Input Data'!$BG$7,'Input Data'!$BG$8))),0)*VLOOKUP($G124,'Input Data'!$BI$3:$BL$10,4,FALSE))))</f>
        <v>0</v>
      </c>
      <c r="AQ124" s="56">
        <f>IF($G124="",0,IF(NOT(OR($G124="A - All employees not in groups B, C, J, H, M or Z",$G124="B - Married women and widows entitled to reduced NI",$G124="C - Over the State Pension age",$G124="H - Apprentice under 25",$G124="J – Deferment",$G124="M - Under 21",$G124="Z - Deferment (Under 21)",$G124="Please Enter The NI Cont. in ££££")),$G124,SUM(MAX(MIN(AI124-'Input Data'!$BG$3,'Input Data'!$BG$5-'Input Data'!$BG$3),0)*VLOOKUP($G124,'Input Data'!$BI$3:$BL$10,2,FALSE),MAX(MIN(AI124-'Input Data'!$BG$5,IF(OR($G124="M (under 21)",$G124="Z (under 21 - deferment)"),'Input Data'!$BG$6,IF($G124="H (Apprentice under 25)",'Input Data'!$BG$7,'Input Data'!$BG$8))-'Input Data'!$BG$5),0)*VLOOKUP($G124,'Input Data'!$BI$3:$BL$10,3,FALSE),MAX((AI124-IF(OR($G124="M (under 21)",$G124="Z (under 21 - deferment)"),'Input Data'!$BG$6,IF($G124="H (Apprentice under 25)",'Input Data'!$BG$7,'Input Data'!$BG$8))),0)*VLOOKUP($G124,'Input Data'!$BI$3:$BL$10,4,FALSE))))</f>
        <v>0</v>
      </c>
      <c r="AR124" s="56">
        <f>IF($G124="",0,IF(NOT(OR($G124="A - All employees not in groups B, C, J, H, M or Z",$G124="B - Married women and widows entitled to reduced NI",$G124="C - Over the State Pension age",$G124="H - Apprentice under 25",$G124="J – Deferment",$G124="M - Under 21",$G124="Z - Deferment (Under 21)",$G124="Please Enter The NI Cont. in ££££")),$G124,SUM(MAX(MIN(AJ124-'Input Data'!$BG$3,'Input Data'!$BG$5-'Input Data'!$BG$3),0)*VLOOKUP($G124,'Input Data'!$BI$3:$BL$10,2,FALSE),MAX(MIN(AJ124-'Input Data'!$BG$5,IF(OR($G124="M (under 21)",$G124="Z (under 21 - deferment)"),'Input Data'!$BG$6,IF($G124="H (Apprentice under 25)",'Input Data'!$BG$7,'Input Data'!$BG$8))-'Input Data'!$BG$5),0)*VLOOKUP($G124,'Input Data'!$BI$3:$BL$10,3,FALSE),MAX((AJ124-IF(OR($G124="M (under 21)",$G124="Z (under 21 - deferment)"),'Input Data'!$BG$6,IF($G124="H (Apprentice under 25)",'Input Data'!$BG$7,'Input Data'!$BG$8))),0)*VLOOKUP($G124,'Input Data'!$BI$3:$BL$10,4,FALSE))))</f>
        <v>0</v>
      </c>
      <c r="AS124" s="56">
        <f>AC124*$F124</f>
        <v>0</v>
      </c>
      <c r="AT124" s="56">
        <f>AD124*$F124</f>
        <v>0</v>
      </c>
      <c r="AU124" s="56">
        <f>AE124*$F124</f>
        <v>0</v>
      </c>
      <c r="AV124" s="56">
        <f>AF124*$F124</f>
        <v>0</v>
      </c>
      <c r="AW124" s="56">
        <f>AG124*$F124</f>
        <v>0</v>
      </c>
      <c r="AX124" s="56">
        <f>AH124*$F124</f>
        <v>0</v>
      </c>
      <c r="AY124" s="56">
        <f>AI124*$F124</f>
        <v>0</v>
      </c>
      <c r="AZ124" s="56">
        <f>AJ124*$F124</f>
        <v>0</v>
      </c>
    </row>
    <row r="125" spans="2:52" ht="25.5">
      <c r="B125" s="60"/>
      <c r="C125" s="57" t="s">
        <v>96</v>
      </c>
      <c r="D125" s="58"/>
      <c r="E125" s="58"/>
      <c r="F125" s="535"/>
      <c r="G125" s="693" t="s">
        <v>1149</v>
      </c>
      <c r="H125" s="65"/>
      <c r="I125" s="65"/>
      <c r="J125" s="65"/>
      <c r="K125" s="65"/>
      <c r="L125" s="65"/>
      <c r="M125" s="65"/>
      <c r="N125" s="65"/>
      <c r="O125" s="65"/>
      <c r="P125" s="29"/>
      <c r="Q125" s="597"/>
      <c r="R125" s="61"/>
      <c r="T125" s="43">
        <f>SUM(AC125,AK125,AS125)</f>
        <v>0</v>
      </c>
      <c r="U125" s="43">
        <f>SUM(AD125,AL125,AT125)</f>
        <v>0</v>
      </c>
      <c r="V125" s="43">
        <f>SUM(AE125,AM125,AU125)</f>
        <v>0</v>
      </c>
      <c r="W125" s="43">
        <f>SUM(AF125,AN125,AV125)</f>
        <v>0</v>
      </c>
      <c r="X125" s="43">
        <f>SUM(AG125,AO125,AW125)</f>
        <v>0</v>
      </c>
      <c r="Y125" s="43">
        <f>SUM(AH125,AP125,AX125)</f>
        <v>0</v>
      </c>
      <c r="Z125" s="43">
        <f>SUM(AI125,AQ125,AY125)</f>
        <v>0</v>
      </c>
      <c r="AA125" s="43">
        <f>SUM(AJ125,AR125,AZ125)</f>
        <v>0</v>
      </c>
      <c r="AC125" s="631">
        <f>SUM($D125:$E125)*H125</f>
        <v>0</v>
      </c>
      <c r="AD125" s="631">
        <f>SUM($D125:$E125)*I125</f>
        <v>0</v>
      </c>
      <c r="AE125" s="631">
        <f>SUM($D125:$E125)*J125</f>
        <v>0</v>
      </c>
      <c r="AF125" s="631">
        <f>SUM($D125:$E125)*K125</f>
        <v>0</v>
      </c>
      <c r="AG125" s="631">
        <f>SUM($D125:$E125)*L125</f>
        <v>0</v>
      </c>
      <c r="AH125" s="631">
        <f>SUM($D125:$E125)*M125</f>
        <v>0</v>
      </c>
      <c r="AI125" s="631">
        <f>SUM($D125:$E125)*N125</f>
        <v>0</v>
      </c>
      <c r="AJ125" s="631">
        <f>SUM($D125:$E125)*O125</f>
        <v>0</v>
      </c>
      <c r="AK125" s="56">
        <f>IF($G125="",0,IF(NOT(OR($G125="A - All employees not in groups B, C, J, H, M or Z",$G125="B - Married women and widows entitled to reduced NI",$G125="C - Over the State Pension age",$G125="H - Apprentice under 25",$G125="J – Deferment",$G125="M - Under 21",$G125="Z - Deferment (Under 21)",$G125="Please Enter The NI Cont. in ££££")),$G125,SUM(MAX(MIN(AC125-'Input Data'!$BG$3,'Input Data'!$BG$5-'Input Data'!$BG$3),0)*VLOOKUP($G125,'Input Data'!$BI$3:$BL$10,2,FALSE),MAX(MIN(AC125-'Input Data'!$BG$5,IF(OR($G125="M (under 21)",$G125="Z (under 21 - deferment)"),'Input Data'!$BG$6,IF($G125="H (Apprentice under 25)",'Input Data'!$BG$7,'Input Data'!$BG$8))-'Input Data'!$BG$5),0)*VLOOKUP($G125,'Input Data'!$BI$3:$BL$10,3,FALSE),MAX((AC125-IF(OR($G125="M (under 21)",$G125="Z (under 21 - deferment)"),'Input Data'!$BG$6,IF($G125="H (Apprentice under 25)",'Input Data'!$BG$7,'Input Data'!$BG$8))),0)*VLOOKUP($G125,'Input Data'!$BI$3:$BL$10,4,FALSE))))</f>
        <v>0</v>
      </c>
      <c r="AL125" s="56">
        <f>IF($G125="",0,IF(NOT(OR($G125="A - All employees not in groups B, C, J, H, M or Z",$G125="B - Married women and widows entitled to reduced NI",$G125="C - Over the State Pension age",$G125="H - Apprentice under 25",$G125="J – Deferment",$G125="M - Under 21",$G125="Z - Deferment (Under 21)",$G125="Please Enter The NI Cont. in ££££")),$G125,SUM(MAX(MIN(AD125-'Input Data'!$BG$3,'Input Data'!$BG$5-'Input Data'!$BG$3),0)*VLOOKUP($G125,'Input Data'!$BI$3:$BL$10,2,FALSE),MAX(MIN(AD125-'Input Data'!$BG$5,IF(OR($G125="M (under 21)",$G125="Z (under 21 - deferment)"),'Input Data'!$BG$6,IF($G125="H (Apprentice under 25)",'Input Data'!$BG$7,'Input Data'!$BG$8))-'Input Data'!$BG$5),0)*VLOOKUP($G125,'Input Data'!$BI$3:$BL$10,3,FALSE),MAX((AD125-IF(OR($G125="M (under 21)",$G125="Z (under 21 - deferment)"),'Input Data'!$BG$6,IF($G125="H (Apprentice under 25)",'Input Data'!$BG$7,'Input Data'!$BG$8))),0)*VLOOKUP($G125,'Input Data'!$BI$3:$BL$10,4,FALSE))))</f>
        <v>0</v>
      </c>
      <c r="AM125" s="56">
        <f>IF($G125="",0,IF(NOT(OR($G125="A - All employees not in groups B, C, J, H, M or Z",$G125="B - Married women and widows entitled to reduced NI",$G125="C - Over the State Pension age",$G125="H - Apprentice under 25",$G125="J – Deferment",$G125="M - Under 21",$G125="Z - Deferment (Under 21)",$G125="Please Enter The NI Cont. in ££££")),$G125,SUM(MAX(MIN(AE125-'Input Data'!$BG$3,'Input Data'!$BG$5-'Input Data'!$BG$3),0)*VLOOKUP($G125,'Input Data'!$BI$3:$BL$10,2,FALSE),MAX(MIN(AE125-'Input Data'!$BG$5,IF(OR($G125="M (under 21)",$G125="Z (under 21 - deferment)"),'Input Data'!$BG$6,IF($G125="H (Apprentice under 25)",'Input Data'!$BG$7,'Input Data'!$BG$8))-'Input Data'!$BG$5),0)*VLOOKUP($G125,'Input Data'!$BI$3:$BL$10,3,FALSE),MAX((AE125-IF(OR($G125="M (under 21)",$G125="Z (under 21 - deferment)"),'Input Data'!$BG$6,IF($G125="H (Apprentice under 25)",'Input Data'!$BG$7,'Input Data'!$BG$8))),0)*VLOOKUP($G125,'Input Data'!$BI$3:$BL$10,4,FALSE))))</f>
        <v>0</v>
      </c>
      <c r="AN125" s="56">
        <f>IF($G125="",0,IF(NOT(OR($G125="A - All employees not in groups B, C, J, H, M or Z",$G125="B - Married women and widows entitled to reduced NI",$G125="C - Over the State Pension age",$G125="H - Apprentice under 25",$G125="J – Deferment",$G125="M - Under 21",$G125="Z - Deferment (Under 21)",$G125="Please Enter The NI Cont. in ££££")),$G125,SUM(MAX(MIN(AF125-'Input Data'!$BG$3,'Input Data'!$BG$5-'Input Data'!$BG$3),0)*VLOOKUP($G125,'Input Data'!$BI$3:$BL$10,2,FALSE),MAX(MIN(AF125-'Input Data'!$BG$5,IF(OR($G125="M (under 21)",$G125="Z (under 21 - deferment)"),'Input Data'!$BG$6,IF($G125="H (Apprentice under 25)",'Input Data'!$BG$7,'Input Data'!$BG$8))-'Input Data'!$BG$5),0)*VLOOKUP($G125,'Input Data'!$BI$3:$BL$10,3,FALSE),MAX((AF125-IF(OR($G125="M (under 21)",$G125="Z (under 21 - deferment)"),'Input Data'!$BG$6,IF($G125="H (Apprentice under 25)",'Input Data'!$BG$7,'Input Data'!$BG$8))),0)*VLOOKUP($G125,'Input Data'!$BI$3:$BL$10,4,FALSE))))</f>
        <v>0</v>
      </c>
      <c r="AO125" s="56">
        <f>IF($G125="",0,IF(NOT(OR($G125="A - All employees not in groups B, C, J, H, M or Z",$G125="B - Married women and widows entitled to reduced NI",$G125="C - Over the State Pension age",$G125="H - Apprentice under 25",$G125="J – Deferment",$G125="M - Under 21",$G125="Z - Deferment (Under 21)",$G125="Please Enter The NI Cont. in ££££")),$G125,SUM(MAX(MIN(AG125-'Input Data'!$BG$3,'Input Data'!$BG$5-'Input Data'!$BG$3),0)*VLOOKUP($G125,'Input Data'!$BI$3:$BL$10,2,FALSE),MAX(MIN(AG125-'Input Data'!$BG$5,IF(OR($G125="M (under 21)",$G125="Z (under 21 - deferment)"),'Input Data'!$BG$6,IF($G125="H (Apprentice under 25)",'Input Data'!$BG$7,'Input Data'!$BG$8))-'Input Data'!$BG$5),0)*VLOOKUP($G125,'Input Data'!$BI$3:$BL$10,3,FALSE),MAX((AG125-IF(OR($G125="M (under 21)",$G125="Z (under 21 - deferment)"),'Input Data'!$BG$6,IF($G125="H (Apprentice under 25)",'Input Data'!$BG$7,'Input Data'!$BG$8))),0)*VLOOKUP($G125,'Input Data'!$BI$3:$BL$10,4,FALSE))))</f>
        <v>0</v>
      </c>
      <c r="AP125" s="56">
        <f>IF($G125="",0,IF(NOT(OR($G125="A - All employees not in groups B, C, J, H, M or Z",$G125="B - Married women and widows entitled to reduced NI",$G125="C - Over the State Pension age",$G125="H - Apprentice under 25",$G125="J – Deferment",$G125="M - Under 21",$G125="Z - Deferment (Under 21)",$G125="Please Enter The NI Cont. in ££££")),$G125,SUM(MAX(MIN(AH125-'Input Data'!$BG$3,'Input Data'!$BG$5-'Input Data'!$BG$3),0)*VLOOKUP($G125,'Input Data'!$BI$3:$BL$10,2,FALSE),MAX(MIN(AH125-'Input Data'!$BG$5,IF(OR($G125="M (under 21)",$G125="Z (under 21 - deferment)"),'Input Data'!$BG$6,IF($G125="H (Apprentice under 25)",'Input Data'!$BG$7,'Input Data'!$BG$8))-'Input Data'!$BG$5),0)*VLOOKUP($G125,'Input Data'!$BI$3:$BL$10,3,FALSE),MAX((AH125-IF(OR($G125="M (under 21)",$G125="Z (under 21 - deferment)"),'Input Data'!$BG$6,IF($G125="H (Apprentice under 25)",'Input Data'!$BG$7,'Input Data'!$BG$8))),0)*VLOOKUP($G125,'Input Data'!$BI$3:$BL$10,4,FALSE))))</f>
        <v>0</v>
      </c>
      <c r="AQ125" s="56">
        <f>IF($G125="",0,IF(NOT(OR($G125="A - All employees not in groups B, C, J, H, M or Z",$G125="B - Married women and widows entitled to reduced NI",$G125="C - Over the State Pension age",$G125="H - Apprentice under 25",$G125="J – Deferment",$G125="M - Under 21",$G125="Z - Deferment (Under 21)",$G125="Please Enter The NI Cont. in ££££")),$G125,SUM(MAX(MIN(AI125-'Input Data'!$BG$3,'Input Data'!$BG$5-'Input Data'!$BG$3),0)*VLOOKUP($G125,'Input Data'!$BI$3:$BL$10,2,FALSE),MAX(MIN(AI125-'Input Data'!$BG$5,IF(OR($G125="M (under 21)",$G125="Z (under 21 - deferment)"),'Input Data'!$BG$6,IF($G125="H (Apprentice under 25)",'Input Data'!$BG$7,'Input Data'!$BG$8))-'Input Data'!$BG$5),0)*VLOOKUP($G125,'Input Data'!$BI$3:$BL$10,3,FALSE),MAX((AI125-IF(OR($G125="M (under 21)",$G125="Z (under 21 - deferment)"),'Input Data'!$BG$6,IF($G125="H (Apprentice under 25)",'Input Data'!$BG$7,'Input Data'!$BG$8))),0)*VLOOKUP($G125,'Input Data'!$BI$3:$BL$10,4,FALSE))))</f>
        <v>0</v>
      </c>
      <c r="AR125" s="56">
        <f>IF($G125="",0,IF(NOT(OR($G125="A - All employees not in groups B, C, J, H, M or Z",$G125="B - Married women and widows entitled to reduced NI",$G125="C - Over the State Pension age",$G125="H - Apprentice under 25",$G125="J – Deferment",$G125="M - Under 21",$G125="Z - Deferment (Under 21)",$G125="Please Enter The NI Cont. in ££££")),$G125,SUM(MAX(MIN(AJ125-'Input Data'!$BG$3,'Input Data'!$BG$5-'Input Data'!$BG$3),0)*VLOOKUP($G125,'Input Data'!$BI$3:$BL$10,2,FALSE),MAX(MIN(AJ125-'Input Data'!$BG$5,IF(OR($G125="M (under 21)",$G125="Z (under 21 - deferment)"),'Input Data'!$BG$6,IF($G125="H (Apprentice under 25)",'Input Data'!$BG$7,'Input Data'!$BG$8))-'Input Data'!$BG$5),0)*VLOOKUP($G125,'Input Data'!$BI$3:$BL$10,3,FALSE),MAX((AJ125-IF(OR($G125="M (under 21)",$G125="Z (under 21 - deferment)"),'Input Data'!$BG$6,IF($G125="H (Apprentice under 25)",'Input Data'!$BG$7,'Input Data'!$BG$8))),0)*VLOOKUP($G125,'Input Data'!$BI$3:$BL$10,4,FALSE))))</f>
        <v>0</v>
      </c>
      <c r="AS125" s="56">
        <f>AC125*$F125</f>
        <v>0</v>
      </c>
      <c r="AT125" s="56">
        <f>AD125*$F125</f>
        <v>0</v>
      </c>
      <c r="AU125" s="56">
        <f>AE125*$F125</f>
        <v>0</v>
      </c>
      <c r="AV125" s="56">
        <f>AF125*$F125</f>
        <v>0</v>
      </c>
      <c r="AW125" s="56">
        <f>AG125*$F125</f>
        <v>0</v>
      </c>
      <c r="AX125" s="56">
        <f>AH125*$F125</f>
        <v>0</v>
      </c>
      <c r="AY125" s="56">
        <f>AI125*$F125</f>
        <v>0</v>
      </c>
      <c r="AZ125" s="56">
        <f>AJ125*$F125</f>
        <v>0</v>
      </c>
    </row>
    <row r="126" spans="2:52" ht="25.5">
      <c r="B126" s="60"/>
      <c r="C126" s="57" t="s">
        <v>97</v>
      </c>
      <c r="D126" s="58"/>
      <c r="E126" s="58"/>
      <c r="F126" s="535"/>
      <c r="G126" s="693" t="s">
        <v>1149</v>
      </c>
      <c r="H126" s="65"/>
      <c r="I126" s="65"/>
      <c r="J126" s="65"/>
      <c r="K126" s="65"/>
      <c r="L126" s="65"/>
      <c r="M126" s="65"/>
      <c r="N126" s="65"/>
      <c r="O126" s="65"/>
      <c r="P126" s="29"/>
      <c r="Q126" s="597"/>
      <c r="R126" s="61"/>
      <c r="T126" s="43">
        <f>SUM(AC126,AK126,AS126)</f>
        <v>0</v>
      </c>
      <c r="U126" s="43">
        <f>SUM(AD126,AL126,AT126)</f>
        <v>0</v>
      </c>
      <c r="V126" s="43">
        <f>SUM(AE126,AM126,AU126)</f>
        <v>0</v>
      </c>
      <c r="W126" s="43">
        <f>SUM(AF126,AN126,AV126)</f>
        <v>0</v>
      </c>
      <c r="X126" s="43">
        <f>SUM(AG126,AO126,AW126)</f>
        <v>0</v>
      </c>
      <c r="Y126" s="43">
        <f>SUM(AH126,AP126,AX126)</f>
        <v>0</v>
      </c>
      <c r="Z126" s="43">
        <f>SUM(AI126,AQ126,AY126)</f>
        <v>0</v>
      </c>
      <c r="AA126" s="43">
        <f>SUM(AJ126,AR126,AZ126)</f>
        <v>0</v>
      </c>
      <c r="AC126" s="631">
        <f>SUM($D126:$E126)*H126</f>
        <v>0</v>
      </c>
      <c r="AD126" s="631">
        <f>SUM($D126:$E126)*I126</f>
        <v>0</v>
      </c>
      <c r="AE126" s="631">
        <f>SUM($D126:$E126)*J126</f>
        <v>0</v>
      </c>
      <c r="AF126" s="631">
        <f>SUM($D126:$E126)*K126</f>
        <v>0</v>
      </c>
      <c r="AG126" s="631">
        <f>SUM($D126:$E126)*L126</f>
        <v>0</v>
      </c>
      <c r="AH126" s="631">
        <f>SUM($D126:$E126)*M126</f>
        <v>0</v>
      </c>
      <c r="AI126" s="631">
        <f>SUM($D126:$E126)*N126</f>
        <v>0</v>
      </c>
      <c r="AJ126" s="631">
        <f>SUM($D126:$E126)*O126</f>
        <v>0</v>
      </c>
      <c r="AK126" s="56">
        <f>IF($G126="",0,IF(NOT(OR($G126="A - All employees not in groups B, C, J, H, M or Z",$G126="B - Married women and widows entitled to reduced NI",$G126="C - Over the State Pension age",$G126="H - Apprentice under 25",$G126="J – Deferment",$G126="M - Under 21",$G126="Z - Deferment (Under 21)",$G126="Please Enter The NI Cont. in ££££")),$G126,SUM(MAX(MIN(AC126-'Input Data'!$BG$3,'Input Data'!$BG$5-'Input Data'!$BG$3),0)*VLOOKUP($G126,'Input Data'!$BI$3:$BL$10,2,FALSE),MAX(MIN(AC126-'Input Data'!$BG$5,IF(OR($G126="M (under 21)",$G126="Z (under 21 - deferment)"),'Input Data'!$BG$6,IF($G126="H (Apprentice under 25)",'Input Data'!$BG$7,'Input Data'!$BG$8))-'Input Data'!$BG$5),0)*VLOOKUP($G126,'Input Data'!$BI$3:$BL$10,3,FALSE),MAX((AC126-IF(OR($G126="M (under 21)",$G126="Z (under 21 - deferment)"),'Input Data'!$BG$6,IF($G126="H (Apprentice under 25)",'Input Data'!$BG$7,'Input Data'!$BG$8))),0)*VLOOKUP($G126,'Input Data'!$BI$3:$BL$10,4,FALSE))))</f>
        <v>0</v>
      </c>
      <c r="AL126" s="56">
        <f>IF($G126="",0,IF(NOT(OR($G126="A - All employees not in groups B, C, J, H, M or Z",$G126="B - Married women and widows entitled to reduced NI",$G126="C - Over the State Pension age",$G126="H - Apprentice under 25",$G126="J – Deferment",$G126="M - Under 21",$G126="Z - Deferment (Under 21)",$G126="Please Enter The NI Cont. in ££££")),$G126,SUM(MAX(MIN(AD126-'Input Data'!$BG$3,'Input Data'!$BG$5-'Input Data'!$BG$3),0)*VLOOKUP($G126,'Input Data'!$BI$3:$BL$10,2,FALSE),MAX(MIN(AD126-'Input Data'!$BG$5,IF(OR($G126="M (under 21)",$G126="Z (under 21 - deferment)"),'Input Data'!$BG$6,IF($G126="H (Apprentice under 25)",'Input Data'!$BG$7,'Input Data'!$BG$8))-'Input Data'!$BG$5),0)*VLOOKUP($G126,'Input Data'!$BI$3:$BL$10,3,FALSE),MAX((AD126-IF(OR($G126="M (under 21)",$G126="Z (under 21 - deferment)"),'Input Data'!$BG$6,IF($G126="H (Apprentice under 25)",'Input Data'!$BG$7,'Input Data'!$BG$8))),0)*VLOOKUP($G126,'Input Data'!$BI$3:$BL$10,4,FALSE))))</f>
        <v>0</v>
      </c>
      <c r="AM126" s="56">
        <f>IF($G126="",0,IF(NOT(OR($G126="A - All employees not in groups B, C, J, H, M or Z",$G126="B - Married women and widows entitled to reduced NI",$G126="C - Over the State Pension age",$G126="H - Apprentice under 25",$G126="J – Deferment",$G126="M - Under 21",$G126="Z - Deferment (Under 21)",$G126="Please Enter The NI Cont. in ££££")),$G126,SUM(MAX(MIN(AE126-'Input Data'!$BG$3,'Input Data'!$BG$5-'Input Data'!$BG$3),0)*VLOOKUP($G126,'Input Data'!$BI$3:$BL$10,2,FALSE),MAX(MIN(AE126-'Input Data'!$BG$5,IF(OR($G126="M (under 21)",$G126="Z (under 21 - deferment)"),'Input Data'!$BG$6,IF($G126="H (Apprentice under 25)",'Input Data'!$BG$7,'Input Data'!$BG$8))-'Input Data'!$BG$5),0)*VLOOKUP($G126,'Input Data'!$BI$3:$BL$10,3,FALSE),MAX((AE126-IF(OR($G126="M (under 21)",$G126="Z (under 21 - deferment)"),'Input Data'!$BG$6,IF($G126="H (Apprentice under 25)",'Input Data'!$BG$7,'Input Data'!$BG$8))),0)*VLOOKUP($G126,'Input Data'!$BI$3:$BL$10,4,FALSE))))</f>
        <v>0</v>
      </c>
      <c r="AN126" s="56">
        <f>IF($G126="",0,IF(NOT(OR($G126="A - All employees not in groups B, C, J, H, M or Z",$G126="B - Married women and widows entitled to reduced NI",$G126="C - Over the State Pension age",$G126="H - Apprentice under 25",$G126="J – Deferment",$G126="M - Under 21",$G126="Z - Deferment (Under 21)",$G126="Please Enter The NI Cont. in ££££")),$G126,SUM(MAX(MIN(AF126-'Input Data'!$BG$3,'Input Data'!$BG$5-'Input Data'!$BG$3),0)*VLOOKUP($G126,'Input Data'!$BI$3:$BL$10,2,FALSE),MAX(MIN(AF126-'Input Data'!$BG$5,IF(OR($G126="M (under 21)",$G126="Z (under 21 - deferment)"),'Input Data'!$BG$6,IF($G126="H (Apprentice under 25)",'Input Data'!$BG$7,'Input Data'!$BG$8))-'Input Data'!$BG$5),0)*VLOOKUP($G126,'Input Data'!$BI$3:$BL$10,3,FALSE),MAX((AF126-IF(OR($G126="M (under 21)",$G126="Z (under 21 - deferment)"),'Input Data'!$BG$6,IF($G126="H (Apprentice under 25)",'Input Data'!$BG$7,'Input Data'!$BG$8))),0)*VLOOKUP($G126,'Input Data'!$BI$3:$BL$10,4,FALSE))))</f>
        <v>0</v>
      </c>
      <c r="AO126" s="56">
        <f>IF($G126="",0,IF(NOT(OR($G126="A - All employees not in groups B, C, J, H, M or Z",$G126="B - Married women and widows entitled to reduced NI",$G126="C - Over the State Pension age",$G126="H - Apprentice under 25",$G126="J – Deferment",$G126="M - Under 21",$G126="Z - Deferment (Under 21)",$G126="Please Enter The NI Cont. in ££££")),$G126,SUM(MAX(MIN(AG126-'Input Data'!$BG$3,'Input Data'!$BG$5-'Input Data'!$BG$3),0)*VLOOKUP($G126,'Input Data'!$BI$3:$BL$10,2,FALSE),MAX(MIN(AG126-'Input Data'!$BG$5,IF(OR($G126="M (under 21)",$G126="Z (under 21 - deferment)"),'Input Data'!$BG$6,IF($G126="H (Apprentice under 25)",'Input Data'!$BG$7,'Input Data'!$BG$8))-'Input Data'!$BG$5),0)*VLOOKUP($G126,'Input Data'!$BI$3:$BL$10,3,FALSE),MAX((AG126-IF(OR($G126="M (under 21)",$G126="Z (under 21 - deferment)"),'Input Data'!$BG$6,IF($G126="H (Apprentice under 25)",'Input Data'!$BG$7,'Input Data'!$BG$8))),0)*VLOOKUP($G126,'Input Data'!$BI$3:$BL$10,4,FALSE))))</f>
        <v>0</v>
      </c>
      <c r="AP126" s="56">
        <f>IF($G126="",0,IF(NOT(OR($G126="A - All employees not in groups B, C, J, H, M or Z",$G126="B - Married women and widows entitled to reduced NI",$G126="C - Over the State Pension age",$G126="H - Apprentice under 25",$G126="J – Deferment",$G126="M - Under 21",$G126="Z - Deferment (Under 21)",$G126="Please Enter The NI Cont. in ££££")),$G126,SUM(MAX(MIN(AH126-'Input Data'!$BG$3,'Input Data'!$BG$5-'Input Data'!$BG$3),0)*VLOOKUP($G126,'Input Data'!$BI$3:$BL$10,2,FALSE),MAX(MIN(AH126-'Input Data'!$BG$5,IF(OR($G126="M (under 21)",$G126="Z (under 21 - deferment)"),'Input Data'!$BG$6,IF($G126="H (Apprentice under 25)",'Input Data'!$BG$7,'Input Data'!$BG$8))-'Input Data'!$BG$5),0)*VLOOKUP($G126,'Input Data'!$BI$3:$BL$10,3,FALSE),MAX((AH126-IF(OR($G126="M (under 21)",$G126="Z (under 21 - deferment)"),'Input Data'!$BG$6,IF($G126="H (Apprentice under 25)",'Input Data'!$BG$7,'Input Data'!$BG$8))),0)*VLOOKUP($G126,'Input Data'!$BI$3:$BL$10,4,FALSE))))</f>
        <v>0</v>
      </c>
      <c r="AQ126" s="56">
        <f>IF($G126="",0,IF(NOT(OR($G126="A - All employees not in groups B, C, J, H, M or Z",$G126="B - Married women and widows entitled to reduced NI",$G126="C - Over the State Pension age",$G126="H - Apprentice under 25",$G126="J – Deferment",$G126="M - Under 21",$G126="Z - Deferment (Under 21)",$G126="Please Enter The NI Cont. in ££££")),$G126,SUM(MAX(MIN(AI126-'Input Data'!$BG$3,'Input Data'!$BG$5-'Input Data'!$BG$3),0)*VLOOKUP($G126,'Input Data'!$BI$3:$BL$10,2,FALSE),MAX(MIN(AI126-'Input Data'!$BG$5,IF(OR($G126="M (under 21)",$G126="Z (under 21 - deferment)"),'Input Data'!$BG$6,IF($G126="H (Apprentice under 25)",'Input Data'!$BG$7,'Input Data'!$BG$8))-'Input Data'!$BG$5),0)*VLOOKUP($G126,'Input Data'!$BI$3:$BL$10,3,FALSE),MAX((AI126-IF(OR($G126="M (under 21)",$G126="Z (under 21 - deferment)"),'Input Data'!$BG$6,IF($G126="H (Apprentice under 25)",'Input Data'!$BG$7,'Input Data'!$BG$8))),0)*VLOOKUP($G126,'Input Data'!$BI$3:$BL$10,4,FALSE))))</f>
        <v>0</v>
      </c>
      <c r="AR126" s="56">
        <f>IF($G126="",0,IF(NOT(OR($G126="A - All employees not in groups B, C, J, H, M or Z",$G126="B - Married women and widows entitled to reduced NI",$G126="C - Over the State Pension age",$G126="H - Apprentice under 25",$G126="J – Deferment",$G126="M - Under 21",$G126="Z - Deferment (Under 21)",$G126="Please Enter The NI Cont. in ££££")),$G126,SUM(MAX(MIN(AJ126-'Input Data'!$BG$3,'Input Data'!$BG$5-'Input Data'!$BG$3),0)*VLOOKUP($G126,'Input Data'!$BI$3:$BL$10,2,FALSE),MAX(MIN(AJ126-'Input Data'!$BG$5,IF(OR($G126="M (under 21)",$G126="Z (under 21 - deferment)"),'Input Data'!$BG$6,IF($G126="H (Apprentice under 25)",'Input Data'!$BG$7,'Input Data'!$BG$8))-'Input Data'!$BG$5),0)*VLOOKUP($G126,'Input Data'!$BI$3:$BL$10,3,FALSE),MAX((AJ126-IF(OR($G126="M (under 21)",$G126="Z (under 21 - deferment)"),'Input Data'!$BG$6,IF($G126="H (Apprentice under 25)",'Input Data'!$BG$7,'Input Data'!$BG$8))),0)*VLOOKUP($G126,'Input Data'!$BI$3:$BL$10,4,FALSE))))</f>
        <v>0</v>
      </c>
      <c r="AS126" s="56">
        <f>AC126*$F126</f>
        <v>0</v>
      </c>
      <c r="AT126" s="56">
        <f>AD126*$F126</f>
        <v>0</v>
      </c>
      <c r="AU126" s="56">
        <f>AE126*$F126</f>
        <v>0</v>
      </c>
      <c r="AV126" s="56">
        <f>AF126*$F126</f>
        <v>0</v>
      </c>
      <c r="AW126" s="56">
        <f>AG126*$F126</f>
        <v>0</v>
      </c>
      <c r="AX126" s="56">
        <f>AH126*$F126</f>
        <v>0</v>
      </c>
      <c r="AY126" s="56">
        <f>AI126*$F126</f>
        <v>0</v>
      </c>
      <c r="AZ126" s="56">
        <f>AJ126*$F126</f>
        <v>0</v>
      </c>
    </row>
    <row r="127" spans="2:52" ht="25.5">
      <c r="B127" s="60"/>
      <c r="C127" s="57" t="s">
        <v>98</v>
      </c>
      <c r="D127" s="58"/>
      <c r="E127" s="58"/>
      <c r="F127" s="535"/>
      <c r="G127" s="693" t="s">
        <v>1149</v>
      </c>
      <c r="H127" s="65"/>
      <c r="I127" s="65"/>
      <c r="J127" s="65"/>
      <c r="K127" s="65"/>
      <c r="L127" s="65"/>
      <c r="M127" s="65"/>
      <c r="N127" s="65"/>
      <c r="O127" s="65"/>
      <c r="P127" s="29"/>
      <c r="Q127" s="597"/>
      <c r="R127" s="61"/>
      <c r="T127" s="43">
        <f>SUM(AC127,AK127,AS127)</f>
        <v>0</v>
      </c>
      <c r="U127" s="43">
        <f>SUM(AD127,AL127,AT127)</f>
        <v>0</v>
      </c>
      <c r="V127" s="43">
        <f>SUM(AE127,AM127,AU127)</f>
        <v>0</v>
      </c>
      <c r="W127" s="43">
        <f>SUM(AF127,AN127,AV127)</f>
        <v>0</v>
      </c>
      <c r="X127" s="43">
        <f>SUM(AG127,AO127,AW127)</f>
        <v>0</v>
      </c>
      <c r="Y127" s="43">
        <f>SUM(AH127,AP127,AX127)</f>
        <v>0</v>
      </c>
      <c r="Z127" s="43">
        <f>SUM(AI127,AQ127,AY127)</f>
        <v>0</v>
      </c>
      <c r="AA127" s="43">
        <f>SUM(AJ127,AR127,AZ127)</f>
        <v>0</v>
      </c>
      <c r="AC127" s="631">
        <f>SUM($D127:$E127)*H127</f>
        <v>0</v>
      </c>
      <c r="AD127" s="631">
        <f>SUM($D127:$E127)*I127</f>
        <v>0</v>
      </c>
      <c r="AE127" s="631">
        <f>SUM($D127:$E127)*J127</f>
        <v>0</v>
      </c>
      <c r="AF127" s="631">
        <f>SUM($D127:$E127)*K127</f>
        <v>0</v>
      </c>
      <c r="AG127" s="631">
        <f>SUM($D127:$E127)*L127</f>
        <v>0</v>
      </c>
      <c r="AH127" s="631">
        <f>SUM($D127:$E127)*M127</f>
        <v>0</v>
      </c>
      <c r="AI127" s="631">
        <f>SUM($D127:$E127)*N127</f>
        <v>0</v>
      </c>
      <c r="AJ127" s="631">
        <f>SUM($D127:$E127)*O127</f>
        <v>0</v>
      </c>
      <c r="AK127" s="56">
        <f>IF($G127="",0,IF(NOT(OR($G127="A - All employees not in groups B, C, J, H, M or Z",$G127="B - Married women and widows entitled to reduced NI",$G127="C - Over the State Pension age",$G127="H - Apprentice under 25",$G127="J – Deferment",$G127="M - Under 21",$G127="Z - Deferment (Under 21)",$G127="Please Enter The NI Cont. in ££££")),$G127,SUM(MAX(MIN(AC127-'Input Data'!$BG$3,'Input Data'!$BG$5-'Input Data'!$BG$3),0)*VLOOKUP($G127,'Input Data'!$BI$3:$BL$10,2,FALSE),MAX(MIN(AC127-'Input Data'!$BG$5,IF(OR($G127="M (under 21)",$G127="Z (under 21 - deferment)"),'Input Data'!$BG$6,IF($G127="H (Apprentice under 25)",'Input Data'!$BG$7,'Input Data'!$BG$8))-'Input Data'!$BG$5),0)*VLOOKUP($G127,'Input Data'!$BI$3:$BL$10,3,FALSE),MAX((AC127-IF(OR($G127="M (under 21)",$G127="Z (under 21 - deferment)"),'Input Data'!$BG$6,IF($G127="H (Apprentice under 25)",'Input Data'!$BG$7,'Input Data'!$BG$8))),0)*VLOOKUP($G127,'Input Data'!$BI$3:$BL$10,4,FALSE))))</f>
        <v>0</v>
      </c>
      <c r="AL127" s="56">
        <f>IF($G127="",0,IF(NOT(OR($G127="A - All employees not in groups B, C, J, H, M or Z",$G127="B - Married women and widows entitled to reduced NI",$G127="C - Over the State Pension age",$G127="H - Apprentice under 25",$G127="J – Deferment",$G127="M - Under 21",$G127="Z - Deferment (Under 21)",$G127="Please Enter The NI Cont. in ££££")),$G127,SUM(MAX(MIN(AD127-'Input Data'!$BG$3,'Input Data'!$BG$5-'Input Data'!$BG$3),0)*VLOOKUP($G127,'Input Data'!$BI$3:$BL$10,2,FALSE),MAX(MIN(AD127-'Input Data'!$BG$5,IF(OR($G127="M (under 21)",$G127="Z (under 21 - deferment)"),'Input Data'!$BG$6,IF($G127="H (Apprentice under 25)",'Input Data'!$BG$7,'Input Data'!$BG$8))-'Input Data'!$BG$5),0)*VLOOKUP($G127,'Input Data'!$BI$3:$BL$10,3,FALSE),MAX((AD127-IF(OR($G127="M (under 21)",$G127="Z (under 21 - deferment)"),'Input Data'!$BG$6,IF($G127="H (Apprentice under 25)",'Input Data'!$BG$7,'Input Data'!$BG$8))),0)*VLOOKUP($G127,'Input Data'!$BI$3:$BL$10,4,FALSE))))</f>
        <v>0</v>
      </c>
      <c r="AM127" s="56">
        <f>IF($G127="",0,IF(NOT(OR($G127="A - All employees not in groups B, C, J, H, M or Z",$G127="B - Married women and widows entitled to reduced NI",$G127="C - Over the State Pension age",$G127="H - Apprentice under 25",$G127="J – Deferment",$G127="M - Under 21",$G127="Z - Deferment (Under 21)",$G127="Please Enter The NI Cont. in ££££")),$G127,SUM(MAX(MIN(AE127-'Input Data'!$BG$3,'Input Data'!$BG$5-'Input Data'!$BG$3),0)*VLOOKUP($G127,'Input Data'!$BI$3:$BL$10,2,FALSE),MAX(MIN(AE127-'Input Data'!$BG$5,IF(OR($G127="M (under 21)",$G127="Z (under 21 - deferment)"),'Input Data'!$BG$6,IF($G127="H (Apprentice under 25)",'Input Data'!$BG$7,'Input Data'!$BG$8))-'Input Data'!$BG$5),0)*VLOOKUP($G127,'Input Data'!$BI$3:$BL$10,3,FALSE),MAX((AE127-IF(OR($G127="M (under 21)",$G127="Z (under 21 - deferment)"),'Input Data'!$BG$6,IF($G127="H (Apprentice under 25)",'Input Data'!$BG$7,'Input Data'!$BG$8))),0)*VLOOKUP($G127,'Input Data'!$BI$3:$BL$10,4,FALSE))))</f>
        <v>0</v>
      </c>
      <c r="AN127" s="56">
        <f>IF($G127="",0,IF(NOT(OR($G127="A - All employees not in groups B, C, J, H, M or Z",$G127="B - Married women and widows entitled to reduced NI",$G127="C - Over the State Pension age",$G127="H - Apprentice under 25",$G127="J – Deferment",$G127="M - Under 21",$G127="Z - Deferment (Under 21)",$G127="Please Enter The NI Cont. in ££££")),$G127,SUM(MAX(MIN(AF127-'Input Data'!$BG$3,'Input Data'!$BG$5-'Input Data'!$BG$3),0)*VLOOKUP($G127,'Input Data'!$BI$3:$BL$10,2,FALSE),MAX(MIN(AF127-'Input Data'!$BG$5,IF(OR($G127="M (under 21)",$G127="Z (under 21 - deferment)"),'Input Data'!$BG$6,IF($G127="H (Apprentice under 25)",'Input Data'!$BG$7,'Input Data'!$BG$8))-'Input Data'!$BG$5),0)*VLOOKUP($G127,'Input Data'!$BI$3:$BL$10,3,FALSE),MAX((AF127-IF(OR($G127="M (under 21)",$G127="Z (under 21 - deferment)"),'Input Data'!$BG$6,IF($G127="H (Apprentice under 25)",'Input Data'!$BG$7,'Input Data'!$BG$8))),0)*VLOOKUP($G127,'Input Data'!$BI$3:$BL$10,4,FALSE))))</f>
        <v>0</v>
      </c>
      <c r="AO127" s="56">
        <f>IF($G127="",0,IF(NOT(OR($G127="A - All employees not in groups B, C, J, H, M or Z",$G127="B - Married women and widows entitled to reduced NI",$G127="C - Over the State Pension age",$G127="H - Apprentice under 25",$G127="J – Deferment",$G127="M - Under 21",$G127="Z - Deferment (Under 21)",$G127="Please Enter The NI Cont. in ££££")),$G127,SUM(MAX(MIN(AG127-'Input Data'!$BG$3,'Input Data'!$BG$5-'Input Data'!$BG$3),0)*VLOOKUP($G127,'Input Data'!$BI$3:$BL$10,2,FALSE),MAX(MIN(AG127-'Input Data'!$BG$5,IF(OR($G127="M (under 21)",$G127="Z (under 21 - deferment)"),'Input Data'!$BG$6,IF($G127="H (Apprentice under 25)",'Input Data'!$BG$7,'Input Data'!$BG$8))-'Input Data'!$BG$5),0)*VLOOKUP($G127,'Input Data'!$BI$3:$BL$10,3,FALSE),MAX((AG127-IF(OR($G127="M (under 21)",$G127="Z (under 21 - deferment)"),'Input Data'!$BG$6,IF($G127="H (Apprentice under 25)",'Input Data'!$BG$7,'Input Data'!$BG$8))),0)*VLOOKUP($G127,'Input Data'!$BI$3:$BL$10,4,FALSE))))</f>
        <v>0</v>
      </c>
      <c r="AP127" s="56">
        <f>IF($G127="",0,IF(NOT(OR($G127="A - All employees not in groups B, C, J, H, M or Z",$G127="B - Married women and widows entitled to reduced NI",$G127="C - Over the State Pension age",$G127="H - Apprentice under 25",$G127="J – Deferment",$G127="M - Under 21",$G127="Z - Deferment (Under 21)",$G127="Please Enter The NI Cont. in ££££")),$G127,SUM(MAX(MIN(AH127-'Input Data'!$BG$3,'Input Data'!$BG$5-'Input Data'!$BG$3),0)*VLOOKUP($G127,'Input Data'!$BI$3:$BL$10,2,FALSE),MAX(MIN(AH127-'Input Data'!$BG$5,IF(OR($G127="M (under 21)",$G127="Z (under 21 - deferment)"),'Input Data'!$BG$6,IF($G127="H (Apprentice under 25)",'Input Data'!$BG$7,'Input Data'!$BG$8))-'Input Data'!$BG$5),0)*VLOOKUP($G127,'Input Data'!$BI$3:$BL$10,3,FALSE),MAX((AH127-IF(OR($G127="M (under 21)",$G127="Z (under 21 - deferment)"),'Input Data'!$BG$6,IF($G127="H (Apprentice under 25)",'Input Data'!$BG$7,'Input Data'!$BG$8))),0)*VLOOKUP($G127,'Input Data'!$BI$3:$BL$10,4,FALSE))))</f>
        <v>0</v>
      </c>
      <c r="AQ127" s="56">
        <f>IF($G127="",0,IF(NOT(OR($G127="A - All employees not in groups B, C, J, H, M or Z",$G127="B - Married women and widows entitled to reduced NI",$G127="C - Over the State Pension age",$G127="H - Apprentice under 25",$G127="J – Deferment",$G127="M - Under 21",$G127="Z - Deferment (Under 21)",$G127="Please Enter The NI Cont. in ££££")),$G127,SUM(MAX(MIN(AI127-'Input Data'!$BG$3,'Input Data'!$BG$5-'Input Data'!$BG$3),0)*VLOOKUP($G127,'Input Data'!$BI$3:$BL$10,2,FALSE),MAX(MIN(AI127-'Input Data'!$BG$5,IF(OR($G127="M (under 21)",$G127="Z (under 21 - deferment)"),'Input Data'!$BG$6,IF($G127="H (Apprentice under 25)",'Input Data'!$BG$7,'Input Data'!$BG$8))-'Input Data'!$BG$5),0)*VLOOKUP($G127,'Input Data'!$BI$3:$BL$10,3,FALSE),MAX((AI127-IF(OR($G127="M (under 21)",$G127="Z (under 21 - deferment)"),'Input Data'!$BG$6,IF($G127="H (Apprentice under 25)",'Input Data'!$BG$7,'Input Data'!$BG$8))),0)*VLOOKUP($G127,'Input Data'!$BI$3:$BL$10,4,FALSE))))</f>
        <v>0</v>
      </c>
      <c r="AR127" s="56">
        <f>IF($G127="",0,IF(NOT(OR($G127="A - All employees not in groups B, C, J, H, M or Z",$G127="B - Married women and widows entitled to reduced NI",$G127="C - Over the State Pension age",$G127="H - Apprentice under 25",$G127="J – Deferment",$G127="M - Under 21",$G127="Z - Deferment (Under 21)",$G127="Please Enter The NI Cont. in ££££")),$G127,SUM(MAX(MIN(AJ127-'Input Data'!$BG$3,'Input Data'!$BG$5-'Input Data'!$BG$3),0)*VLOOKUP($G127,'Input Data'!$BI$3:$BL$10,2,FALSE),MAX(MIN(AJ127-'Input Data'!$BG$5,IF(OR($G127="M (under 21)",$G127="Z (under 21 - deferment)"),'Input Data'!$BG$6,IF($G127="H (Apprentice under 25)",'Input Data'!$BG$7,'Input Data'!$BG$8))-'Input Data'!$BG$5),0)*VLOOKUP($G127,'Input Data'!$BI$3:$BL$10,3,FALSE),MAX((AJ127-IF(OR($G127="M (under 21)",$G127="Z (under 21 - deferment)"),'Input Data'!$BG$6,IF($G127="H (Apprentice under 25)",'Input Data'!$BG$7,'Input Data'!$BG$8))),0)*VLOOKUP($G127,'Input Data'!$BI$3:$BL$10,4,FALSE))))</f>
        <v>0</v>
      </c>
      <c r="AS127" s="56">
        <f>AC127*$F127</f>
        <v>0</v>
      </c>
      <c r="AT127" s="56">
        <f>AD127*$F127</f>
        <v>0</v>
      </c>
      <c r="AU127" s="56">
        <f>AE127*$F127</f>
        <v>0</v>
      </c>
      <c r="AV127" s="56">
        <f>AF127*$F127</f>
        <v>0</v>
      </c>
      <c r="AW127" s="56">
        <f>AG127*$F127</f>
        <v>0</v>
      </c>
      <c r="AX127" s="56">
        <f>AH127*$F127</f>
        <v>0</v>
      </c>
      <c r="AY127" s="56">
        <f>AI127*$F127</f>
        <v>0</v>
      </c>
      <c r="AZ127" s="56">
        <f>AJ127*$F127</f>
        <v>0</v>
      </c>
    </row>
    <row r="128" spans="2:52" ht="25.5">
      <c r="B128" s="60"/>
      <c r="C128" s="57" t="s">
        <v>99</v>
      </c>
      <c r="D128" s="58"/>
      <c r="E128" s="58"/>
      <c r="F128" s="535"/>
      <c r="G128" s="693" t="s">
        <v>1149</v>
      </c>
      <c r="H128" s="65"/>
      <c r="I128" s="65"/>
      <c r="J128" s="65"/>
      <c r="K128" s="65"/>
      <c r="L128" s="65"/>
      <c r="M128" s="65"/>
      <c r="N128" s="65"/>
      <c r="O128" s="65"/>
      <c r="P128" s="29"/>
      <c r="Q128" s="597"/>
      <c r="R128" s="61"/>
      <c r="T128" s="43">
        <f>SUM(AC128,AK128,AS128)</f>
        <v>0</v>
      </c>
      <c r="U128" s="43">
        <f>SUM(AD128,AL128,AT128)</f>
        <v>0</v>
      </c>
      <c r="V128" s="43">
        <f>SUM(AE128,AM128,AU128)</f>
        <v>0</v>
      </c>
      <c r="W128" s="43">
        <f>SUM(AF128,AN128,AV128)</f>
        <v>0</v>
      </c>
      <c r="X128" s="43">
        <f>SUM(AG128,AO128,AW128)</f>
        <v>0</v>
      </c>
      <c r="Y128" s="43">
        <f>SUM(AH128,AP128,AX128)</f>
        <v>0</v>
      </c>
      <c r="Z128" s="43">
        <f>SUM(AI128,AQ128,AY128)</f>
        <v>0</v>
      </c>
      <c r="AA128" s="43">
        <f>SUM(AJ128,AR128,AZ128)</f>
        <v>0</v>
      </c>
      <c r="AC128" s="631">
        <f>SUM($D128:$E128)*H128</f>
        <v>0</v>
      </c>
      <c r="AD128" s="631">
        <f>SUM($D128:$E128)*I128</f>
        <v>0</v>
      </c>
      <c r="AE128" s="631">
        <f>SUM($D128:$E128)*J128</f>
        <v>0</v>
      </c>
      <c r="AF128" s="631">
        <f>SUM($D128:$E128)*K128</f>
        <v>0</v>
      </c>
      <c r="AG128" s="631">
        <f>SUM($D128:$E128)*L128</f>
        <v>0</v>
      </c>
      <c r="AH128" s="631">
        <f>SUM($D128:$E128)*M128</f>
        <v>0</v>
      </c>
      <c r="AI128" s="631">
        <f>SUM($D128:$E128)*N128</f>
        <v>0</v>
      </c>
      <c r="AJ128" s="631">
        <f>SUM($D128:$E128)*O128</f>
        <v>0</v>
      </c>
      <c r="AK128" s="56">
        <f>IF($G128="",0,IF(NOT(OR($G128="A - All employees not in groups B, C, J, H, M or Z",$G128="B - Married women and widows entitled to reduced NI",$G128="C - Over the State Pension age",$G128="H - Apprentice under 25",$G128="J – Deferment",$G128="M - Under 21",$G128="Z - Deferment (Under 21)",$G128="Please Enter The NI Cont. in ££££")),$G128,SUM(MAX(MIN(AC128-'Input Data'!$BG$3,'Input Data'!$BG$5-'Input Data'!$BG$3),0)*VLOOKUP($G128,'Input Data'!$BI$3:$BL$10,2,FALSE),MAX(MIN(AC128-'Input Data'!$BG$5,IF(OR($G128="M (under 21)",$G128="Z (under 21 - deferment)"),'Input Data'!$BG$6,IF($G128="H (Apprentice under 25)",'Input Data'!$BG$7,'Input Data'!$BG$8))-'Input Data'!$BG$5),0)*VLOOKUP($G128,'Input Data'!$BI$3:$BL$10,3,FALSE),MAX((AC128-IF(OR($G128="M (under 21)",$G128="Z (under 21 - deferment)"),'Input Data'!$BG$6,IF($G128="H (Apprentice under 25)",'Input Data'!$BG$7,'Input Data'!$BG$8))),0)*VLOOKUP($G128,'Input Data'!$BI$3:$BL$10,4,FALSE))))</f>
        <v>0</v>
      </c>
      <c r="AL128" s="56">
        <f>IF($G128="",0,IF(NOT(OR($G128="A - All employees not in groups B, C, J, H, M or Z",$G128="B - Married women and widows entitled to reduced NI",$G128="C - Over the State Pension age",$G128="H - Apprentice under 25",$G128="J – Deferment",$G128="M - Under 21",$G128="Z - Deferment (Under 21)",$G128="Please Enter The NI Cont. in ££££")),$G128,SUM(MAX(MIN(AD128-'Input Data'!$BG$3,'Input Data'!$BG$5-'Input Data'!$BG$3),0)*VLOOKUP($G128,'Input Data'!$BI$3:$BL$10,2,FALSE),MAX(MIN(AD128-'Input Data'!$BG$5,IF(OR($G128="M (under 21)",$G128="Z (under 21 - deferment)"),'Input Data'!$BG$6,IF($G128="H (Apprentice under 25)",'Input Data'!$BG$7,'Input Data'!$BG$8))-'Input Data'!$BG$5),0)*VLOOKUP($G128,'Input Data'!$BI$3:$BL$10,3,FALSE),MAX((AD128-IF(OR($G128="M (under 21)",$G128="Z (under 21 - deferment)"),'Input Data'!$BG$6,IF($G128="H (Apprentice under 25)",'Input Data'!$BG$7,'Input Data'!$BG$8))),0)*VLOOKUP($G128,'Input Data'!$BI$3:$BL$10,4,FALSE))))</f>
        <v>0</v>
      </c>
      <c r="AM128" s="56">
        <f>IF($G128="",0,IF(NOT(OR($G128="A - All employees not in groups B, C, J, H, M or Z",$G128="B - Married women and widows entitled to reduced NI",$G128="C - Over the State Pension age",$G128="H - Apprentice under 25",$G128="J – Deferment",$G128="M - Under 21",$G128="Z - Deferment (Under 21)",$G128="Please Enter The NI Cont. in ££££")),$G128,SUM(MAX(MIN(AE128-'Input Data'!$BG$3,'Input Data'!$BG$5-'Input Data'!$BG$3),0)*VLOOKUP($G128,'Input Data'!$BI$3:$BL$10,2,FALSE),MAX(MIN(AE128-'Input Data'!$BG$5,IF(OR($G128="M (under 21)",$G128="Z (under 21 - deferment)"),'Input Data'!$BG$6,IF($G128="H (Apprentice under 25)",'Input Data'!$BG$7,'Input Data'!$BG$8))-'Input Data'!$BG$5),0)*VLOOKUP($G128,'Input Data'!$BI$3:$BL$10,3,FALSE),MAX((AE128-IF(OR($G128="M (under 21)",$G128="Z (under 21 - deferment)"),'Input Data'!$BG$6,IF($G128="H (Apprentice under 25)",'Input Data'!$BG$7,'Input Data'!$BG$8))),0)*VLOOKUP($G128,'Input Data'!$BI$3:$BL$10,4,FALSE))))</f>
        <v>0</v>
      </c>
      <c r="AN128" s="56">
        <f>IF($G128="",0,IF(NOT(OR($G128="A - All employees not in groups B, C, J, H, M or Z",$G128="B - Married women and widows entitled to reduced NI",$G128="C - Over the State Pension age",$G128="H - Apprentice under 25",$G128="J – Deferment",$G128="M - Under 21",$G128="Z - Deferment (Under 21)",$G128="Please Enter The NI Cont. in ££££")),$G128,SUM(MAX(MIN(AF128-'Input Data'!$BG$3,'Input Data'!$BG$5-'Input Data'!$BG$3),0)*VLOOKUP($G128,'Input Data'!$BI$3:$BL$10,2,FALSE),MAX(MIN(AF128-'Input Data'!$BG$5,IF(OR($G128="M (under 21)",$G128="Z (under 21 - deferment)"),'Input Data'!$BG$6,IF($G128="H (Apprentice under 25)",'Input Data'!$BG$7,'Input Data'!$BG$8))-'Input Data'!$BG$5),0)*VLOOKUP($G128,'Input Data'!$BI$3:$BL$10,3,FALSE),MAX((AF128-IF(OR($G128="M (under 21)",$G128="Z (under 21 - deferment)"),'Input Data'!$BG$6,IF($G128="H (Apprentice under 25)",'Input Data'!$BG$7,'Input Data'!$BG$8))),0)*VLOOKUP($G128,'Input Data'!$BI$3:$BL$10,4,FALSE))))</f>
        <v>0</v>
      </c>
      <c r="AO128" s="56">
        <f>IF($G128="",0,IF(NOT(OR($G128="A - All employees not in groups B, C, J, H, M or Z",$G128="B - Married women and widows entitled to reduced NI",$G128="C - Over the State Pension age",$G128="H - Apprentice under 25",$G128="J – Deferment",$G128="M - Under 21",$G128="Z - Deferment (Under 21)",$G128="Please Enter The NI Cont. in ££££")),$G128,SUM(MAX(MIN(AG128-'Input Data'!$BG$3,'Input Data'!$BG$5-'Input Data'!$BG$3),0)*VLOOKUP($G128,'Input Data'!$BI$3:$BL$10,2,FALSE),MAX(MIN(AG128-'Input Data'!$BG$5,IF(OR($G128="M (under 21)",$G128="Z (under 21 - deferment)"),'Input Data'!$BG$6,IF($G128="H (Apprentice under 25)",'Input Data'!$BG$7,'Input Data'!$BG$8))-'Input Data'!$BG$5),0)*VLOOKUP($G128,'Input Data'!$BI$3:$BL$10,3,FALSE),MAX((AG128-IF(OR($G128="M (under 21)",$G128="Z (under 21 - deferment)"),'Input Data'!$BG$6,IF($G128="H (Apprentice under 25)",'Input Data'!$BG$7,'Input Data'!$BG$8))),0)*VLOOKUP($G128,'Input Data'!$BI$3:$BL$10,4,FALSE))))</f>
        <v>0</v>
      </c>
      <c r="AP128" s="56">
        <f>IF($G128="",0,IF(NOT(OR($G128="A - All employees not in groups B, C, J, H, M or Z",$G128="B - Married women and widows entitled to reduced NI",$G128="C - Over the State Pension age",$G128="H - Apprentice under 25",$G128="J – Deferment",$G128="M - Under 21",$G128="Z - Deferment (Under 21)",$G128="Please Enter The NI Cont. in ££££")),$G128,SUM(MAX(MIN(AH128-'Input Data'!$BG$3,'Input Data'!$BG$5-'Input Data'!$BG$3),0)*VLOOKUP($G128,'Input Data'!$BI$3:$BL$10,2,FALSE),MAX(MIN(AH128-'Input Data'!$BG$5,IF(OR($G128="M (under 21)",$G128="Z (under 21 - deferment)"),'Input Data'!$BG$6,IF($G128="H (Apprentice under 25)",'Input Data'!$BG$7,'Input Data'!$BG$8))-'Input Data'!$BG$5),0)*VLOOKUP($G128,'Input Data'!$BI$3:$BL$10,3,FALSE),MAX((AH128-IF(OR($G128="M (under 21)",$G128="Z (under 21 - deferment)"),'Input Data'!$BG$6,IF($G128="H (Apprentice under 25)",'Input Data'!$BG$7,'Input Data'!$BG$8))),0)*VLOOKUP($G128,'Input Data'!$BI$3:$BL$10,4,FALSE))))</f>
        <v>0</v>
      </c>
      <c r="AQ128" s="56">
        <f>IF($G128="",0,IF(NOT(OR($G128="A - All employees not in groups B, C, J, H, M or Z",$G128="B - Married women and widows entitled to reduced NI",$G128="C - Over the State Pension age",$G128="H - Apprentice under 25",$G128="J – Deferment",$G128="M - Under 21",$G128="Z - Deferment (Under 21)",$G128="Please Enter The NI Cont. in ££££")),$G128,SUM(MAX(MIN(AI128-'Input Data'!$BG$3,'Input Data'!$BG$5-'Input Data'!$BG$3),0)*VLOOKUP($G128,'Input Data'!$BI$3:$BL$10,2,FALSE),MAX(MIN(AI128-'Input Data'!$BG$5,IF(OR($G128="M (under 21)",$G128="Z (under 21 - deferment)"),'Input Data'!$BG$6,IF($G128="H (Apprentice under 25)",'Input Data'!$BG$7,'Input Data'!$BG$8))-'Input Data'!$BG$5),0)*VLOOKUP($G128,'Input Data'!$BI$3:$BL$10,3,FALSE),MAX((AI128-IF(OR($G128="M (under 21)",$G128="Z (under 21 - deferment)"),'Input Data'!$BG$6,IF($G128="H (Apprentice under 25)",'Input Data'!$BG$7,'Input Data'!$BG$8))),0)*VLOOKUP($G128,'Input Data'!$BI$3:$BL$10,4,FALSE))))</f>
        <v>0</v>
      </c>
      <c r="AR128" s="56">
        <f>IF($G128="",0,IF(NOT(OR($G128="A - All employees not in groups B, C, J, H, M or Z",$G128="B - Married women and widows entitled to reduced NI",$G128="C - Over the State Pension age",$G128="H - Apprentice under 25",$G128="J – Deferment",$G128="M - Under 21",$G128="Z - Deferment (Under 21)",$G128="Please Enter The NI Cont. in ££££")),$G128,SUM(MAX(MIN(AJ128-'Input Data'!$BG$3,'Input Data'!$BG$5-'Input Data'!$BG$3),0)*VLOOKUP($G128,'Input Data'!$BI$3:$BL$10,2,FALSE),MAX(MIN(AJ128-'Input Data'!$BG$5,IF(OR($G128="M (under 21)",$G128="Z (under 21 - deferment)"),'Input Data'!$BG$6,IF($G128="H (Apprentice under 25)",'Input Data'!$BG$7,'Input Data'!$BG$8))-'Input Data'!$BG$5),0)*VLOOKUP($G128,'Input Data'!$BI$3:$BL$10,3,FALSE),MAX((AJ128-IF(OR($G128="M (under 21)",$G128="Z (under 21 - deferment)"),'Input Data'!$BG$6,IF($G128="H (Apprentice under 25)",'Input Data'!$BG$7,'Input Data'!$BG$8))),0)*VLOOKUP($G128,'Input Data'!$BI$3:$BL$10,4,FALSE))))</f>
        <v>0</v>
      </c>
      <c r="AS128" s="56">
        <f>AC128*$F128</f>
        <v>0</v>
      </c>
      <c r="AT128" s="56">
        <f>AD128*$F128</f>
        <v>0</v>
      </c>
      <c r="AU128" s="56">
        <f>AE128*$F128</f>
        <v>0</v>
      </c>
      <c r="AV128" s="56">
        <f>AF128*$F128</f>
        <v>0</v>
      </c>
      <c r="AW128" s="56">
        <f>AG128*$F128</f>
        <v>0</v>
      </c>
      <c r="AX128" s="56">
        <f>AH128*$F128</f>
        <v>0</v>
      </c>
      <c r="AY128" s="56">
        <f>AI128*$F128</f>
        <v>0</v>
      </c>
      <c r="AZ128" s="56">
        <f>AJ128*$F128</f>
        <v>0</v>
      </c>
    </row>
    <row r="129" spans="2:52" ht="25.5">
      <c r="B129" s="60"/>
      <c r="C129" s="57" t="s">
        <v>100</v>
      </c>
      <c r="D129" s="58"/>
      <c r="E129" s="58"/>
      <c r="F129" s="535"/>
      <c r="G129" s="693" t="s">
        <v>1149</v>
      </c>
      <c r="H129" s="65"/>
      <c r="I129" s="65"/>
      <c r="J129" s="65"/>
      <c r="K129" s="65"/>
      <c r="L129" s="65"/>
      <c r="M129" s="65"/>
      <c r="N129" s="65"/>
      <c r="O129" s="65"/>
      <c r="P129" s="29"/>
      <c r="Q129" s="597"/>
      <c r="R129" s="61"/>
      <c r="T129" s="43">
        <f>SUM(AC129,AK129,AS129)</f>
        <v>0</v>
      </c>
      <c r="U129" s="43">
        <f>SUM(AD129,AL129,AT129)</f>
        <v>0</v>
      </c>
      <c r="V129" s="43">
        <f>SUM(AE129,AM129,AU129)</f>
        <v>0</v>
      </c>
      <c r="W129" s="43">
        <f>SUM(AF129,AN129,AV129)</f>
        <v>0</v>
      </c>
      <c r="X129" s="43">
        <f>SUM(AG129,AO129,AW129)</f>
        <v>0</v>
      </c>
      <c r="Y129" s="43">
        <f>SUM(AH129,AP129,AX129)</f>
        <v>0</v>
      </c>
      <c r="Z129" s="43">
        <f>SUM(AI129,AQ129,AY129)</f>
        <v>0</v>
      </c>
      <c r="AA129" s="43">
        <f>SUM(AJ129,AR129,AZ129)</f>
        <v>0</v>
      </c>
      <c r="AC129" s="631">
        <f>SUM($D129:$E129)*H129</f>
        <v>0</v>
      </c>
      <c r="AD129" s="631">
        <f>SUM($D129:$E129)*I129</f>
        <v>0</v>
      </c>
      <c r="AE129" s="631">
        <f>SUM($D129:$E129)*J129</f>
        <v>0</v>
      </c>
      <c r="AF129" s="631">
        <f>SUM($D129:$E129)*K129</f>
        <v>0</v>
      </c>
      <c r="AG129" s="631">
        <f>SUM($D129:$E129)*L129</f>
        <v>0</v>
      </c>
      <c r="AH129" s="631">
        <f>SUM($D129:$E129)*M129</f>
        <v>0</v>
      </c>
      <c r="AI129" s="631">
        <f>SUM($D129:$E129)*N129</f>
        <v>0</v>
      </c>
      <c r="AJ129" s="631">
        <f>SUM($D129:$E129)*O129</f>
        <v>0</v>
      </c>
      <c r="AK129" s="56">
        <f>IF($G129="",0,IF(NOT(OR($G129="A - All employees not in groups B, C, J, H, M or Z",$G129="B - Married women and widows entitled to reduced NI",$G129="C - Over the State Pension age",$G129="H - Apprentice under 25",$G129="J – Deferment",$G129="M - Under 21",$G129="Z - Deferment (Under 21)",$G129="Please Enter The NI Cont. in ££££")),$G129,SUM(MAX(MIN(AC129-'Input Data'!$BG$3,'Input Data'!$BG$5-'Input Data'!$BG$3),0)*VLOOKUP($G129,'Input Data'!$BI$3:$BL$10,2,FALSE),MAX(MIN(AC129-'Input Data'!$BG$5,IF(OR($G129="M (under 21)",$G129="Z (under 21 - deferment)"),'Input Data'!$BG$6,IF($G129="H (Apprentice under 25)",'Input Data'!$BG$7,'Input Data'!$BG$8))-'Input Data'!$BG$5),0)*VLOOKUP($G129,'Input Data'!$BI$3:$BL$10,3,FALSE),MAX((AC129-IF(OR($G129="M (under 21)",$G129="Z (under 21 - deferment)"),'Input Data'!$BG$6,IF($G129="H (Apprentice under 25)",'Input Data'!$BG$7,'Input Data'!$BG$8))),0)*VLOOKUP($G129,'Input Data'!$BI$3:$BL$10,4,FALSE))))</f>
        <v>0</v>
      </c>
      <c r="AL129" s="56">
        <f>IF($G129="",0,IF(NOT(OR($G129="A - All employees not in groups B, C, J, H, M or Z",$G129="B - Married women and widows entitled to reduced NI",$G129="C - Over the State Pension age",$G129="H - Apprentice under 25",$G129="J – Deferment",$G129="M - Under 21",$G129="Z - Deferment (Under 21)",$G129="Please Enter The NI Cont. in ££££")),$G129,SUM(MAX(MIN(AD129-'Input Data'!$BG$3,'Input Data'!$BG$5-'Input Data'!$BG$3),0)*VLOOKUP($G129,'Input Data'!$BI$3:$BL$10,2,FALSE),MAX(MIN(AD129-'Input Data'!$BG$5,IF(OR($G129="M (under 21)",$G129="Z (under 21 - deferment)"),'Input Data'!$BG$6,IF($G129="H (Apprentice under 25)",'Input Data'!$BG$7,'Input Data'!$BG$8))-'Input Data'!$BG$5),0)*VLOOKUP($G129,'Input Data'!$BI$3:$BL$10,3,FALSE),MAX((AD129-IF(OR($G129="M (under 21)",$G129="Z (under 21 - deferment)"),'Input Data'!$BG$6,IF($G129="H (Apprentice under 25)",'Input Data'!$BG$7,'Input Data'!$BG$8))),0)*VLOOKUP($G129,'Input Data'!$BI$3:$BL$10,4,FALSE))))</f>
        <v>0</v>
      </c>
      <c r="AM129" s="56">
        <f>IF($G129="",0,IF(NOT(OR($G129="A - All employees not in groups B, C, J, H, M or Z",$G129="B - Married women and widows entitled to reduced NI",$G129="C - Over the State Pension age",$G129="H - Apprentice under 25",$G129="J – Deferment",$G129="M - Under 21",$G129="Z - Deferment (Under 21)",$G129="Please Enter The NI Cont. in ££££")),$G129,SUM(MAX(MIN(AE129-'Input Data'!$BG$3,'Input Data'!$BG$5-'Input Data'!$BG$3),0)*VLOOKUP($G129,'Input Data'!$BI$3:$BL$10,2,FALSE),MAX(MIN(AE129-'Input Data'!$BG$5,IF(OR($G129="M (under 21)",$G129="Z (under 21 - deferment)"),'Input Data'!$BG$6,IF($G129="H (Apprentice under 25)",'Input Data'!$BG$7,'Input Data'!$BG$8))-'Input Data'!$BG$5),0)*VLOOKUP($G129,'Input Data'!$BI$3:$BL$10,3,FALSE),MAX((AE129-IF(OR($G129="M (under 21)",$G129="Z (under 21 - deferment)"),'Input Data'!$BG$6,IF($G129="H (Apprentice under 25)",'Input Data'!$BG$7,'Input Data'!$BG$8))),0)*VLOOKUP($G129,'Input Data'!$BI$3:$BL$10,4,FALSE))))</f>
        <v>0</v>
      </c>
      <c r="AN129" s="56">
        <f>IF($G129="",0,IF(NOT(OR($G129="A - All employees not in groups B, C, J, H, M or Z",$G129="B - Married women and widows entitled to reduced NI",$G129="C - Over the State Pension age",$G129="H - Apprentice under 25",$G129="J – Deferment",$G129="M - Under 21",$G129="Z - Deferment (Under 21)",$G129="Please Enter The NI Cont. in ££££")),$G129,SUM(MAX(MIN(AF129-'Input Data'!$BG$3,'Input Data'!$BG$5-'Input Data'!$BG$3),0)*VLOOKUP($G129,'Input Data'!$BI$3:$BL$10,2,FALSE),MAX(MIN(AF129-'Input Data'!$BG$5,IF(OR($G129="M (under 21)",$G129="Z (under 21 - deferment)"),'Input Data'!$BG$6,IF($G129="H (Apprentice under 25)",'Input Data'!$BG$7,'Input Data'!$BG$8))-'Input Data'!$BG$5),0)*VLOOKUP($G129,'Input Data'!$BI$3:$BL$10,3,FALSE),MAX((AF129-IF(OR($G129="M (under 21)",$G129="Z (under 21 - deferment)"),'Input Data'!$BG$6,IF($G129="H (Apprentice under 25)",'Input Data'!$BG$7,'Input Data'!$BG$8))),0)*VLOOKUP($G129,'Input Data'!$BI$3:$BL$10,4,FALSE))))</f>
        <v>0</v>
      </c>
      <c r="AO129" s="56">
        <f>IF($G129="",0,IF(NOT(OR($G129="A - All employees not in groups B, C, J, H, M or Z",$G129="B - Married women and widows entitled to reduced NI",$G129="C - Over the State Pension age",$G129="H - Apprentice under 25",$G129="J – Deferment",$G129="M - Under 21",$G129="Z - Deferment (Under 21)",$G129="Please Enter The NI Cont. in ££££")),$G129,SUM(MAX(MIN(AG129-'Input Data'!$BG$3,'Input Data'!$BG$5-'Input Data'!$BG$3),0)*VLOOKUP($G129,'Input Data'!$BI$3:$BL$10,2,FALSE),MAX(MIN(AG129-'Input Data'!$BG$5,IF(OR($G129="M (under 21)",$G129="Z (under 21 - deferment)"),'Input Data'!$BG$6,IF($G129="H (Apprentice under 25)",'Input Data'!$BG$7,'Input Data'!$BG$8))-'Input Data'!$BG$5),0)*VLOOKUP($G129,'Input Data'!$BI$3:$BL$10,3,FALSE),MAX((AG129-IF(OR($G129="M (under 21)",$G129="Z (under 21 - deferment)"),'Input Data'!$BG$6,IF($G129="H (Apprentice under 25)",'Input Data'!$BG$7,'Input Data'!$BG$8))),0)*VLOOKUP($G129,'Input Data'!$BI$3:$BL$10,4,FALSE))))</f>
        <v>0</v>
      </c>
      <c r="AP129" s="56">
        <f>IF($G129="",0,IF(NOT(OR($G129="A - All employees not in groups B, C, J, H, M or Z",$G129="B - Married women and widows entitled to reduced NI",$G129="C - Over the State Pension age",$G129="H - Apprentice under 25",$G129="J – Deferment",$G129="M - Under 21",$G129="Z - Deferment (Under 21)",$G129="Please Enter The NI Cont. in ££££")),$G129,SUM(MAX(MIN(AH129-'Input Data'!$BG$3,'Input Data'!$BG$5-'Input Data'!$BG$3),0)*VLOOKUP($G129,'Input Data'!$BI$3:$BL$10,2,FALSE),MAX(MIN(AH129-'Input Data'!$BG$5,IF(OR($G129="M (under 21)",$G129="Z (under 21 - deferment)"),'Input Data'!$BG$6,IF($G129="H (Apprentice under 25)",'Input Data'!$BG$7,'Input Data'!$BG$8))-'Input Data'!$BG$5),0)*VLOOKUP($G129,'Input Data'!$BI$3:$BL$10,3,FALSE),MAX((AH129-IF(OR($G129="M (under 21)",$G129="Z (under 21 - deferment)"),'Input Data'!$BG$6,IF($G129="H (Apprentice under 25)",'Input Data'!$BG$7,'Input Data'!$BG$8))),0)*VLOOKUP($G129,'Input Data'!$BI$3:$BL$10,4,FALSE))))</f>
        <v>0</v>
      </c>
      <c r="AQ129" s="56">
        <f>IF($G129="",0,IF(NOT(OR($G129="A - All employees not in groups B, C, J, H, M or Z",$G129="B - Married women and widows entitled to reduced NI",$G129="C - Over the State Pension age",$G129="H - Apprentice under 25",$G129="J – Deferment",$G129="M - Under 21",$G129="Z - Deferment (Under 21)",$G129="Please Enter The NI Cont. in ££££")),$G129,SUM(MAX(MIN(AI129-'Input Data'!$BG$3,'Input Data'!$BG$5-'Input Data'!$BG$3),0)*VLOOKUP($G129,'Input Data'!$BI$3:$BL$10,2,FALSE),MAX(MIN(AI129-'Input Data'!$BG$5,IF(OR($G129="M (under 21)",$G129="Z (under 21 - deferment)"),'Input Data'!$BG$6,IF($G129="H (Apprentice under 25)",'Input Data'!$BG$7,'Input Data'!$BG$8))-'Input Data'!$BG$5),0)*VLOOKUP($G129,'Input Data'!$BI$3:$BL$10,3,FALSE),MAX((AI129-IF(OR($G129="M (under 21)",$G129="Z (under 21 - deferment)"),'Input Data'!$BG$6,IF($G129="H (Apprentice under 25)",'Input Data'!$BG$7,'Input Data'!$BG$8))),0)*VLOOKUP($G129,'Input Data'!$BI$3:$BL$10,4,FALSE))))</f>
        <v>0</v>
      </c>
      <c r="AR129" s="56">
        <f>IF($G129="",0,IF(NOT(OR($G129="A - All employees not in groups B, C, J, H, M or Z",$G129="B - Married women and widows entitled to reduced NI",$G129="C - Over the State Pension age",$G129="H - Apprentice under 25",$G129="J – Deferment",$G129="M - Under 21",$G129="Z - Deferment (Under 21)",$G129="Please Enter The NI Cont. in ££££")),$G129,SUM(MAX(MIN(AJ129-'Input Data'!$BG$3,'Input Data'!$BG$5-'Input Data'!$BG$3),0)*VLOOKUP($G129,'Input Data'!$BI$3:$BL$10,2,FALSE),MAX(MIN(AJ129-'Input Data'!$BG$5,IF(OR($G129="M (under 21)",$G129="Z (under 21 - deferment)"),'Input Data'!$BG$6,IF($G129="H (Apprentice under 25)",'Input Data'!$BG$7,'Input Data'!$BG$8))-'Input Data'!$BG$5),0)*VLOOKUP($G129,'Input Data'!$BI$3:$BL$10,3,FALSE),MAX((AJ129-IF(OR($G129="M (under 21)",$G129="Z (under 21 - deferment)"),'Input Data'!$BG$6,IF($G129="H (Apprentice under 25)",'Input Data'!$BG$7,'Input Data'!$BG$8))),0)*VLOOKUP($G129,'Input Data'!$BI$3:$BL$10,4,FALSE))))</f>
        <v>0</v>
      </c>
      <c r="AS129" s="56">
        <f>AC129*$F129</f>
        <v>0</v>
      </c>
      <c r="AT129" s="56">
        <f>AD129*$F129</f>
        <v>0</v>
      </c>
      <c r="AU129" s="56">
        <f>AE129*$F129</f>
        <v>0</v>
      </c>
      <c r="AV129" s="56">
        <f>AF129*$F129</f>
        <v>0</v>
      </c>
      <c r="AW129" s="56">
        <f>AG129*$F129</f>
        <v>0</v>
      </c>
      <c r="AX129" s="56">
        <f>AH129*$F129</f>
        <v>0</v>
      </c>
      <c r="AY129" s="56">
        <f>AI129*$F129</f>
        <v>0</v>
      </c>
      <c r="AZ129" s="56">
        <f>AJ129*$F129</f>
        <v>0</v>
      </c>
    </row>
    <row r="130" spans="2:52" ht="25.5">
      <c r="B130" s="60"/>
      <c r="C130" s="57" t="s">
        <v>101</v>
      </c>
      <c r="D130" s="58"/>
      <c r="E130" s="58"/>
      <c r="F130" s="535"/>
      <c r="G130" s="693" t="s">
        <v>1149</v>
      </c>
      <c r="H130" s="65"/>
      <c r="I130" s="65"/>
      <c r="J130" s="65"/>
      <c r="K130" s="65"/>
      <c r="L130" s="65"/>
      <c r="M130" s="65"/>
      <c r="N130" s="65"/>
      <c r="O130" s="65"/>
      <c r="P130" s="29"/>
      <c r="Q130" s="597"/>
      <c r="R130" s="61"/>
      <c r="T130" s="43">
        <f>SUM(AC130,AK130,AS130)</f>
        <v>0</v>
      </c>
      <c r="U130" s="43">
        <f>SUM(AD130,AL130,AT130)</f>
        <v>0</v>
      </c>
      <c r="V130" s="43">
        <f>SUM(AE130,AM130,AU130)</f>
        <v>0</v>
      </c>
      <c r="W130" s="43">
        <f>SUM(AF130,AN130,AV130)</f>
        <v>0</v>
      </c>
      <c r="X130" s="43">
        <f>SUM(AG130,AO130,AW130)</f>
        <v>0</v>
      </c>
      <c r="Y130" s="43">
        <f>SUM(AH130,AP130,AX130)</f>
        <v>0</v>
      </c>
      <c r="Z130" s="43">
        <f>SUM(AI130,AQ130,AY130)</f>
        <v>0</v>
      </c>
      <c r="AA130" s="43">
        <f>SUM(AJ130,AR130,AZ130)</f>
        <v>0</v>
      </c>
      <c r="AC130" s="631">
        <f>SUM($D130:$E130)*H130</f>
        <v>0</v>
      </c>
      <c r="AD130" s="631">
        <f>SUM($D130:$E130)*I130</f>
        <v>0</v>
      </c>
      <c r="AE130" s="631">
        <f>SUM($D130:$E130)*J130</f>
        <v>0</v>
      </c>
      <c r="AF130" s="631">
        <f>SUM($D130:$E130)*K130</f>
        <v>0</v>
      </c>
      <c r="AG130" s="631">
        <f>SUM($D130:$E130)*L130</f>
        <v>0</v>
      </c>
      <c r="AH130" s="631">
        <f>SUM($D130:$E130)*M130</f>
        <v>0</v>
      </c>
      <c r="AI130" s="631">
        <f>SUM($D130:$E130)*N130</f>
        <v>0</v>
      </c>
      <c r="AJ130" s="631">
        <f>SUM($D130:$E130)*O130</f>
        <v>0</v>
      </c>
      <c r="AK130" s="56">
        <f>IF($G130="",0,IF(NOT(OR($G130="A - All employees not in groups B, C, J, H, M or Z",$G130="B - Married women and widows entitled to reduced NI",$G130="C - Over the State Pension age",$G130="H - Apprentice under 25",$G130="J – Deferment",$G130="M - Under 21",$G130="Z - Deferment (Under 21)",$G130="Please Enter The NI Cont. in ££££")),$G130,SUM(MAX(MIN(AC130-'Input Data'!$BG$3,'Input Data'!$BG$5-'Input Data'!$BG$3),0)*VLOOKUP($G130,'Input Data'!$BI$3:$BL$10,2,FALSE),MAX(MIN(AC130-'Input Data'!$BG$5,IF(OR($G130="M (under 21)",$G130="Z (under 21 - deferment)"),'Input Data'!$BG$6,IF($G130="H (Apprentice under 25)",'Input Data'!$BG$7,'Input Data'!$BG$8))-'Input Data'!$BG$5),0)*VLOOKUP($G130,'Input Data'!$BI$3:$BL$10,3,FALSE),MAX((AC130-IF(OR($G130="M (under 21)",$G130="Z (under 21 - deferment)"),'Input Data'!$BG$6,IF($G130="H (Apprentice under 25)",'Input Data'!$BG$7,'Input Data'!$BG$8))),0)*VLOOKUP($G130,'Input Data'!$BI$3:$BL$10,4,FALSE))))</f>
        <v>0</v>
      </c>
      <c r="AL130" s="56">
        <f>IF($G130="",0,IF(NOT(OR($G130="A - All employees not in groups B, C, J, H, M or Z",$G130="B - Married women and widows entitled to reduced NI",$G130="C - Over the State Pension age",$G130="H - Apprentice under 25",$G130="J – Deferment",$G130="M - Under 21",$G130="Z - Deferment (Under 21)",$G130="Please Enter The NI Cont. in ££££")),$G130,SUM(MAX(MIN(AD130-'Input Data'!$BG$3,'Input Data'!$BG$5-'Input Data'!$BG$3),0)*VLOOKUP($G130,'Input Data'!$BI$3:$BL$10,2,FALSE),MAX(MIN(AD130-'Input Data'!$BG$5,IF(OR($G130="M (under 21)",$G130="Z (under 21 - deferment)"),'Input Data'!$BG$6,IF($G130="H (Apprentice under 25)",'Input Data'!$BG$7,'Input Data'!$BG$8))-'Input Data'!$BG$5),0)*VLOOKUP($G130,'Input Data'!$BI$3:$BL$10,3,FALSE),MAX((AD130-IF(OR($G130="M (under 21)",$G130="Z (under 21 - deferment)"),'Input Data'!$BG$6,IF($G130="H (Apprentice under 25)",'Input Data'!$BG$7,'Input Data'!$BG$8))),0)*VLOOKUP($G130,'Input Data'!$BI$3:$BL$10,4,FALSE))))</f>
        <v>0</v>
      </c>
      <c r="AM130" s="56">
        <f>IF($G130="",0,IF(NOT(OR($G130="A - All employees not in groups B, C, J, H, M or Z",$G130="B - Married women and widows entitled to reduced NI",$G130="C - Over the State Pension age",$G130="H - Apprentice under 25",$G130="J – Deferment",$G130="M - Under 21",$G130="Z - Deferment (Under 21)",$G130="Please Enter The NI Cont. in ££££")),$G130,SUM(MAX(MIN(AE130-'Input Data'!$BG$3,'Input Data'!$BG$5-'Input Data'!$BG$3),0)*VLOOKUP($G130,'Input Data'!$BI$3:$BL$10,2,FALSE),MAX(MIN(AE130-'Input Data'!$BG$5,IF(OR($G130="M (under 21)",$G130="Z (under 21 - deferment)"),'Input Data'!$BG$6,IF($G130="H (Apprentice under 25)",'Input Data'!$BG$7,'Input Data'!$BG$8))-'Input Data'!$BG$5),0)*VLOOKUP($G130,'Input Data'!$BI$3:$BL$10,3,FALSE),MAX((AE130-IF(OR($G130="M (under 21)",$G130="Z (under 21 - deferment)"),'Input Data'!$BG$6,IF($G130="H (Apprentice under 25)",'Input Data'!$BG$7,'Input Data'!$BG$8))),0)*VLOOKUP($G130,'Input Data'!$BI$3:$BL$10,4,FALSE))))</f>
        <v>0</v>
      </c>
      <c r="AN130" s="56">
        <f>IF($G130="",0,IF(NOT(OR($G130="A - All employees not in groups B, C, J, H, M or Z",$G130="B - Married women and widows entitled to reduced NI",$G130="C - Over the State Pension age",$G130="H - Apprentice under 25",$G130="J – Deferment",$G130="M - Under 21",$G130="Z - Deferment (Under 21)",$G130="Please Enter The NI Cont. in ££££")),$G130,SUM(MAX(MIN(AF130-'Input Data'!$BG$3,'Input Data'!$BG$5-'Input Data'!$BG$3),0)*VLOOKUP($G130,'Input Data'!$BI$3:$BL$10,2,FALSE),MAX(MIN(AF130-'Input Data'!$BG$5,IF(OR($G130="M (under 21)",$G130="Z (under 21 - deferment)"),'Input Data'!$BG$6,IF($G130="H (Apprentice under 25)",'Input Data'!$BG$7,'Input Data'!$BG$8))-'Input Data'!$BG$5),0)*VLOOKUP($G130,'Input Data'!$BI$3:$BL$10,3,FALSE),MAX((AF130-IF(OR($G130="M (under 21)",$G130="Z (under 21 - deferment)"),'Input Data'!$BG$6,IF($G130="H (Apprentice under 25)",'Input Data'!$BG$7,'Input Data'!$BG$8))),0)*VLOOKUP($G130,'Input Data'!$BI$3:$BL$10,4,FALSE))))</f>
        <v>0</v>
      </c>
      <c r="AO130" s="56">
        <f>IF($G130="",0,IF(NOT(OR($G130="A - All employees not in groups B, C, J, H, M or Z",$G130="B - Married women and widows entitled to reduced NI",$G130="C - Over the State Pension age",$G130="H - Apprentice under 25",$G130="J – Deferment",$G130="M - Under 21",$G130="Z - Deferment (Under 21)",$G130="Please Enter The NI Cont. in ££££")),$G130,SUM(MAX(MIN(AG130-'Input Data'!$BG$3,'Input Data'!$BG$5-'Input Data'!$BG$3),0)*VLOOKUP($G130,'Input Data'!$BI$3:$BL$10,2,FALSE),MAX(MIN(AG130-'Input Data'!$BG$5,IF(OR($G130="M (under 21)",$G130="Z (under 21 - deferment)"),'Input Data'!$BG$6,IF($G130="H (Apprentice under 25)",'Input Data'!$BG$7,'Input Data'!$BG$8))-'Input Data'!$BG$5),0)*VLOOKUP($G130,'Input Data'!$BI$3:$BL$10,3,FALSE),MAX((AG130-IF(OR($G130="M (under 21)",$G130="Z (under 21 - deferment)"),'Input Data'!$BG$6,IF($G130="H (Apprentice under 25)",'Input Data'!$BG$7,'Input Data'!$BG$8))),0)*VLOOKUP($G130,'Input Data'!$BI$3:$BL$10,4,FALSE))))</f>
        <v>0</v>
      </c>
      <c r="AP130" s="56">
        <f>IF($G130="",0,IF(NOT(OR($G130="A - All employees not in groups B, C, J, H, M or Z",$G130="B - Married women and widows entitled to reduced NI",$G130="C - Over the State Pension age",$G130="H - Apprentice under 25",$G130="J – Deferment",$G130="M - Under 21",$G130="Z - Deferment (Under 21)",$G130="Please Enter The NI Cont. in ££££")),$G130,SUM(MAX(MIN(AH130-'Input Data'!$BG$3,'Input Data'!$BG$5-'Input Data'!$BG$3),0)*VLOOKUP($G130,'Input Data'!$BI$3:$BL$10,2,FALSE),MAX(MIN(AH130-'Input Data'!$BG$5,IF(OR($G130="M (under 21)",$G130="Z (under 21 - deferment)"),'Input Data'!$BG$6,IF($G130="H (Apprentice under 25)",'Input Data'!$BG$7,'Input Data'!$BG$8))-'Input Data'!$BG$5),0)*VLOOKUP($G130,'Input Data'!$BI$3:$BL$10,3,FALSE),MAX((AH130-IF(OR($G130="M (under 21)",$G130="Z (under 21 - deferment)"),'Input Data'!$BG$6,IF($G130="H (Apprentice under 25)",'Input Data'!$BG$7,'Input Data'!$BG$8))),0)*VLOOKUP($G130,'Input Data'!$BI$3:$BL$10,4,FALSE))))</f>
        <v>0</v>
      </c>
      <c r="AQ130" s="56">
        <f>IF($G130="",0,IF(NOT(OR($G130="A - All employees not in groups B, C, J, H, M or Z",$G130="B - Married women and widows entitled to reduced NI",$G130="C - Over the State Pension age",$G130="H - Apprentice under 25",$G130="J – Deferment",$G130="M - Under 21",$G130="Z - Deferment (Under 21)",$G130="Please Enter The NI Cont. in ££££")),$G130,SUM(MAX(MIN(AI130-'Input Data'!$BG$3,'Input Data'!$BG$5-'Input Data'!$BG$3),0)*VLOOKUP($G130,'Input Data'!$BI$3:$BL$10,2,FALSE),MAX(MIN(AI130-'Input Data'!$BG$5,IF(OR($G130="M (under 21)",$G130="Z (under 21 - deferment)"),'Input Data'!$BG$6,IF($G130="H (Apprentice under 25)",'Input Data'!$BG$7,'Input Data'!$BG$8))-'Input Data'!$BG$5),0)*VLOOKUP($G130,'Input Data'!$BI$3:$BL$10,3,FALSE),MAX((AI130-IF(OR($G130="M (under 21)",$G130="Z (under 21 - deferment)"),'Input Data'!$BG$6,IF($G130="H (Apprentice under 25)",'Input Data'!$BG$7,'Input Data'!$BG$8))),0)*VLOOKUP($G130,'Input Data'!$BI$3:$BL$10,4,FALSE))))</f>
        <v>0</v>
      </c>
      <c r="AR130" s="56">
        <f>IF($G130="",0,IF(NOT(OR($G130="A - All employees not in groups B, C, J, H, M or Z",$G130="B - Married women and widows entitled to reduced NI",$G130="C - Over the State Pension age",$G130="H - Apprentice under 25",$G130="J – Deferment",$G130="M - Under 21",$G130="Z - Deferment (Under 21)",$G130="Please Enter The NI Cont. in ££££")),$G130,SUM(MAX(MIN(AJ130-'Input Data'!$BG$3,'Input Data'!$BG$5-'Input Data'!$BG$3),0)*VLOOKUP($G130,'Input Data'!$BI$3:$BL$10,2,FALSE),MAX(MIN(AJ130-'Input Data'!$BG$5,IF(OR($G130="M (under 21)",$G130="Z (under 21 - deferment)"),'Input Data'!$BG$6,IF($G130="H (Apprentice under 25)",'Input Data'!$BG$7,'Input Data'!$BG$8))-'Input Data'!$BG$5),0)*VLOOKUP($G130,'Input Data'!$BI$3:$BL$10,3,FALSE),MAX((AJ130-IF(OR($G130="M (under 21)",$G130="Z (under 21 - deferment)"),'Input Data'!$BG$6,IF($G130="H (Apprentice under 25)",'Input Data'!$BG$7,'Input Data'!$BG$8))),0)*VLOOKUP($G130,'Input Data'!$BI$3:$BL$10,4,FALSE))))</f>
        <v>0</v>
      </c>
      <c r="AS130" s="56">
        <f>AC130*$F130</f>
        <v>0</v>
      </c>
      <c r="AT130" s="56">
        <f>AD130*$F130</f>
        <v>0</v>
      </c>
      <c r="AU130" s="56">
        <f>AE130*$F130</f>
        <v>0</v>
      </c>
      <c r="AV130" s="56">
        <f>AF130*$F130</f>
        <v>0</v>
      </c>
      <c r="AW130" s="56">
        <f>AG130*$F130</f>
        <v>0</v>
      </c>
      <c r="AX130" s="56">
        <f>AH130*$F130</f>
        <v>0</v>
      </c>
      <c r="AY130" s="56">
        <f>AI130*$F130</f>
        <v>0</v>
      </c>
      <c r="AZ130" s="56">
        <f>AJ130*$F130</f>
        <v>0</v>
      </c>
    </row>
    <row r="131" spans="2:52" ht="25.5">
      <c r="B131" s="60"/>
      <c r="C131" s="57" t="s">
        <v>102</v>
      </c>
      <c r="D131" s="58"/>
      <c r="E131" s="58"/>
      <c r="F131" s="535"/>
      <c r="G131" s="693" t="s">
        <v>1149</v>
      </c>
      <c r="H131" s="65"/>
      <c r="I131" s="65"/>
      <c r="J131" s="65"/>
      <c r="K131" s="65"/>
      <c r="L131" s="65"/>
      <c r="M131" s="65"/>
      <c r="N131" s="65"/>
      <c r="O131" s="65"/>
      <c r="P131" s="29"/>
      <c r="Q131" s="597"/>
      <c r="R131" s="61"/>
      <c r="T131" s="43">
        <f>SUM(AC131,AK131,AS131)</f>
        <v>0</v>
      </c>
      <c r="U131" s="43">
        <f>SUM(AD131,AL131,AT131)</f>
        <v>0</v>
      </c>
      <c r="V131" s="43">
        <f>SUM(AE131,AM131,AU131)</f>
        <v>0</v>
      </c>
      <c r="W131" s="43">
        <f>SUM(AF131,AN131,AV131)</f>
        <v>0</v>
      </c>
      <c r="X131" s="43">
        <f>SUM(AG131,AO131,AW131)</f>
        <v>0</v>
      </c>
      <c r="Y131" s="43">
        <f>SUM(AH131,AP131,AX131)</f>
        <v>0</v>
      </c>
      <c r="Z131" s="43">
        <f>SUM(AI131,AQ131,AY131)</f>
        <v>0</v>
      </c>
      <c r="AA131" s="43">
        <f>SUM(AJ131,AR131,AZ131)</f>
        <v>0</v>
      </c>
      <c r="AC131" s="631">
        <f>SUM($D131:$E131)*H131</f>
        <v>0</v>
      </c>
      <c r="AD131" s="631">
        <f>SUM($D131:$E131)*I131</f>
        <v>0</v>
      </c>
      <c r="AE131" s="631">
        <f>SUM($D131:$E131)*J131</f>
        <v>0</v>
      </c>
      <c r="AF131" s="631">
        <f>SUM($D131:$E131)*K131</f>
        <v>0</v>
      </c>
      <c r="AG131" s="631">
        <f>SUM($D131:$E131)*L131</f>
        <v>0</v>
      </c>
      <c r="AH131" s="631">
        <f>SUM($D131:$E131)*M131</f>
        <v>0</v>
      </c>
      <c r="AI131" s="631">
        <f>SUM($D131:$E131)*N131</f>
        <v>0</v>
      </c>
      <c r="AJ131" s="631">
        <f>SUM($D131:$E131)*O131</f>
        <v>0</v>
      </c>
      <c r="AK131" s="56">
        <f>IF($G131="",0,IF(NOT(OR($G131="A - All employees not in groups B, C, J, H, M or Z",$G131="B - Married women and widows entitled to reduced NI",$G131="C - Over the State Pension age",$G131="H - Apprentice under 25",$G131="J – Deferment",$G131="M - Under 21",$G131="Z - Deferment (Under 21)",$G131="Please Enter The NI Cont. in ££££")),$G131,SUM(MAX(MIN(AC131-'Input Data'!$BG$3,'Input Data'!$BG$5-'Input Data'!$BG$3),0)*VLOOKUP($G131,'Input Data'!$BI$3:$BL$10,2,FALSE),MAX(MIN(AC131-'Input Data'!$BG$5,IF(OR($G131="M (under 21)",$G131="Z (under 21 - deferment)"),'Input Data'!$BG$6,IF($G131="H (Apprentice under 25)",'Input Data'!$BG$7,'Input Data'!$BG$8))-'Input Data'!$BG$5),0)*VLOOKUP($G131,'Input Data'!$BI$3:$BL$10,3,FALSE),MAX((AC131-IF(OR($G131="M (under 21)",$G131="Z (under 21 - deferment)"),'Input Data'!$BG$6,IF($G131="H (Apprentice under 25)",'Input Data'!$BG$7,'Input Data'!$BG$8))),0)*VLOOKUP($G131,'Input Data'!$BI$3:$BL$10,4,FALSE))))</f>
        <v>0</v>
      </c>
      <c r="AL131" s="56">
        <f>IF($G131="",0,IF(NOT(OR($G131="A - All employees not in groups B, C, J, H, M or Z",$G131="B - Married women and widows entitled to reduced NI",$G131="C - Over the State Pension age",$G131="H - Apprentice under 25",$G131="J – Deferment",$G131="M - Under 21",$G131="Z - Deferment (Under 21)",$G131="Please Enter The NI Cont. in ££££")),$G131,SUM(MAX(MIN(AD131-'Input Data'!$BG$3,'Input Data'!$BG$5-'Input Data'!$BG$3),0)*VLOOKUP($G131,'Input Data'!$BI$3:$BL$10,2,FALSE),MAX(MIN(AD131-'Input Data'!$BG$5,IF(OR($G131="M (under 21)",$G131="Z (under 21 - deferment)"),'Input Data'!$BG$6,IF($G131="H (Apprentice under 25)",'Input Data'!$BG$7,'Input Data'!$BG$8))-'Input Data'!$BG$5),0)*VLOOKUP($G131,'Input Data'!$BI$3:$BL$10,3,FALSE),MAX((AD131-IF(OR($G131="M (under 21)",$G131="Z (under 21 - deferment)"),'Input Data'!$BG$6,IF($G131="H (Apprentice under 25)",'Input Data'!$BG$7,'Input Data'!$BG$8))),0)*VLOOKUP($G131,'Input Data'!$BI$3:$BL$10,4,FALSE))))</f>
        <v>0</v>
      </c>
      <c r="AM131" s="56">
        <f>IF($G131="",0,IF(NOT(OR($G131="A - All employees not in groups B, C, J, H, M or Z",$G131="B - Married women and widows entitled to reduced NI",$G131="C - Over the State Pension age",$G131="H - Apprentice under 25",$G131="J – Deferment",$G131="M - Under 21",$G131="Z - Deferment (Under 21)",$G131="Please Enter The NI Cont. in ££££")),$G131,SUM(MAX(MIN(AE131-'Input Data'!$BG$3,'Input Data'!$BG$5-'Input Data'!$BG$3),0)*VLOOKUP($G131,'Input Data'!$BI$3:$BL$10,2,FALSE),MAX(MIN(AE131-'Input Data'!$BG$5,IF(OR($G131="M (under 21)",$G131="Z (under 21 - deferment)"),'Input Data'!$BG$6,IF($G131="H (Apprentice under 25)",'Input Data'!$BG$7,'Input Data'!$BG$8))-'Input Data'!$BG$5),0)*VLOOKUP($G131,'Input Data'!$BI$3:$BL$10,3,FALSE),MAX((AE131-IF(OR($G131="M (under 21)",$G131="Z (under 21 - deferment)"),'Input Data'!$BG$6,IF($G131="H (Apprentice under 25)",'Input Data'!$BG$7,'Input Data'!$BG$8))),0)*VLOOKUP($G131,'Input Data'!$BI$3:$BL$10,4,FALSE))))</f>
        <v>0</v>
      </c>
      <c r="AN131" s="56">
        <f>IF($G131="",0,IF(NOT(OR($G131="A - All employees not in groups B, C, J, H, M or Z",$G131="B - Married women and widows entitled to reduced NI",$G131="C - Over the State Pension age",$G131="H - Apprentice under 25",$G131="J – Deferment",$G131="M - Under 21",$G131="Z - Deferment (Under 21)",$G131="Please Enter The NI Cont. in ££££")),$G131,SUM(MAX(MIN(AF131-'Input Data'!$BG$3,'Input Data'!$BG$5-'Input Data'!$BG$3),0)*VLOOKUP($G131,'Input Data'!$BI$3:$BL$10,2,FALSE),MAX(MIN(AF131-'Input Data'!$BG$5,IF(OR($G131="M (under 21)",$G131="Z (under 21 - deferment)"),'Input Data'!$BG$6,IF($G131="H (Apprentice under 25)",'Input Data'!$BG$7,'Input Data'!$BG$8))-'Input Data'!$BG$5),0)*VLOOKUP($G131,'Input Data'!$BI$3:$BL$10,3,FALSE),MAX((AF131-IF(OR($G131="M (under 21)",$G131="Z (under 21 - deferment)"),'Input Data'!$BG$6,IF($G131="H (Apprentice under 25)",'Input Data'!$BG$7,'Input Data'!$BG$8))),0)*VLOOKUP($G131,'Input Data'!$BI$3:$BL$10,4,FALSE))))</f>
        <v>0</v>
      </c>
      <c r="AO131" s="56">
        <f>IF($G131="",0,IF(NOT(OR($G131="A - All employees not in groups B, C, J, H, M or Z",$G131="B - Married women and widows entitled to reduced NI",$G131="C - Over the State Pension age",$G131="H - Apprentice under 25",$G131="J – Deferment",$G131="M - Under 21",$G131="Z - Deferment (Under 21)",$G131="Please Enter The NI Cont. in ££££")),$G131,SUM(MAX(MIN(AG131-'Input Data'!$BG$3,'Input Data'!$BG$5-'Input Data'!$BG$3),0)*VLOOKUP($G131,'Input Data'!$BI$3:$BL$10,2,FALSE),MAX(MIN(AG131-'Input Data'!$BG$5,IF(OR($G131="M (under 21)",$G131="Z (under 21 - deferment)"),'Input Data'!$BG$6,IF($G131="H (Apprentice under 25)",'Input Data'!$BG$7,'Input Data'!$BG$8))-'Input Data'!$BG$5),0)*VLOOKUP($G131,'Input Data'!$BI$3:$BL$10,3,FALSE),MAX((AG131-IF(OR($G131="M (under 21)",$G131="Z (under 21 - deferment)"),'Input Data'!$BG$6,IF($G131="H (Apprentice under 25)",'Input Data'!$BG$7,'Input Data'!$BG$8))),0)*VLOOKUP($G131,'Input Data'!$BI$3:$BL$10,4,FALSE))))</f>
        <v>0</v>
      </c>
      <c r="AP131" s="56">
        <f>IF($G131="",0,IF(NOT(OR($G131="A - All employees not in groups B, C, J, H, M or Z",$G131="B - Married women and widows entitled to reduced NI",$G131="C - Over the State Pension age",$G131="H - Apprentice under 25",$G131="J – Deferment",$G131="M - Under 21",$G131="Z - Deferment (Under 21)",$G131="Please Enter The NI Cont. in ££££")),$G131,SUM(MAX(MIN(AH131-'Input Data'!$BG$3,'Input Data'!$BG$5-'Input Data'!$BG$3),0)*VLOOKUP($G131,'Input Data'!$BI$3:$BL$10,2,FALSE),MAX(MIN(AH131-'Input Data'!$BG$5,IF(OR($G131="M (under 21)",$G131="Z (under 21 - deferment)"),'Input Data'!$BG$6,IF($G131="H (Apprentice under 25)",'Input Data'!$BG$7,'Input Data'!$BG$8))-'Input Data'!$BG$5),0)*VLOOKUP($G131,'Input Data'!$BI$3:$BL$10,3,FALSE),MAX((AH131-IF(OR($G131="M (under 21)",$G131="Z (under 21 - deferment)"),'Input Data'!$BG$6,IF($G131="H (Apprentice under 25)",'Input Data'!$BG$7,'Input Data'!$BG$8))),0)*VLOOKUP($G131,'Input Data'!$BI$3:$BL$10,4,FALSE))))</f>
        <v>0</v>
      </c>
      <c r="AQ131" s="56">
        <f>IF($G131="",0,IF(NOT(OR($G131="A - All employees not in groups B, C, J, H, M or Z",$G131="B - Married women and widows entitled to reduced NI",$G131="C - Over the State Pension age",$G131="H - Apprentice under 25",$G131="J – Deferment",$G131="M - Under 21",$G131="Z - Deferment (Under 21)",$G131="Please Enter The NI Cont. in ££££")),$G131,SUM(MAX(MIN(AI131-'Input Data'!$BG$3,'Input Data'!$BG$5-'Input Data'!$BG$3),0)*VLOOKUP($G131,'Input Data'!$BI$3:$BL$10,2,FALSE),MAX(MIN(AI131-'Input Data'!$BG$5,IF(OR($G131="M (under 21)",$G131="Z (under 21 - deferment)"),'Input Data'!$BG$6,IF($G131="H (Apprentice under 25)",'Input Data'!$BG$7,'Input Data'!$BG$8))-'Input Data'!$BG$5),0)*VLOOKUP($G131,'Input Data'!$BI$3:$BL$10,3,FALSE),MAX((AI131-IF(OR($G131="M (under 21)",$G131="Z (under 21 - deferment)"),'Input Data'!$BG$6,IF($G131="H (Apprentice under 25)",'Input Data'!$BG$7,'Input Data'!$BG$8))),0)*VLOOKUP($G131,'Input Data'!$BI$3:$BL$10,4,FALSE))))</f>
        <v>0</v>
      </c>
      <c r="AR131" s="56">
        <f>IF($G131="",0,IF(NOT(OR($G131="A - All employees not in groups B, C, J, H, M or Z",$G131="B - Married women and widows entitled to reduced NI",$G131="C - Over the State Pension age",$G131="H - Apprentice under 25",$G131="J – Deferment",$G131="M - Under 21",$G131="Z - Deferment (Under 21)",$G131="Please Enter The NI Cont. in ££££")),$G131,SUM(MAX(MIN(AJ131-'Input Data'!$BG$3,'Input Data'!$BG$5-'Input Data'!$BG$3),0)*VLOOKUP($G131,'Input Data'!$BI$3:$BL$10,2,FALSE),MAX(MIN(AJ131-'Input Data'!$BG$5,IF(OR($G131="M (under 21)",$G131="Z (under 21 - deferment)"),'Input Data'!$BG$6,IF($G131="H (Apprentice under 25)",'Input Data'!$BG$7,'Input Data'!$BG$8))-'Input Data'!$BG$5),0)*VLOOKUP($G131,'Input Data'!$BI$3:$BL$10,3,FALSE),MAX((AJ131-IF(OR($G131="M (under 21)",$G131="Z (under 21 - deferment)"),'Input Data'!$BG$6,IF($G131="H (Apprentice under 25)",'Input Data'!$BG$7,'Input Data'!$BG$8))),0)*VLOOKUP($G131,'Input Data'!$BI$3:$BL$10,4,FALSE))))</f>
        <v>0</v>
      </c>
      <c r="AS131" s="56">
        <f>AC131*$F131</f>
        <v>0</v>
      </c>
      <c r="AT131" s="56">
        <f>AD131*$F131</f>
        <v>0</v>
      </c>
      <c r="AU131" s="56">
        <f>AE131*$F131</f>
        <v>0</v>
      </c>
      <c r="AV131" s="56">
        <f>AF131*$F131</f>
        <v>0</v>
      </c>
      <c r="AW131" s="56">
        <f>AG131*$F131</f>
        <v>0</v>
      </c>
      <c r="AX131" s="56">
        <f>AH131*$F131</f>
        <v>0</v>
      </c>
      <c r="AY131" s="56">
        <f>AI131*$F131</f>
        <v>0</v>
      </c>
      <c r="AZ131" s="56">
        <f>AJ131*$F131</f>
        <v>0</v>
      </c>
    </row>
    <row r="132" spans="2:52" ht="25.5">
      <c r="B132" s="60"/>
      <c r="C132" s="57" t="s">
        <v>103</v>
      </c>
      <c r="D132" s="58"/>
      <c r="E132" s="58"/>
      <c r="F132" s="535"/>
      <c r="G132" s="693" t="s">
        <v>1149</v>
      </c>
      <c r="H132" s="65"/>
      <c r="I132" s="65"/>
      <c r="J132" s="65"/>
      <c r="K132" s="65"/>
      <c r="L132" s="65"/>
      <c r="M132" s="65"/>
      <c r="N132" s="65"/>
      <c r="O132" s="65"/>
      <c r="P132" s="29"/>
      <c r="Q132" s="597"/>
      <c r="R132" s="61"/>
      <c r="T132" s="43">
        <f>SUM(AC132,AK132,AS132)</f>
        <v>0</v>
      </c>
      <c r="U132" s="43">
        <f>SUM(AD132,AL132,AT132)</f>
        <v>0</v>
      </c>
      <c r="V132" s="43">
        <f>SUM(AE132,AM132,AU132)</f>
        <v>0</v>
      </c>
      <c r="W132" s="43">
        <f>SUM(AF132,AN132,AV132)</f>
        <v>0</v>
      </c>
      <c r="X132" s="43">
        <f>SUM(AG132,AO132,AW132)</f>
        <v>0</v>
      </c>
      <c r="Y132" s="43">
        <f>SUM(AH132,AP132,AX132)</f>
        <v>0</v>
      </c>
      <c r="Z132" s="43">
        <f>SUM(AI132,AQ132,AY132)</f>
        <v>0</v>
      </c>
      <c r="AA132" s="43">
        <f>SUM(AJ132,AR132,AZ132)</f>
        <v>0</v>
      </c>
      <c r="AC132" s="631">
        <f>SUM($D132:$E132)*H132</f>
        <v>0</v>
      </c>
      <c r="AD132" s="631">
        <f>SUM($D132:$E132)*I132</f>
        <v>0</v>
      </c>
      <c r="AE132" s="631">
        <f>SUM($D132:$E132)*J132</f>
        <v>0</v>
      </c>
      <c r="AF132" s="631">
        <f>SUM($D132:$E132)*K132</f>
        <v>0</v>
      </c>
      <c r="AG132" s="631">
        <f>SUM($D132:$E132)*L132</f>
        <v>0</v>
      </c>
      <c r="AH132" s="631">
        <f>SUM($D132:$E132)*M132</f>
        <v>0</v>
      </c>
      <c r="AI132" s="631">
        <f>SUM($D132:$E132)*N132</f>
        <v>0</v>
      </c>
      <c r="AJ132" s="631">
        <f>SUM($D132:$E132)*O132</f>
        <v>0</v>
      </c>
      <c r="AK132" s="56">
        <f>IF($G132="",0,IF(NOT(OR($G132="A - All employees not in groups B, C, J, H, M or Z",$G132="B - Married women and widows entitled to reduced NI",$G132="C - Over the State Pension age",$G132="H - Apprentice under 25",$G132="J – Deferment",$G132="M - Under 21",$G132="Z - Deferment (Under 21)",$G132="Please Enter The NI Cont. in ££££")),$G132,SUM(MAX(MIN(AC132-'Input Data'!$BG$3,'Input Data'!$BG$5-'Input Data'!$BG$3),0)*VLOOKUP($G132,'Input Data'!$BI$3:$BL$10,2,FALSE),MAX(MIN(AC132-'Input Data'!$BG$5,IF(OR($G132="M (under 21)",$G132="Z (under 21 - deferment)"),'Input Data'!$BG$6,IF($G132="H (Apprentice under 25)",'Input Data'!$BG$7,'Input Data'!$BG$8))-'Input Data'!$BG$5),0)*VLOOKUP($G132,'Input Data'!$BI$3:$BL$10,3,FALSE),MAX((AC132-IF(OR($G132="M (under 21)",$G132="Z (under 21 - deferment)"),'Input Data'!$BG$6,IF($G132="H (Apprentice under 25)",'Input Data'!$BG$7,'Input Data'!$BG$8))),0)*VLOOKUP($G132,'Input Data'!$BI$3:$BL$10,4,FALSE))))</f>
        <v>0</v>
      </c>
      <c r="AL132" s="56">
        <f>IF($G132="",0,IF(NOT(OR($G132="A - All employees not in groups B, C, J, H, M or Z",$G132="B - Married women and widows entitled to reduced NI",$G132="C - Over the State Pension age",$G132="H - Apprentice under 25",$G132="J – Deferment",$G132="M - Under 21",$G132="Z - Deferment (Under 21)",$G132="Please Enter The NI Cont. in ££££")),$G132,SUM(MAX(MIN(AD132-'Input Data'!$BG$3,'Input Data'!$BG$5-'Input Data'!$BG$3),0)*VLOOKUP($G132,'Input Data'!$BI$3:$BL$10,2,FALSE),MAX(MIN(AD132-'Input Data'!$BG$5,IF(OR($G132="M (under 21)",$G132="Z (under 21 - deferment)"),'Input Data'!$BG$6,IF($G132="H (Apprentice under 25)",'Input Data'!$BG$7,'Input Data'!$BG$8))-'Input Data'!$BG$5),0)*VLOOKUP($G132,'Input Data'!$BI$3:$BL$10,3,FALSE),MAX((AD132-IF(OR($G132="M (under 21)",$G132="Z (under 21 - deferment)"),'Input Data'!$BG$6,IF($G132="H (Apprentice under 25)",'Input Data'!$BG$7,'Input Data'!$BG$8))),0)*VLOOKUP($G132,'Input Data'!$BI$3:$BL$10,4,FALSE))))</f>
        <v>0</v>
      </c>
      <c r="AM132" s="56">
        <f>IF($G132="",0,IF(NOT(OR($G132="A - All employees not in groups B, C, J, H, M or Z",$G132="B - Married women and widows entitled to reduced NI",$G132="C - Over the State Pension age",$G132="H - Apprentice under 25",$G132="J – Deferment",$G132="M - Under 21",$G132="Z - Deferment (Under 21)",$G132="Please Enter The NI Cont. in ££££")),$G132,SUM(MAX(MIN(AE132-'Input Data'!$BG$3,'Input Data'!$BG$5-'Input Data'!$BG$3),0)*VLOOKUP($G132,'Input Data'!$BI$3:$BL$10,2,FALSE),MAX(MIN(AE132-'Input Data'!$BG$5,IF(OR($G132="M (under 21)",$G132="Z (under 21 - deferment)"),'Input Data'!$BG$6,IF($G132="H (Apprentice under 25)",'Input Data'!$BG$7,'Input Data'!$BG$8))-'Input Data'!$BG$5),0)*VLOOKUP($G132,'Input Data'!$BI$3:$BL$10,3,FALSE),MAX((AE132-IF(OR($G132="M (under 21)",$G132="Z (under 21 - deferment)"),'Input Data'!$BG$6,IF($G132="H (Apprentice under 25)",'Input Data'!$BG$7,'Input Data'!$BG$8))),0)*VLOOKUP($G132,'Input Data'!$BI$3:$BL$10,4,FALSE))))</f>
        <v>0</v>
      </c>
      <c r="AN132" s="56">
        <f>IF($G132="",0,IF(NOT(OR($G132="A - All employees not in groups B, C, J, H, M or Z",$G132="B - Married women and widows entitled to reduced NI",$G132="C - Over the State Pension age",$G132="H - Apprentice under 25",$G132="J – Deferment",$G132="M - Under 21",$G132="Z - Deferment (Under 21)",$G132="Please Enter The NI Cont. in ££££")),$G132,SUM(MAX(MIN(AF132-'Input Data'!$BG$3,'Input Data'!$BG$5-'Input Data'!$BG$3),0)*VLOOKUP($G132,'Input Data'!$BI$3:$BL$10,2,FALSE),MAX(MIN(AF132-'Input Data'!$BG$5,IF(OR($G132="M (under 21)",$G132="Z (under 21 - deferment)"),'Input Data'!$BG$6,IF($G132="H (Apprentice under 25)",'Input Data'!$BG$7,'Input Data'!$BG$8))-'Input Data'!$BG$5),0)*VLOOKUP($G132,'Input Data'!$BI$3:$BL$10,3,FALSE),MAX((AF132-IF(OR($G132="M (under 21)",$G132="Z (under 21 - deferment)"),'Input Data'!$BG$6,IF($G132="H (Apprentice under 25)",'Input Data'!$BG$7,'Input Data'!$BG$8))),0)*VLOOKUP($G132,'Input Data'!$BI$3:$BL$10,4,FALSE))))</f>
        <v>0</v>
      </c>
      <c r="AO132" s="56">
        <f>IF($G132="",0,IF(NOT(OR($G132="A - All employees not in groups B, C, J, H, M or Z",$G132="B - Married women and widows entitled to reduced NI",$G132="C - Over the State Pension age",$G132="H - Apprentice under 25",$G132="J – Deferment",$G132="M - Under 21",$G132="Z - Deferment (Under 21)",$G132="Please Enter The NI Cont. in ££££")),$G132,SUM(MAX(MIN(AG132-'Input Data'!$BG$3,'Input Data'!$BG$5-'Input Data'!$BG$3),0)*VLOOKUP($G132,'Input Data'!$BI$3:$BL$10,2,FALSE),MAX(MIN(AG132-'Input Data'!$BG$5,IF(OR($G132="M (under 21)",$G132="Z (under 21 - deferment)"),'Input Data'!$BG$6,IF($G132="H (Apprentice under 25)",'Input Data'!$BG$7,'Input Data'!$BG$8))-'Input Data'!$BG$5),0)*VLOOKUP($G132,'Input Data'!$BI$3:$BL$10,3,FALSE),MAX((AG132-IF(OR($G132="M (under 21)",$G132="Z (under 21 - deferment)"),'Input Data'!$BG$6,IF($G132="H (Apprentice under 25)",'Input Data'!$BG$7,'Input Data'!$BG$8))),0)*VLOOKUP($G132,'Input Data'!$BI$3:$BL$10,4,FALSE))))</f>
        <v>0</v>
      </c>
      <c r="AP132" s="56">
        <f>IF($G132="",0,IF(NOT(OR($G132="A - All employees not in groups B, C, J, H, M or Z",$G132="B - Married women and widows entitled to reduced NI",$G132="C - Over the State Pension age",$G132="H - Apprentice under 25",$G132="J – Deferment",$G132="M - Under 21",$G132="Z - Deferment (Under 21)",$G132="Please Enter The NI Cont. in ££££")),$G132,SUM(MAX(MIN(AH132-'Input Data'!$BG$3,'Input Data'!$BG$5-'Input Data'!$BG$3),0)*VLOOKUP($G132,'Input Data'!$BI$3:$BL$10,2,FALSE),MAX(MIN(AH132-'Input Data'!$BG$5,IF(OR($G132="M (under 21)",$G132="Z (under 21 - deferment)"),'Input Data'!$BG$6,IF($G132="H (Apprentice under 25)",'Input Data'!$BG$7,'Input Data'!$BG$8))-'Input Data'!$BG$5),0)*VLOOKUP($G132,'Input Data'!$BI$3:$BL$10,3,FALSE),MAX((AH132-IF(OR($G132="M (under 21)",$G132="Z (under 21 - deferment)"),'Input Data'!$BG$6,IF($G132="H (Apprentice under 25)",'Input Data'!$BG$7,'Input Data'!$BG$8))),0)*VLOOKUP($G132,'Input Data'!$BI$3:$BL$10,4,FALSE))))</f>
        <v>0</v>
      </c>
      <c r="AQ132" s="56">
        <f>IF($G132="",0,IF(NOT(OR($G132="A - All employees not in groups B, C, J, H, M or Z",$G132="B - Married women and widows entitled to reduced NI",$G132="C - Over the State Pension age",$G132="H - Apprentice under 25",$G132="J – Deferment",$G132="M - Under 21",$G132="Z - Deferment (Under 21)",$G132="Please Enter The NI Cont. in ££££")),$G132,SUM(MAX(MIN(AI132-'Input Data'!$BG$3,'Input Data'!$BG$5-'Input Data'!$BG$3),0)*VLOOKUP($G132,'Input Data'!$BI$3:$BL$10,2,FALSE),MAX(MIN(AI132-'Input Data'!$BG$5,IF(OR($G132="M (under 21)",$G132="Z (under 21 - deferment)"),'Input Data'!$BG$6,IF($G132="H (Apprentice under 25)",'Input Data'!$BG$7,'Input Data'!$BG$8))-'Input Data'!$BG$5),0)*VLOOKUP($G132,'Input Data'!$BI$3:$BL$10,3,FALSE),MAX((AI132-IF(OR($G132="M (under 21)",$G132="Z (under 21 - deferment)"),'Input Data'!$BG$6,IF($G132="H (Apprentice under 25)",'Input Data'!$BG$7,'Input Data'!$BG$8))),0)*VLOOKUP($G132,'Input Data'!$BI$3:$BL$10,4,FALSE))))</f>
        <v>0</v>
      </c>
      <c r="AR132" s="56">
        <f>IF($G132="",0,IF(NOT(OR($G132="A - All employees not in groups B, C, J, H, M or Z",$G132="B - Married women and widows entitled to reduced NI",$G132="C - Over the State Pension age",$G132="H - Apprentice under 25",$G132="J – Deferment",$G132="M - Under 21",$G132="Z - Deferment (Under 21)",$G132="Please Enter The NI Cont. in ££££")),$G132,SUM(MAX(MIN(AJ132-'Input Data'!$BG$3,'Input Data'!$BG$5-'Input Data'!$BG$3),0)*VLOOKUP($G132,'Input Data'!$BI$3:$BL$10,2,FALSE),MAX(MIN(AJ132-'Input Data'!$BG$5,IF(OR($G132="M (under 21)",$G132="Z (under 21 - deferment)"),'Input Data'!$BG$6,IF($G132="H (Apprentice under 25)",'Input Data'!$BG$7,'Input Data'!$BG$8))-'Input Data'!$BG$5),0)*VLOOKUP($G132,'Input Data'!$BI$3:$BL$10,3,FALSE),MAX((AJ132-IF(OR($G132="M (under 21)",$G132="Z (under 21 - deferment)"),'Input Data'!$BG$6,IF($G132="H (Apprentice under 25)",'Input Data'!$BG$7,'Input Data'!$BG$8))),0)*VLOOKUP($G132,'Input Data'!$BI$3:$BL$10,4,FALSE))))</f>
        <v>0</v>
      </c>
      <c r="AS132" s="56">
        <f>AC132*$F132</f>
        <v>0</v>
      </c>
      <c r="AT132" s="56">
        <f>AD132*$F132</f>
        <v>0</v>
      </c>
      <c r="AU132" s="56">
        <f>AE132*$F132</f>
        <v>0</v>
      </c>
      <c r="AV132" s="56">
        <f>AF132*$F132</f>
        <v>0</v>
      </c>
      <c r="AW132" s="56">
        <f>AG132*$F132</f>
        <v>0</v>
      </c>
      <c r="AX132" s="56">
        <f>AH132*$F132</f>
        <v>0</v>
      </c>
      <c r="AY132" s="56">
        <f>AI132*$F132</f>
        <v>0</v>
      </c>
      <c r="AZ132" s="56">
        <f>AJ132*$F132</f>
        <v>0</v>
      </c>
    </row>
    <row r="133" spans="2:52" ht="25.5">
      <c r="B133" s="60"/>
      <c r="C133" s="57" t="s">
        <v>104</v>
      </c>
      <c r="D133" s="58"/>
      <c r="E133" s="58"/>
      <c r="F133" s="535"/>
      <c r="G133" s="693" t="s">
        <v>1149</v>
      </c>
      <c r="H133" s="65"/>
      <c r="I133" s="65"/>
      <c r="J133" s="65"/>
      <c r="K133" s="65"/>
      <c r="L133" s="65"/>
      <c r="M133" s="65"/>
      <c r="N133" s="65"/>
      <c r="O133" s="65"/>
      <c r="P133" s="29"/>
      <c r="Q133" s="597"/>
      <c r="R133" s="61"/>
      <c r="T133" s="43">
        <f>SUM(AC133,AK133,AS133)</f>
        <v>0</v>
      </c>
      <c r="U133" s="43">
        <f>SUM(AD133,AL133,AT133)</f>
        <v>0</v>
      </c>
      <c r="V133" s="43">
        <f>SUM(AE133,AM133,AU133)</f>
        <v>0</v>
      </c>
      <c r="W133" s="43">
        <f>SUM(AF133,AN133,AV133)</f>
        <v>0</v>
      </c>
      <c r="X133" s="43">
        <f>SUM(AG133,AO133,AW133)</f>
        <v>0</v>
      </c>
      <c r="Y133" s="43">
        <f>SUM(AH133,AP133,AX133)</f>
        <v>0</v>
      </c>
      <c r="Z133" s="43">
        <f>SUM(AI133,AQ133,AY133)</f>
        <v>0</v>
      </c>
      <c r="AA133" s="43">
        <f>SUM(AJ133,AR133,AZ133)</f>
        <v>0</v>
      </c>
      <c r="AC133" s="631">
        <f>SUM($D133:$E133)*H133</f>
        <v>0</v>
      </c>
      <c r="AD133" s="631">
        <f>SUM($D133:$E133)*I133</f>
        <v>0</v>
      </c>
      <c r="AE133" s="631">
        <f>SUM($D133:$E133)*J133</f>
        <v>0</v>
      </c>
      <c r="AF133" s="631">
        <f>SUM($D133:$E133)*K133</f>
        <v>0</v>
      </c>
      <c r="AG133" s="631">
        <f>SUM($D133:$E133)*L133</f>
        <v>0</v>
      </c>
      <c r="AH133" s="631">
        <f>SUM($D133:$E133)*M133</f>
        <v>0</v>
      </c>
      <c r="AI133" s="631">
        <f>SUM($D133:$E133)*N133</f>
        <v>0</v>
      </c>
      <c r="AJ133" s="631">
        <f>SUM($D133:$E133)*O133</f>
        <v>0</v>
      </c>
      <c r="AK133" s="56">
        <f>IF($G133="",0,IF(NOT(OR($G133="A - All employees not in groups B, C, J, H, M or Z",$G133="B - Married women and widows entitled to reduced NI",$G133="C - Over the State Pension age",$G133="H - Apprentice under 25",$G133="J – Deferment",$G133="M - Under 21",$G133="Z - Deferment (Under 21)",$G133="Please Enter The NI Cont. in ££££")),$G133,SUM(MAX(MIN(AC133-'Input Data'!$BG$3,'Input Data'!$BG$5-'Input Data'!$BG$3),0)*VLOOKUP($G133,'Input Data'!$BI$3:$BL$10,2,FALSE),MAX(MIN(AC133-'Input Data'!$BG$5,IF(OR($G133="M (under 21)",$G133="Z (under 21 - deferment)"),'Input Data'!$BG$6,IF($G133="H (Apprentice under 25)",'Input Data'!$BG$7,'Input Data'!$BG$8))-'Input Data'!$BG$5),0)*VLOOKUP($G133,'Input Data'!$BI$3:$BL$10,3,FALSE),MAX((AC133-IF(OR($G133="M (under 21)",$G133="Z (under 21 - deferment)"),'Input Data'!$BG$6,IF($G133="H (Apprentice under 25)",'Input Data'!$BG$7,'Input Data'!$BG$8))),0)*VLOOKUP($G133,'Input Data'!$BI$3:$BL$10,4,FALSE))))</f>
        <v>0</v>
      </c>
      <c r="AL133" s="56">
        <f>IF($G133="",0,IF(NOT(OR($G133="A - All employees not in groups B, C, J, H, M or Z",$G133="B - Married women and widows entitled to reduced NI",$G133="C - Over the State Pension age",$G133="H - Apprentice under 25",$G133="J – Deferment",$G133="M - Under 21",$G133="Z - Deferment (Under 21)",$G133="Please Enter The NI Cont. in ££££")),$G133,SUM(MAX(MIN(AD133-'Input Data'!$BG$3,'Input Data'!$BG$5-'Input Data'!$BG$3),0)*VLOOKUP($G133,'Input Data'!$BI$3:$BL$10,2,FALSE),MAX(MIN(AD133-'Input Data'!$BG$5,IF(OR($G133="M (under 21)",$G133="Z (under 21 - deferment)"),'Input Data'!$BG$6,IF($G133="H (Apprentice under 25)",'Input Data'!$BG$7,'Input Data'!$BG$8))-'Input Data'!$BG$5),0)*VLOOKUP($G133,'Input Data'!$BI$3:$BL$10,3,FALSE),MAX((AD133-IF(OR($G133="M (under 21)",$G133="Z (under 21 - deferment)"),'Input Data'!$BG$6,IF($G133="H (Apprentice under 25)",'Input Data'!$BG$7,'Input Data'!$BG$8))),0)*VLOOKUP($G133,'Input Data'!$BI$3:$BL$10,4,FALSE))))</f>
        <v>0</v>
      </c>
      <c r="AM133" s="56">
        <f>IF($G133="",0,IF(NOT(OR($G133="A - All employees not in groups B, C, J, H, M or Z",$G133="B - Married women and widows entitled to reduced NI",$G133="C - Over the State Pension age",$G133="H - Apprentice under 25",$G133="J – Deferment",$G133="M - Under 21",$G133="Z - Deferment (Under 21)",$G133="Please Enter The NI Cont. in ££££")),$G133,SUM(MAX(MIN(AE133-'Input Data'!$BG$3,'Input Data'!$BG$5-'Input Data'!$BG$3),0)*VLOOKUP($G133,'Input Data'!$BI$3:$BL$10,2,FALSE),MAX(MIN(AE133-'Input Data'!$BG$5,IF(OR($G133="M (under 21)",$G133="Z (under 21 - deferment)"),'Input Data'!$BG$6,IF($G133="H (Apprentice under 25)",'Input Data'!$BG$7,'Input Data'!$BG$8))-'Input Data'!$BG$5),0)*VLOOKUP($G133,'Input Data'!$BI$3:$BL$10,3,FALSE),MAX((AE133-IF(OR($G133="M (under 21)",$G133="Z (under 21 - deferment)"),'Input Data'!$BG$6,IF($G133="H (Apprentice under 25)",'Input Data'!$BG$7,'Input Data'!$BG$8))),0)*VLOOKUP($G133,'Input Data'!$BI$3:$BL$10,4,FALSE))))</f>
        <v>0</v>
      </c>
      <c r="AN133" s="56">
        <f>IF($G133="",0,IF(NOT(OR($G133="A - All employees not in groups B, C, J, H, M or Z",$G133="B - Married women and widows entitled to reduced NI",$G133="C - Over the State Pension age",$G133="H - Apprentice under 25",$G133="J – Deferment",$G133="M - Under 21",$G133="Z - Deferment (Under 21)",$G133="Please Enter The NI Cont. in ££££")),$G133,SUM(MAX(MIN(AF133-'Input Data'!$BG$3,'Input Data'!$BG$5-'Input Data'!$BG$3),0)*VLOOKUP($G133,'Input Data'!$BI$3:$BL$10,2,FALSE),MAX(MIN(AF133-'Input Data'!$BG$5,IF(OR($G133="M (under 21)",$G133="Z (under 21 - deferment)"),'Input Data'!$BG$6,IF($G133="H (Apprentice under 25)",'Input Data'!$BG$7,'Input Data'!$BG$8))-'Input Data'!$BG$5),0)*VLOOKUP($G133,'Input Data'!$BI$3:$BL$10,3,FALSE),MAX((AF133-IF(OR($G133="M (under 21)",$G133="Z (under 21 - deferment)"),'Input Data'!$BG$6,IF($G133="H (Apprentice under 25)",'Input Data'!$BG$7,'Input Data'!$BG$8))),0)*VLOOKUP($G133,'Input Data'!$BI$3:$BL$10,4,FALSE))))</f>
        <v>0</v>
      </c>
      <c r="AO133" s="56">
        <f>IF($G133="",0,IF(NOT(OR($G133="A - All employees not in groups B, C, J, H, M or Z",$G133="B - Married women and widows entitled to reduced NI",$G133="C - Over the State Pension age",$G133="H - Apprentice under 25",$G133="J – Deferment",$G133="M - Under 21",$G133="Z - Deferment (Under 21)",$G133="Please Enter The NI Cont. in ££££")),$G133,SUM(MAX(MIN(AG133-'Input Data'!$BG$3,'Input Data'!$BG$5-'Input Data'!$BG$3),0)*VLOOKUP($G133,'Input Data'!$BI$3:$BL$10,2,FALSE),MAX(MIN(AG133-'Input Data'!$BG$5,IF(OR($G133="M (under 21)",$G133="Z (under 21 - deferment)"),'Input Data'!$BG$6,IF($G133="H (Apprentice under 25)",'Input Data'!$BG$7,'Input Data'!$BG$8))-'Input Data'!$BG$5),0)*VLOOKUP($G133,'Input Data'!$BI$3:$BL$10,3,FALSE),MAX((AG133-IF(OR($G133="M (under 21)",$G133="Z (under 21 - deferment)"),'Input Data'!$BG$6,IF($G133="H (Apprentice under 25)",'Input Data'!$BG$7,'Input Data'!$BG$8))),0)*VLOOKUP($G133,'Input Data'!$BI$3:$BL$10,4,FALSE))))</f>
        <v>0</v>
      </c>
      <c r="AP133" s="56">
        <f>IF($G133="",0,IF(NOT(OR($G133="A - All employees not in groups B, C, J, H, M or Z",$G133="B - Married women and widows entitled to reduced NI",$G133="C - Over the State Pension age",$G133="H - Apprentice under 25",$G133="J – Deferment",$G133="M - Under 21",$G133="Z - Deferment (Under 21)",$G133="Please Enter The NI Cont. in ££££")),$G133,SUM(MAX(MIN(AH133-'Input Data'!$BG$3,'Input Data'!$BG$5-'Input Data'!$BG$3),0)*VLOOKUP($G133,'Input Data'!$BI$3:$BL$10,2,FALSE),MAX(MIN(AH133-'Input Data'!$BG$5,IF(OR($G133="M (under 21)",$G133="Z (under 21 - deferment)"),'Input Data'!$BG$6,IF($G133="H (Apprentice under 25)",'Input Data'!$BG$7,'Input Data'!$BG$8))-'Input Data'!$BG$5),0)*VLOOKUP($G133,'Input Data'!$BI$3:$BL$10,3,FALSE),MAX((AH133-IF(OR($G133="M (under 21)",$G133="Z (under 21 - deferment)"),'Input Data'!$BG$6,IF($G133="H (Apprentice under 25)",'Input Data'!$BG$7,'Input Data'!$BG$8))),0)*VLOOKUP($G133,'Input Data'!$BI$3:$BL$10,4,FALSE))))</f>
        <v>0</v>
      </c>
      <c r="AQ133" s="56">
        <f>IF($G133="",0,IF(NOT(OR($G133="A - All employees not in groups B, C, J, H, M or Z",$G133="B - Married women and widows entitled to reduced NI",$G133="C - Over the State Pension age",$G133="H - Apprentice under 25",$G133="J – Deferment",$G133="M - Under 21",$G133="Z - Deferment (Under 21)",$G133="Please Enter The NI Cont. in ££££")),$G133,SUM(MAX(MIN(AI133-'Input Data'!$BG$3,'Input Data'!$BG$5-'Input Data'!$BG$3),0)*VLOOKUP($G133,'Input Data'!$BI$3:$BL$10,2,FALSE),MAX(MIN(AI133-'Input Data'!$BG$5,IF(OR($G133="M (under 21)",$G133="Z (under 21 - deferment)"),'Input Data'!$BG$6,IF($G133="H (Apprentice under 25)",'Input Data'!$BG$7,'Input Data'!$BG$8))-'Input Data'!$BG$5),0)*VLOOKUP($G133,'Input Data'!$BI$3:$BL$10,3,FALSE),MAX((AI133-IF(OR($G133="M (under 21)",$G133="Z (under 21 - deferment)"),'Input Data'!$BG$6,IF($G133="H (Apprentice under 25)",'Input Data'!$BG$7,'Input Data'!$BG$8))),0)*VLOOKUP($G133,'Input Data'!$BI$3:$BL$10,4,FALSE))))</f>
        <v>0</v>
      </c>
      <c r="AR133" s="56">
        <f>IF($G133="",0,IF(NOT(OR($G133="A - All employees not in groups B, C, J, H, M or Z",$G133="B - Married women and widows entitled to reduced NI",$G133="C - Over the State Pension age",$G133="H - Apprentice under 25",$G133="J – Deferment",$G133="M - Under 21",$G133="Z - Deferment (Under 21)",$G133="Please Enter The NI Cont. in ££££")),$G133,SUM(MAX(MIN(AJ133-'Input Data'!$BG$3,'Input Data'!$BG$5-'Input Data'!$BG$3),0)*VLOOKUP($G133,'Input Data'!$BI$3:$BL$10,2,FALSE),MAX(MIN(AJ133-'Input Data'!$BG$5,IF(OR($G133="M (under 21)",$G133="Z (under 21 - deferment)"),'Input Data'!$BG$6,IF($G133="H (Apprentice under 25)",'Input Data'!$BG$7,'Input Data'!$BG$8))-'Input Data'!$BG$5),0)*VLOOKUP($G133,'Input Data'!$BI$3:$BL$10,3,FALSE),MAX((AJ133-IF(OR($G133="M (under 21)",$G133="Z (under 21 - deferment)"),'Input Data'!$BG$6,IF($G133="H (Apprentice under 25)",'Input Data'!$BG$7,'Input Data'!$BG$8))),0)*VLOOKUP($G133,'Input Data'!$BI$3:$BL$10,4,FALSE))))</f>
        <v>0</v>
      </c>
      <c r="AS133" s="56">
        <f>AC133*$F133</f>
        <v>0</v>
      </c>
      <c r="AT133" s="56">
        <f>AD133*$F133</f>
        <v>0</v>
      </c>
      <c r="AU133" s="56">
        <f>AE133*$F133</f>
        <v>0</v>
      </c>
      <c r="AV133" s="56">
        <f>AF133*$F133</f>
        <v>0</v>
      </c>
      <c r="AW133" s="56">
        <f>AG133*$F133</f>
        <v>0</v>
      </c>
      <c r="AX133" s="56">
        <f>AH133*$F133</f>
        <v>0</v>
      </c>
      <c r="AY133" s="56">
        <f>AI133*$F133</f>
        <v>0</v>
      </c>
      <c r="AZ133" s="56">
        <f>AJ133*$F133</f>
        <v>0</v>
      </c>
    </row>
    <row r="134" spans="2:52" ht="25.5">
      <c r="B134" s="60"/>
      <c r="C134" s="57" t="s">
        <v>105</v>
      </c>
      <c r="D134" s="58"/>
      <c r="E134" s="58"/>
      <c r="F134" s="535"/>
      <c r="G134" s="693" t="s">
        <v>1149</v>
      </c>
      <c r="H134" s="65"/>
      <c r="I134" s="65"/>
      <c r="J134" s="65"/>
      <c r="K134" s="65"/>
      <c r="L134" s="65"/>
      <c r="M134" s="65"/>
      <c r="N134" s="65"/>
      <c r="O134" s="65"/>
      <c r="P134" s="29"/>
      <c r="Q134" s="597"/>
      <c r="R134" s="61"/>
      <c r="T134" s="43">
        <f>SUM(AC134,AK134,AS134)</f>
        <v>0</v>
      </c>
      <c r="U134" s="43">
        <f>SUM(AD134,AL134,AT134)</f>
        <v>0</v>
      </c>
      <c r="V134" s="43">
        <f>SUM(AE134,AM134,AU134)</f>
        <v>0</v>
      </c>
      <c r="W134" s="43">
        <f>SUM(AF134,AN134,AV134)</f>
        <v>0</v>
      </c>
      <c r="X134" s="43">
        <f>SUM(AG134,AO134,AW134)</f>
        <v>0</v>
      </c>
      <c r="Y134" s="43">
        <f>SUM(AH134,AP134,AX134)</f>
        <v>0</v>
      </c>
      <c r="Z134" s="43">
        <f>SUM(AI134,AQ134,AY134)</f>
        <v>0</v>
      </c>
      <c r="AA134" s="43">
        <f>SUM(AJ134,AR134,AZ134)</f>
        <v>0</v>
      </c>
      <c r="AC134" s="631">
        <f>SUM($D134:$E134)*H134</f>
        <v>0</v>
      </c>
      <c r="AD134" s="631">
        <f>SUM($D134:$E134)*I134</f>
        <v>0</v>
      </c>
      <c r="AE134" s="631">
        <f>SUM($D134:$E134)*J134</f>
        <v>0</v>
      </c>
      <c r="AF134" s="631">
        <f>SUM($D134:$E134)*K134</f>
        <v>0</v>
      </c>
      <c r="AG134" s="631">
        <f>SUM($D134:$E134)*L134</f>
        <v>0</v>
      </c>
      <c r="AH134" s="631">
        <f>SUM($D134:$E134)*M134</f>
        <v>0</v>
      </c>
      <c r="AI134" s="631">
        <f>SUM($D134:$E134)*N134</f>
        <v>0</v>
      </c>
      <c r="AJ134" s="631">
        <f>SUM($D134:$E134)*O134</f>
        <v>0</v>
      </c>
      <c r="AK134" s="56">
        <f>IF($G134="",0,IF(NOT(OR($G134="A - All employees not in groups B, C, J, H, M or Z",$G134="B - Married women and widows entitled to reduced NI",$G134="C - Over the State Pension age",$G134="H - Apprentice under 25",$G134="J – Deferment",$G134="M - Under 21",$G134="Z - Deferment (Under 21)",$G134="Please Enter The NI Cont. in ££££")),$G134,SUM(MAX(MIN(AC134-'Input Data'!$BG$3,'Input Data'!$BG$5-'Input Data'!$BG$3),0)*VLOOKUP($G134,'Input Data'!$BI$3:$BL$10,2,FALSE),MAX(MIN(AC134-'Input Data'!$BG$5,IF(OR($G134="M (under 21)",$G134="Z (under 21 - deferment)"),'Input Data'!$BG$6,IF($G134="H (Apprentice under 25)",'Input Data'!$BG$7,'Input Data'!$BG$8))-'Input Data'!$BG$5),0)*VLOOKUP($G134,'Input Data'!$BI$3:$BL$10,3,FALSE),MAX((AC134-IF(OR($G134="M (under 21)",$G134="Z (under 21 - deferment)"),'Input Data'!$BG$6,IF($G134="H (Apprentice under 25)",'Input Data'!$BG$7,'Input Data'!$BG$8))),0)*VLOOKUP($G134,'Input Data'!$BI$3:$BL$10,4,FALSE))))</f>
        <v>0</v>
      </c>
      <c r="AL134" s="56">
        <f>IF($G134="",0,IF(NOT(OR($G134="A - All employees not in groups B, C, J, H, M or Z",$G134="B - Married women and widows entitled to reduced NI",$G134="C - Over the State Pension age",$G134="H - Apprentice under 25",$G134="J – Deferment",$G134="M - Under 21",$G134="Z - Deferment (Under 21)",$G134="Please Enter The NI Cont. in ££££")),$G134,SUM(MAX(MIN(AD134-'Input Data'!$BG$3,'Input Data'!$BG$5-'Input Data'!$BG$3),0)*VLOOKUP($G134,'Input Data'!$BI$3:$BL$10,2,FALSE),MAX(MIN(AD134-'Input Data'!$BG$5,IF(OR($G134="M (under 21)",$G134="Z (under 21 - deferment)"),'Input Data'!$BG$6,IF($G134="H (Apprentice under 25)",'Input Data'!$BG$7,'Input Data'!$BG$8))-'Input Data'!$BG$5),0)*VLOOKUP($G134,'Input Data'!$BI$3:$BL$10,3,FALSE),MAX((AD134-IF(OR($G134="M (under 21)",$G134="Z (under 21 - deferment)"),'Input Data'!$BG$6,IF($G134="H (Apprentice under 25)",'Input Data'!$BG$7,'Input Data'!$BG$8))),0)*VLOOKUP($G134,'Input Data'!$BI$3:$BL$10,4,FALSE))))</f>
        <v>0</v>
      </c>
      <c r="AM134" s="56">
        <f>IF($G134="",0,IF(NOT(OR($G134="A - All employees not in groups B, C, J, H, M or Z",$G134="B - Married women and widows entitled to reduced NI",$G134="C - Over the State Pension age",$G134="H - Apprentice under 25",$G134="J – Deferment",$G134="M - Under 21",$G134="Z - Deferment (Under 21)",$G134="Please Enter The NI Cont. in ££££")),$G134,SUM(MAX(MIN(AE134-'Input Data'!$BG$3,'Input Data'!$BG$5-'Input Data'!$BG$3),0)*VLOOKUP($G134,'Input Data'!$BI$3:$BL$10,2,FALSE),MAX(MIN(AE134-'Input Data'!$BG$5,IF(OR($G134="M (under 21)",$G134="Z (under 21 - deferment)"),'Input Data'!$BG$6,IF($G134="H (Apprentice under 25)",'Input Data'!$BG$7,'Input Data'!$BG$8))-'Input Data'!$BG$5),0)*VLOOKUP($G134,'Input Data'!$BI$3:$BL$10,3,FALSE),MAX((AE134-IF(OR($G134="M (under 21)",$G134="Z (under 21 - deferment)"),'Input Data'!$BG$6,IF($G134="H (Apprentice under 25)",'Input Data'!$BG$7,'Input Data'!$BG$8))),0)*VLOOKUP($G134,'Input Data'!$BI$3:$BL$10,4,FALSE))))</f>
        <v>0</v>
      </c>
      <c r="AN134" s="56">
        <f>IF($G134="",0,IF(NOT(OR($G134="A - All employees not in groups B, C, J, H, M or Z",$G134="B - Married women and widows entitled to reduced NI",$G134="C - Over the State Pension age",$G134="H - Apprentice under 25",$G134="J – Deferment",$G134="M - Under 21",$G134="Z - Deferment (Under 21)",$G134="Please Enter The NI Cont. in ££££")),$G134,SUM(MAX(MIN(AF134-'Input Data'!$BG$3,'Input Data'!$BG$5-'Input Data'!$BG$3),0)*VLOOKUP($G134,'Input Data'!$BI$3:$BL$10,2,FALSE),MAX(MIN(AF134-'Input Data'!$BG$5,IF(OR($G134="M (under 21)",$G134="Z (under 21 - deferment)"),'Input Data'!$BG$6,IF($G134="H (Apprentice under 25)",'Input Data'!$BG$7,'Input Data'!$BG$8))-'Input Data'!$BG$5),0)*VLOOKUP($G134,'Input Data'!$BI$3:$BL$10,3,FALSE),MAX((AF134-IF(OR($G134="M (under 21)",$G134="Z (under 21 - deferment)"),'Input Data'!$BG$6,IF($G134="H (Apprentice under 25)",'Input Data'!$BG$7,'Input Data'!$BG$8))),0)*VLOOKUP($G134,'Input Data'!$BI$3:$BL$10,4,FALSE))))</f>
        <v>0</v>
      </c>
      <c r="AO134" s="56">
        <f>IF($G134="",0,IF(NOT(OR($G134="A - All employees not in groups B, C, J, H, M or Z",$G134="B - Married women and widows entitled to reduced NI",$G134="C - Over the State Pension age",$G134="H - Apprentice under 25",$G134="J – Deferment",$G134="M - Under 21",$G134="Z - Deferment (Under 21)",$G134="Please Enter The NI Cont. in ££££")),$G134,SUM(MAX(MIN(AG134-'Input Data'!$BG$3,'Input Data'!$BG$5-'Input Data'!$BG$3),0)*VLOOKUP($G134,'Input Data'!$BI$3:$BL$10,2,FALSE),MAX(MIN(AG134-'Input Data'!$BG$5,IF(OR($G134="M (under 21)",$G134="Z (under 21 - deferment)"),'Input Data'!$BG$6,IF($G134="H (Apprentice under 25)",'Input Data'!$BG$7,'Input Data'!$BG$8))-'Input Data'!$BG$5),0)*VLOOKUP($G134,'Input Data'!$BI$3:$BL$10,3,FALSE),MAX((AG134-IF(OR($G134="M (under 21)",$G134="Z (under 21 - deferment)"),'Input Data'!$BG$6,IF($G134="H (Apprentice under 25)",'Input Data'!$BG$7,'Input Data'!$BG$8))),0)*VLOOKUP($G134,'Input Data'!$BI$3:$BL$10,4,FALSE))))</f>
        <v>0</v>
      </c>
      <c r="AP134" s="56">
        <f>IF($G134="",0,IF(NOT(OR($G134="A - All employees not in groups B, C, J, H, M or Z",$G134="B - Married women and widows entitled to reduced NI",$G134="C - Over the State Pension age",$G134="H - Apprentice under 25",$G134="J – Deferment",$G134="M - Under 21",$G134="Z - Deferment (Under 21)",$G134="Please Enter The NI Cont. in ££££")),$G134,SUM(MAX(MIN(AH134-'Input Data'!$BG$3,'Input Data'!$BG$5-'Input Data'!$BG$3),0)*VLOOKUP($G134,'Input Data'!$BI$3:$BL$10,2,FALSE),MAX(MIN(AH134-'Input Data'!$BG$5,IF(OR($G134="M (under 21)",$G134="Z (under 21 - deferment)"),'Input Data'!$BG$6,IF($G134="H (Apprentice under 25)",'Input Data'!$BG$7,'Input Data'!$BG$8))-'Input Data'!$BG$5),0)*VLOOKUP($G134,'Input Data'!$BI$3:$BL$10,3,FALSE),MAX((AH134-IF(OR($G134="M (under 21)",$G134="Z (under 21 - deferment)"),'Input Data'!$BG$6,IF($G134="H (Apprentice under 25)",'Input Data'!$BG$7,'Input Data'!$BG$8))),0)*VLOOKUP($G134,'Input Data'!$BI$3:$BL$10,4,FALSE))))</f>
        <v>0</v>
      </c>
      <c r="AQ134" s="56">
        <f>IF($G134="",0,IF(NOT(OR($G134="A - All employees not in groups B, C, J, H, M or Z",$G134="B - Married women and widows entitled to reduced NI",$G134="C - Over the State Pension age",$G134="H - Apprentice under 25",$G134="J – Deferment",$G134="M - Under 21",$G134="Z - Deferment (Under 21)",$G134="Please Enter The NI Cont. in ££££")),$G134,SUM(MAX(MIN(AI134-'Input Data'!$BG$3,'Input Data'!$BG$5-'Input Data'!$BG$3),0)*VLOOKUP($G134,'Input Data'!$BI$3:$BL$10,2,FALSE),MAX(MIN(AI134-'Input Data'!$BG$5,IF(OR($G134="M (under 21)",$G134="Z (under 21 - deferment)"),'Input Data'!$BG$6,IF($G134="H (Apprentice under 25)",'Input Data'!$BG$7,'Input Data'!$BG$8))-'Input Data'!$BG$5),0)*VLOOKUP($G134,'Input Data'!$BI$3:$BL$10,3,FALSE),MAX((AI134-IF(OR($G134="M (under 21)",$G134="Z (under 21 - deferment)"),'Input Data'!$BG$6,IF($G134="H (Apprentice under 25)",'Input Data'!$BG$7,'Input Data'!$BG$8))),0)*VLOOKUP($G134,'Input Data'!$BI$3:$BL$10,4,FALSE))))</f>
        <v>0</v>
      </c>
      <c r="AR134" s="56">
        <f>IF($G134="",0,IF(NOT(OR($G134="A - All employees not in groups B, C, J, H, M or Z",$G134="B - Married women and widows entitled to reduced NI",$G134="C - Over the State Pension age",$G134="H - Apprentice under 25",$G134="J – Deferment",$G134="M - Under 21",$G134="Z - Deferment (Under 21)",$G134="Please Enter The NI Cont. in ££££")),$G134,SUM(MAX(MIN(AJ134-'Input Data'!$BG$3,'Input Data'!$BG$5-'Input Data'!$BG$3),0)*VLOOKUP($G134,'Input Data'!$BI$3:$BL$10,2,FALSE),MAX(MIN(AJ134-'Input Data'!$BG$5,IF(OR($G134="M (under 21)",$G134="Z (under 21 - deferment)"),'Input Data'!$BG$6,IF($G134="H (Apprentice under 25)",'Input Data'!$BG$7,'Input Data'!$BG$8))-'Input Data'!$BG$5),0)*VLOOKUP($G134,'Input Data'!$BI$3:$BL$10,3,FALSE),MAX((AJ134-IF(OR($G134="M (under 21)",$G134="Z (under 21 - deferment)"),'Input Data'!$BG$6,IF($G134="H (Apprentice under 25)",'Input Data'!$BG$7,'Input Data'!$BG$8))),0)*VLOOKUP($G134,'Input Data'!$BI$3:$BL$10,4,FALSE))))</f>
        <v>0</v>
      </c>
      <c r="AS134" s="56">
        <f>AC134*$F134</f>
        <v>0</v>
      </c>
      <c r="AT134" s="56">
        <f>AD134*$F134</f>
        <v>0</v>
      </c>
      <c r="AU134" s="56">
        <f>AE134*$F134</f>
        <v>0</v>
      </c>
      <c r="AV134" s="56">
        <f>AF134*$F134</f>
        <v>0</v>
      </c>
      <c r="AW134" s="56">
        <f>AG134*$F134</f>
        <v>0</v>
      </c>
      <c r="AX134" s="56">
        <f>AH134*$F134</f>
        <v>0</v>
      </c>
      <c r="AY134" s="56">
        <f>AI134*$F134</f>
        <v>0</v>
      </c>
      <c r="AZ134" s="56">
        <f>AJ134*$F134</f>
        <v>0</v>
      </c>
    </row>
    <row r="135" spans="2:52" ht="25.5">
      <c r="B135" s="60"/>
      <c r="C135" s="57" t="s">
        <v>106</v>
      </c>
      <c r="D135" s="58"/>
      <c r="E135" s="58"/>
      <c r="F135" s="535"/>
      <c r="G135" s="693" t="s">
        <v>1149</v>
      </c>
      <c r="H135" s="65"/>
      <c r="I135" s="65"/>
      <c r="J135" s="65"/>
      <c r="K135" s="65"/>
      <c r="L135" s="65"/>
      <c r="M135" s="65"/>
      <c r="N135" s="65"/>
      <c r="O135" s="65"/>
      <c r="P135" s="29"/>
      <c r="Q135" s="597"/>
      <c r="R135" s="61"/>
      <c r="T135" s="43">
        <f>SUM(AC135,AK135,AS135)</f>
        <v>0</v>
      </c>
      <c r="U135" s="43">
        <f>SUM(AD135,AL135,AT135)</f>
        <v>0</v>
      </c>
      <c r="V135" s="43">
        <f>SUM(AE135,AM135,AU135)</f>
        <v>0</v>
      </c>
      <c r="W135" s="43">
        <f>SUM(AF135,AN135,AV135)</f>
        <v>0</v>
      </c>
      <c r="X135" s="43">
        <f>SUM(AG135,AO135,AW135)</f>
        <v>0</v>
      </c>
      <c r="Y135" s="43">
        <f>SUM(AH135,AP135,AX135)</f>
        <v>0</v>
      </c>
      <c r="Z135" s="43">
        <f>SUM(AI135,AQ135,AY135)</f>
        <v>0</v>
      </c>
      <c r="AA135" s="43">
        <f>SUM(AJ135,AR135,AZ135)</f>
        <v>0</v>
      </c>
      <c r="AC135" s="631">
        <f>SUM($D135:$E135)*H135</f>
        <v>0</v>
      </c>
      <c r="AD135" s="631">
        <f>SUM($D135:$E135)*I135</f>
        <v>0</v>
      </c>
      <c r="AE135" s="631">
        <f>SUM($D135:$E135)*J135</f>
        <v>0</v>
      </c>
      <c r="AF135" s="631">
        <f>SUM($D135:$E135)*K135</f>
        <v>0</v>
      </c>
      <c r="AG135" s="631">
        <f>SUM($D135:$E135)*L135</f>
        <v>0</v>
      </c>
      <c r="AH135" s="631">
        <f>SUM($D135:$E135)*M135</f>
        <v>0</v>
      </c>
      <c r="AI135" s="631">
        <f>SUM($D135:$E135)*N135</f>
        <v>0</v>
      </c>
      <c r="AJ135" s="631">
        <f>SUM($D135:$E135)*O135</f>
        <v>0</v>
      </c>
      <c r="AK135" s="56">
        <f>IF($G135="",0,IF(NOT(OR($G135="A - All employees not in groups B, C, J, H, M or Z",$G135="B - Married women and widows entitled to reduced NI",$G135="C - Over the State Pension age",$G135="H - Apprentice under 25",$G135="J – Deferment",$G135="M - Under 21",$G135="Z - Deferment (Under 21)",$G135="Please Enter The NI Cont. in ££££")),$G135,SUM(MAX(MIN(AC135-'Input Data'!$BG$3,'Input Data'!$BG$5-'Input Data'!$BG$3),0)*VLOOKUP($G135,'Input Data'!$BI$3:$BL$10,2,FALSE),MAX(MIN(AC135-'Input Data'!$BG$5,IF(OR($G135="M (under 21)",$G135="Z (under 21 - deferment)"),'Input Data'!$BG$6,IF($G135="H (Apprentice under 25)",'Input Data'!$BG$7,'Input Data'!$BG$8))-'Input Data'!$BG$5),0)*VLOOKUP($G135,'Input Data'!$BI$3:$BL$10,3,FALSE),MAX((AC135-IF(OR($G135="M (under 21)",$G135="Z (under 21 - deferment)"),'Input Data'!$BG$6,IF($G135="H (Apprentice under 25)",'Input Data'!$BG$7,'Input Data'!$BG$8))),0)*VLOOKUP($G135,'Input Data'!$BI$3:$BL$10,4,FALSE))))</f>
        <v>0</v>
      </c>
      <c r="AL135" s="56">
        <f>IF($G135="",0,IF(NOT(OR($G135="A - All employees not in groups B, C, J, H, M or Z",$G135="B - Married women and widows entitled to reduced NI",$G135="C - Over the State Pension age",$G135="H - Apprentice under 25",$G135="J – Deferment",$G135="M - Under 21",$G135="Z - Deferment (Under 21)",$G135="Please Enter The NI Cont. in ££££")),$G135,SUM(MAX(MIN(AD135-'Input Data'!$BG$3,'Input Data'!$BG$5-'Input Data'!$BG$3),0)*VLOOKUP($G135,'Input Data'!$BI$3:$BL$10,2,FALSE),MAX(MIN(AD135-'Input Data'!$BG$5,IF(OR($G135="M (under 21)",$G135="Z (under 21 - deferment)"),'Input Data'!$BG$6,IF($G135="H (Apprentice under 25)",'Input Data'!$BG$7,'Input Data'!$BG$8))-'Input Data'!$BG$5),0)*VLOOKUP($G135,'Input Data'!$BI$3:$BL$10,3,FALSE),MAX((AD135-IF(OR($G135="M (under 21)",$G135="Z (under 21 - deferment)"),'Input Data'!$BG$6,IF($G135="H (Apprentice under 25)",'Input Data'!$BG$7,'Input Data'!$BG$8))),0)*VLOOKUP($G135,'Input Data'!$BI$3:$BL$10,4,FALSE))))</f>
        <v>0</v>
      </c>
      <c r="AM135" s="56">
        <f>IF($G135="",0,IF(NOT(OR($G135="A - All employees not in groups B, C, J, H, M or Z",$G135="B - Married women and widows entitled to reduced NI",$G135="C - Over the State Pension age",$G135="H - Apprentice under 25",$G135="J – Deferment",$G135="M - Under 21",$G135="Z - Deferment (Under 21)",$G135="Please Enter The NI Cont. in ££££")),$G135,SUM(MAX(MIN(AE135-'Input Data'!$BG$3,'Input Data'!$BG$5-'Input Data'!$BG$3),0)*VLOOKUP($G135,'Input Data'!$BI$3:$BL$10,2,FALSE),MAX(MIN(AE135-'Input Data'!$BG$5,IF(OR($G135="M (under 21)",$G135="Z (under 21 - deferment)"),'Input Data'!$BG$6,IF($G135="H (Apprentice under 25)",'Input Data'!$BG$7,'Input Data'!$BG$8))-'Input Data'!$BG$5),0)*VLOOKUP($G135,'Input Data'!$BI$3:$BL$10,3,FALSE),MAX((AE135-IF(OR($G135="M (under 21)",$G135="Z (under 21 - deferment)"),'Input Data'!$BG$6,IF($G135="H (Apprentice under 25)",'Input Data'!$BG$7,'Input Data'!$BG$8))),0)*VLOOKUP($G135,'Input Data'!$BI$3:$BL$10,4,FALSE))))</f>
        <v>0</v>
      </c>
      <c r="AN135" s="56">
        <f>IF($G135="",0,IF(NOT(OR($G135="A - All employees not in groups B, C, J, H, M or Z",$G135="B - Married women and widows entitled to reduced NI",$G135="C - Over the State Pension age",$G135="H - Apprentice under 25",$G135="J – Deferment",$G135="M - Under 21",$G135="Z - Deferment (Under 21)",$G135="Please Enter The NI Cont. in ££££")),$G135,SUM(MAX(MIN(AF135-'Input Data'!$BG$3,'Input Data'!$BG$5-'Input Data'!$BG$3),0)*VLOOKUP($G135,'Input Data'!$BI$3:$BL$10,2,FALSE),MAX(MIN(AF135-'Input Data'!$BG$5,IF(OR($G135="M (under 21)",$G135="Z (under 21 - deferment)"),'Input Data'!$BG$6,IF($G135="H (Apprentice under 25)",'Input Data'!$BG$7,'Input Data'!$BG$8))-'Input Data'!$BG$5),0)*VLOOKUP($G135,'Input Data'!$BI$3:$BL$10,3,FALSE),MAX((AF135-IF(OR($G135="M (under 21)",$G135="Z (under 21 - deferment)"),'Input Data'!$BG$6,IF($G135="H (Apprentice under 25)",'Input Data'!$BG$7,'Input Data'!$BG$8))),0)*VLOOKUP($G135,'Input Data'!$BI$3:$BL$10,4,FALSE))))</f>
        <v>0</v>
      </c>
      <c r="AO135" s="56">
        <f>IF($G135="",0,IF(NOT(OR($G135="A - All employees not in groups B, C, J, H, M or Z",$G135="B - Married women and widows entitled to reduced NI",$G135="C - Over the State Pension age",$G135="H - Apprentice under 25",$G135="J – Deferment",$G135="M - Under 21",$G135="Z - Deferment (Under 21)",$G135="Please Enter The NI Cont. in ££££")),$G135,SUM(MAX(MIN(AG135-'Input Data'!$BG$3,'Input Data'!$BG$5-'Input Data'!$BG$3),0)*VLOOKUP($G135,'Input Data'!$BI$3:$BL$10,2,FALSE),MAX(MIN(AG135-'Input Data'!$BG$5,IF(OR($G135="M (under 21)",$G135="Z (under 21 - deferment)"),'Input Data'!$BG$6,IF($G135="H (Apprentice under 25)",'Input Data'!$BG$7,'Input Data'!$BG$8))-'Input Data'!$BG$5),0)*VLOOKUP($G135,'Input Data'!$BI$3:$BL$10,3,FALSE),MAX((AG135-IF(OR($G135="M (under 21)",$G135="Z (under 21 - deferment)"),'Input Data'!$BG$6,IF($G135="H (Apprentice under 25)",'Input Data'!$BG$7,'Input Data'!$BG$8))),0)*VLOOKUP($G135,'Input Data'!$BI$3:$BL$10,4,FALSE))))</f>
        <v>0</v>
      </c>
      <c r="AP135" s="56">
        <f>IF($G135="",0,IF(NOT(OR($G135="A - All employees not in groups B, C, J, H, M or Z",$G135="B - Married women and widows entitled to reduced NI",$G135="C - Over the State Pension age",$G135="H - Apprentice under 25",$G135="J – Deferment",$G135="M - Under 21",$G135="Z - Deferment (Under 21)",$G135="Please Enter The NI Cont. in ££££")),$G135,SUM(MAX(MIN(AH135-'Input Data'!$BG$3,'Input Data'!$BG$5-'Input Data'!$BG$3),0)*VLOOKUP($G135,'Input Data'!$BI$3:$BL$10,2,FALSE),MAX(MIN(AH135-'Input Data'!$BG$5,IF(OR($G135="M (under 21)",$G135="Z (under 21 - deferment)"),'Input Data'!$BG$6,IF($G135="H (Apprentice under 25)",'Input Data'!$BG$7,'Input Data'!$BG$8))-'Input Data'!$BG$5),0)*VLOOKUP($G135,'Input Data'!$BI$3:$BL$10,3,FALSE),MAX((AH135-IF(OR($G135="M (under 21)",$G135="Z (under 21 - deferment)"),'Input Data'!$BG$6,IF($G135="H (Apprentice under 25)",'Input Data'!$BG$7,'Input Data'!$BG$8))),0)*VLOOKUP($G135,'Input Data'!$BI$3:$BL$10,4,FALSE))))</f>
        <v>0</v>
      </c>
      <c r="AQ135" s="56">
        <f>IF($G135="",0,IF(NOT(OR($G135="A - All employees not in groups B, C, J, H, M or Z",$G135="B - Married women and widows entitled to reduced NI",$G135="C - Over the State Pension age",$G135="H - Apprentice under 25",$G135="J – Deferment",$G135="M - Under 21",$G135="Z - Deferment (Under 21)",$G135="Please Enter The NI Cont. in ££££")),$G135,SUM(MAX(MIN(AI135-'Input Data'!$BG$3,'Input Data'!$BG$5-'Input Data'!$BG$3),0)*VLOOKUP($G135,'Input Data'!$BI$3:$BL$10,2,FALSE),MAX(MIN(AI135-'Input Data'!$BG$5,IF(OR($G135="M (under 21)",$G135="Z (under 21 - deferment)"),'Input Data'!$BG$6,IF($G135="H (Apprentice under 25)",'Input Data'!$BG$7,'Input Data'!$BG$8))-'Input Data'!$BG$5),0)*VLOOKUP($G135,'Input Data'!$BI$3:$BL$10,3,FALSE),MAX((AI135-IF(OR($G135="M (under 21)",$G135="Z (under 21 - deferment)"),'Input Data'!$BG$6,IF($G135="H (Apprentice under 25)",'Input Data'!$BG$7,'Input Data'!$BG$8))),0)*VLOOKUP($G135,'Input Data'!$BI$3:$BL$10,4,FALSE))))</f>
        <v>0</v>
      </c>
      <c r="AR135" s="56">
        <f>IF($G135="",0,IF(NOT(OR($G135="A - All employees not in groups B, C, J, H, M or Z",$G135="B - Married women and widows entitled to reduced NI",$G135="C - Over the State Pension age",$G135="H - Apprentice under 25",$G135="J – Deferment",$G135="M - Under 21",$G135="Z - Deferment (Under 21)",$G135="Please Enter The NI Cont. in ££££")),$G135,SUM(MAX(MIN(AJ135-'Input Data'!$BG$3,'Input Data'!$BG$5-'Input Data'!$BG$3),0)*VLOOKUP($G135,'Input Data'!$BI$3:$BL$10,2,FALSE),MAX(MIN(AJ135-'Input Data'!$BG$5,IF(OR($G135="M (under 21)",$G135="Z (under 21 - deferment)"),'Input Data'!$BG$6,IF($G135="H (Apprentice under 25)",'Input Data'!$BG$7,'Input Data'!$BG$8))-'Input Data'!$BG$5),0)*VLOOKUP($G135,'Input Data'!$BI$3:$BL$10,3,FALSE),MAX((AJ135-IF(OR($G135="M (under 21)",$G135="Z (under 21 - deferment)"),'Input Data'!$BG$6,IF($G135="H (Apprentice under 25)",'Input Data'!$BG$7,'Input Data'!$BG$8))),0)*VLOOKUP($G135,'Input Data'!$BI$3:$BL$10,4,FALSE))))</f>
        <v>0</v>
      </c>
      <c r="AS135" s="56">
        <f>AC135*$F135</f>
        <v>0</v>
      </c>
      <c r="AT135" s="56">
        <f>AD135*$F135</f>
        <v>0</v>
      </c>
      <c r="AU135" s="56">
        <f>AE135*$F135</f>
        <v>0</v>
      </c>
      <c r="AV135" s="56">
        <f>AF135*$F135</f>
        <v>0</v>
      </c>
      <c r="AW135" s="56">
        <f>AG135*$F135</f>
        <v>0</v>
      </c>
      <c r="AX135" s="56">
        <f>AH135*$F135</f>
        <v>0</v>
      </c>
      <c r="AY135" s="56">
        <f>AI135*$F135</f>
        <v>0</v>
      </c>
      <c r="AZ135" s="56">
        <f>AJ135*$F135</f>
        <v>0</v>
      </c>
    </row>
    <row r="136" spans="2:52" ht="25.5">
      <c r="B136" s="60"/>
      <c r="C136" s="57" t="s">
        <v>107</v>
      </c>
      <c r="D136" s="58"/>
      <c r="E136" s="58"/>
      <c r="F136" s="535"/>
      <c r="G136" s="693" t="s">
        <v>1149</v>
      </c>
      <c r="H136" s="65"/>
      <c r="I136" s="65"/>
      <c r="J136" s="65"/>
      <c r="K136" s="65"/>
      <c r="L136" s="65"/>
      <c r="M136" s="65"/>
      <c r="N136" s="65"/>
      <c r="O136" s="65"/>
      <c r="P136" s="29"/>
      <c r="Q136" s="597"/>
      <c r="R136" s="61"/>
      <c r="T136" s="43">
        <f>SUM(AC136,AK136,AS136)</f>
        <v>0</v>
      </c>
      <c r="U136" s="43">
        <f>SUM(AD136,AL136,AT136)</f>
        <v>0</v>
      </c>
      <c r="V136" s="43">
        <f>SUM(AE136,AM136,AU136)</f>
        <v>0</v>
      </c>
      <c r="W136" s="43">
        <f>SUM(AF136,AN136,AV136)</f>
        <v>0</v>
      </c>
      <c r="X136" s="43">
        <f>SUM(AG136,AO136,AW136)</f>
        <v>0</v>
      </c>
      <c r="Y136" s="43">
        <f>SUM(AH136,AP136,AX136)</f>
        <v>0</v>
      </c>
      <c r="Z136" s="43">
        <f>SUM(AI136,AQ136,AY136)</f>
        <v>0</v>
      </c>
      <c r="AA136" s="43">
        <f>SUM(AJ136,AR136,AZ136)</f>
        <v>0</v>
      </c>
      <c r="AC136" s="631">
        <f>SUM($D136:$E136)*H136</f>
        <v>0</v>
      </c>
      <c r="AD136" s="631">
        <f>SUM($D136:$E136)*I136</f>
        <v>0</v>
      </c>
      <c r="AE136" s="631">
        <f>SUM($D136:$E136)*J136</f>
        <v>0</v>
      </c>
      <c r="AF136" s="631">
        <f>SUM($D136:$E136)*K136</f>
        <v>0</v>
      </c>
      <c r="AG136" s="631">
        <f>SUM($D136:$E136)*L136</f>
        <v>0</v>
      </c>
      <c r="AH136" s="631">
        <f>SUM($D136:$E136)*M136</f>
        <v>0</v>
      </c>
      <c r="AI136" s="631">
        <f>SUM($D136:$E136)*N136</f>
        <v>0</v>
      </c>
      <c r="AJ136" s="631">
        <f>SUM($D136:$E136)*O136</f>
        <v>0</v>
      </c>
      <c r="AK136" s="56">
        <f>IF($G136="",0,IF(NOT(OR($G136="A - All employees not in groups B, C, J, H, M or Z",$G136="B - Married women and widows entitled to reduced NI",$G136="C - Over the State Pension age",$G136="H - Apprentice under 25",$G136="J – Deferment",$G136="M - Under 21",$G136="Z - Deferment (Under 21)",$G136="Please Enter The NI Cont. in ££££")),$G136,SUM(MAX(MIN(AC136-'Input Data'!$BG$3,'Input Data'!$BG$5-'Input Data'!$BG$3),0)*VLOOKUP($G136,'Input Data'!$BI$3:$BL$10,2,FALSE),MAX(MIN(AC136-'Input Data'!$BG$5,IF(OR($G136="M (under 21)",$G136="Z (under 21 - deferment)"),'Input Data'!$BG$6,IF($G136="H (Apprentice under 25)",'Input Data'!$BG$7,'Input Data'!$BG$8))-'Input Data'!$BG$5),0)*VLOOKUP($G136,'Input Data'!$BI$3:$BL$10,3,FALSE),MAX((AC136-IF(OR($G136="M (under 21)",$G136="Z (under 21 - deferment)"),'Input Data'!$BG$6,IF($G136="H (Apprentice under 25)",'Input Data'!$BG$7,'Input Data'!$BG$8))),0)*VLOOKUP($G136,'Input Data'!$BI$3:$BL$10,4,FALSE))))</f>
        <v>0</v>
      </c>
      <c r="AL136" s="56">
        <f>IF($G136="",0,IF(NOT(OR($G136="A - All employees not in groups B, C, J, H, M or Z",$G136="B - Married women and widows entitled to reduced NI",$G136="C - Over the State Pension age",$G136="H - Apprentice under 25",$G136="J – Deferment",$G136="M - Under 21",$G136="Z - Deferment (Under 21)",$G136="Please Enter The NI Cont. in ££££")),$G136,SUM(MAX(MIN(AD136-'Input Data'!$BG$3,'Input Data'!$BG$5-'Input Data'!$BG$3),0)*VLOOKUP($G136,'Input Data'!$BI$3:$BL$10,2,FALSE),MAX(MIN(AD136-'Input Data'!$BG$5,IF(OR($G136="M (under 21)",$G136="Z (under 21 - deferment)"),'Input Data'!$BG$6,IF($G136="H (Apprentice under 25)",'Input Data'!$BG$7,'Input Data'!$BG$8))-'Input Data'!$BG$5),0)*VLOOKUP($G136,'Input Data'!$BI$3:$BL$10,3,FALSE),MAX((AD136-IF(OR($G136="M (under 21)",$G136="Z (under 21 - deferment)"),'Input Data'!$BG$6,IF($G136="H (Apprentice under 25)",'Input Data'!$BG$7,'Input Data'!$BG$8))),0)*VLOOKUP($G136,'Input Data'!$BI$3:$BL$10,4,FALSE))))</f>
        <v>0</v>
      </c>
      <c r="AM136" s="56">
        <f>IF($G136="",0,IF(NOT(OR($G136="A - All employees not in groups B, C, J, H, M or Z",$G136="B - Married women and widows entitled to reduced NI",$G136="C - Over the State Pension age",$G136="H - Apprentice under 25",$G136="J – Deferment",$G136="M - Under 21",$G136="Z - Deferment (Under 21)",$G136="Please Enter The NI Cont. in ££££")),$G136,SUM(MAX(MIN(AE136-'Input Data'!$BG$3,'Input Data'!$BG$5-'Input Data'!$BG$3),0)*VLOOKUP($G136,'Input Data'!$BI$3:$BL$10,2,FALSE),MAX(MIN(AE136-'Input Data'!$BG$5,IF(OR($G136="M (under 21)",$G136="Z (under 21 - deferment)"),'Input Data'!$BG$6,IF($G136="H (Apprentice under 25)",'Input Data'!$BG$7,'Input Data'!$BG$8))-'Input Data'!$BG$5),0)*VLOOKUP($G136,'Input Data'!$BI$3:$BL$10,3,FALSE),MAX((AE136-IF(OR($G136="M (under 21)",$G136="Z (under 21 - deferment)"),'Input Data'!$BG$6,IF($G136="H (Apprentice under 25)",'Input Data'!$BG$7,'Input Data'!$BG$8))),0)*VLOOKUP($G136,'Input Data'!$BI$3:$BL$10,4,FALSE))))</f>
        <v>0</v>
      </c>
      <c r="AN136" s="56">
        <f>IF($G136="",0,IF(NOT(OR($G136="A - All employees not in groups B, C, J, H, M or Z",$G136="B - Married women and widows entitled to reduced NI",$G136="C - Over the State Pension age",$G136="H - Apprentice under 25",$G136="J – Deferment",$G136="M - Under 21",$G136="Z - Deferment (Under 21)",$G136="Please Enter The NI Cont. in ££££")),$G136,SUM(MAX(MIN(AF136-'Input Data'!$BG$3,'Input Data'!$BG$5-'Input Data'!$BG$3),0)*VLOOKUP($G136,'Input Data'!$BI$3:$BL$10,2,FALSE),MAX(MIN(AF136-'Input Data'!$BG$5,IF(OR($G136="M (under 21)",$G136="Z (under 21 - deferment)"),'Input Data'!$BG$6,IF($G136="H (Apprentice under 25)",'Input Data'!$BG$7,'Input Data'!$BG$8))-'Input Data'!$BG$5),0)*VLOOKUP($G136,'Input Data'!$BI$3:$BL$10,3,FALSE),MAX((AF136-IF(OR($G136="M (under 21)",$G136="Z (under 21 - deferment)"),'Input Data'!$BG$6,IF($G136="H (Apprentice under 25)",'Input Data'!$BG$7,'Input Data'!$BG$8))),0)*VLOOKUP($G136,'Input Data'!$BI$3:$BL$10,4,FALSE))))</f>
        <v>0</v>
      </c>
      <c r="AO136" s="56">
        <f>IF($G136="",0,IF(NOT(OR($G136="A - All employees not in groups B, C, J, H, M or Z",$G136="B - Married women and widows entitled to reduced NI",$G136="C - Over the State Pension age",$G136="H - Apprentice under 25",$G136="J – Deferment",$G136="M - Under 21",$G136="Z - Deferment (Under 21)",$G136="Please Enter The NI Cont. in ££££")),$G136,SUM(MAX(MIN(AG136-'Input Data'!$BG$3,'Input Data'!$BG$5-'Input Data'!$BG$3),0)*VLOOKUP($G136,'Input Data'!$BI$3:$BL$10,2,FALSE),MAX(MIN(AG136-'Input Data'!$BG$5,IF(OR($G136="M (under 21)",$G136="Z (under 21 - deferment)"),'Input Data'!$BG$6,IF($G136="H (Apprentice under 25)",'Input Data'!$BG$7,'Input Data'!$BG$8))-'Input Data'!$BG$5),0)*VLOOKUP($G136,'Input Data'!$BI$3:$BL$10,3,FALSE),MAX((AG136-IF(OR($G136="M (under 21)",$G136="Z (under 21 - deferment)"),'Input Data'!$BG$6,IF($G136="H (Apprentice under 25)",'Input Data'!$BG$7,'Input Data'!$BG$8))),0)*VLOOKUP($G136,'Input Data'!$BI$3:$BL$10,4,FALSE))))</f>
        <v>0</v>
      </c>
      <c r="AP136" s="56">
        <f>IF($G136="",0,IF(NOT(OR($G136="A - All employees not in groups B, C, J, H, M or Z",$G136="B - Married women and widows entitled to reduced NI",$G136="C - Over the State Pension age",$G136="H - Apprentice under 25",$G136="J – Deferment",$G136="M - Under 21",$G136="Z - Deferment (Under 21)",$G136="Please Enter The NI Cont. in ££££")),$G136,SUM(MAX(MIN(AH136-'Input Data'!$BG$3,'Input Data'!$BG$5-'Input Data'!$BG$3),0)*VLOOKUP($G136,'Input Data'!$BI$3:$BL$10,2,FALSE),MAX(MIN(AH136-'Input Data'!$BG$5,IF(OR($G136="M (under 21)",$G136="Z (under 21 - deferment)"),'Input Data'!$BG$6,IF($G136="H (Apprentice under 25)",'Input Data'!$BG$7,'Input Data'!$BG$8))-'Input Data'!$BG$5),0)*VLOOKUP($G136,'Input Data'!$BI$3:$BL$10,3,FALSE),MAX((AH136-IF(OR($G136="M (under 21)",$G136="Z (under 21 - deferment)"),'Input Data'!$BG$6,IF($G136="H (Apprentice under 25)",'Input Data'!$BG$7,'Input Data'!$BG$8))),0)*VLOOKUP($G136,'Input Data'!$BI$3:$BL$10,4,FALSE))))</f>
        <v>0</v>
      </c>
      <c r="AQ136" s="56">
        <f>IF($G136="",0,IF(NOT(OR($G136="A - All employees not in groups B, C, J, H, M or Z",$G136="B - Married women and widows entitled to reduced NI",$G136="C - Over the State Pension age",$G136="H - Apprentice under 25",$G136="J – Deferment",$G136="M - Under 21",$G136="Z - Deferment (Under 21)",$G136="Please Enter The NI Cont. in ££££")),$G136,SUM(MAX(MIN(AI136-'Input Data'!$BG$3,'Input Data'!$BG$5-'Input Data'!$BG$3),0)*VLOOKUP($G136,'Input Data'!$BI$3:$BL$10,2,FALSE),MAX(MIN(AI136-'Input Data'!$BG$5,IF(OR($G136="M (under 21)",$G136="Z (under 21 - deferment)"),'Input Data'!$BG$6,IF($G136="H (Apprentice under 25)",'Input Data'!$BG$7,'Input Data'!$BG$8))-'Input Data'!$BG$5),0)*VLOOKUP($G136,'Input Data'!$BI$3:$BL$10,3,FALSE),MAX((AI136-IF(OR($G136="M (under 21)",$G136="Z (under 21 - deferment)"),'Input Data'!$BG$6,IF($G136="H (Apprentice under 25)",'Input Data'!$BG$7,'Input Data'!$BG$8))),0)*VLOOKUP($G136,'Input Data'!$BI$3:$BL$10,4,FALSE))))</f>
        <v>0</v>
      </c>
      <c r="AR136" s="56">
        <f>IF($G136="",0,IF(NOT(OR($G136="A - All employees not in groups B, C, J, H, M or Z",$G136="B - Married women and widows entitled to reduced NI",$G136="C - Over the State Pension age",$G136="H - Apprentice under 25",$G136="J – Deferment",$G136="M - Under 21",$G136="Z - Deferment (Under 21)",$G136="Please Enter The NI Cont. in ££££")),$G136,SUM(MAX(MIN(AJ136-'Input Data'!$BG$3,'Input Data'!$BG$5-'Input Data'!$BG$3),0)*VLOOKUP($G136,'Input Data'!$BI$3:$BL$10,2,FALSE),MAX(MIN(AJ136-'Input Data'!$BG$5,IF(OR($G136="M (under 21)",$G136="Z (under 21 - deferment)"),'Input Data'!$BG$6,IF($G136="H (Apprentice under 25)",'Input Data'!$BG$7,'Input Data'!$BG$8))-'Input Data'!$BG$5),0)*VLOOKUP($G136,'Input Data'!$BI$3:$BL$10,3,FALSE),MAX((AJ136-IF(OR($G136="M (under 21)",$G136="Z (under 21 - deferment)"),'Input Data'!$BG$6,IF($G136="H (Apprentice under 25)",'Input Data'!$BG$7,'Input Data'!$BG$8))),0)*VLOOKUP($G136,'Input Data'!$BI$3:$BL$10,4,FALSE))))</f>
        <v>0</v>
      </c>
      <c r="AS136" s="56">
        <f>AC136*$F136</f>
        <v>0</v>
      </c>
      <c r="AT136" s="56">
        <f>AD136*$F136</f>
        <v>0</v>
      </c>
      <c r="AU136" s="56">
        <f>AE136*$F136</f>
        <v>0</v>
      </c>
      <c r="AV136" s="56">
        <f>AF136*$F136</f>
        <v>0</v>
      </c>
      <c r="AW136" s="56">
        <f>AG136*$F136</f>
        <v>0</v>
      </c>
      <c r="AX136" s="56">
        <f>AH136*$F136</f>
        <v>0</v>
      </c>
      <c r="AY136" s="56">
        <f>AI136*$F136</f>
        <v>0</v>
      </c>
      <c r="AZ136" s="56">
        <f>AJ136*$F136</f>
        <v>0</v>
      </c>
    </row>
    <row r="137" spans="2:52" ht="25.5">
      <c r="B137" s="60"/>
      <c r="C137" s="57" t="s">
        <v>108</v>
      </c>
      <c r="D137" s="58"/>
      <c r="E137" s="58"/>
      <c r="F137" s="535"/>
      <c r="G137" s="693" t="s">
        <v>1149</v>
      </c>
      <c r="H137" s="65"/>
      <c r="I137" s="65"/>
      <c r="J137" s="65"/>
      <c r="K137" s="65"/>
      <c r="L137" s="65"/>
      <c r="M137" s="65"/>
      <c r="N137" s="65"/>
      <c r="O137" s="65"/>
      <c r="P137" s="29"/>
      <c r="Q137" s="597"/>
      <c r="R137" s="61"/>
      <c r="T137" s="43">
        <f>SUM(AC137,AK137,AS137)</f>
        <v>0</v>
      </c>
      <c r="U137" s="43">
        <f>SUM(AD137,AL137,AT137)</f>
        <v>0</v>
      </c>
      <c r="V137" s="43">
        <f>SUM(AE137,AM137,AU137)</f>
        <v>0</v>
      </c>
      <c r="W137" s="43">
        <f>SUM(AF137,AN137,AV137)</f>
        <v>0</v>
      </c>
      <c r="X137" s="43">
        <f>SUM(AG137,AO137,AW137)</f>
        <v>0</v>
      </c>
      <c r="Y137" s="43">
        <f>SUM(AH137,AP137,AX137)</f>
        <v>0</v>
      </c>
      <c r="Z137" s="43">
        <f>SUM(AI137,AQ137,AY137)</f>
        <v>0</v>
      </c>
      <c r="AA137" s="43">
        <f>SUM(AJ137,AR137,AZ137)</f>
        <v>0</v>
      </c>
      <c r="AC137" s="631">
        <f>SUM($D137:$E137)*H137</f>
        <v>0</v>
      </c>
      <c r="AD137" s="631">
        <f>SUM($D137:$E137)*I137</f>
        <v>0</v>
      </c>
      <c r="AE137" s="631">
        <f>SUM($D137:$E137)*J137</f>
        <v>0</v>
      </c>
      <c r="AF137" s="631">
        <f>SUM($D137:$E137)*K137</f>
        <v>0</v>
      </c>
      <c r="AG137" s="631">
        <f>SUM($D137:$E137)*L137</f>
        <v>0</v>
      </c>
      <c r="AH137" s="631">
        <f>SUM($D137:$E137)*M137</f>
        <v>0</v>
      </c>
      <c r="AI137" s="631">
        <f>SUM($D137:$E137)*N137</f>
        <v>0</v>
      </c>
      <c r="AJ137" s="631">
        <f>SUM($D137:$E137)*O137</f>
        <v>0</v>
      </c>
      <c r="AK137" s="56">
        <f>IF($G137="",0,IF(NOT(OR($G137="A - All employees not in groups B, C, J, H, M or Z",$G137="B - Married women and widows entitled to reduced NI",$G137="C - Over the State Pension age",$G137="H - Apprentice under 25",$G137="J – Deferment",$G137="M - Under 21",$G137="Z - Deferment (Under 21)",$G137="Please Enter The NI Cont. in ££££")),$G137,SUM(MAX(MIN(AC137-'Input Data'!$BG$3,'Input Data'!$BG$5-'Input Data'!$BG$3),0)*VLOOKUP($G137,'Input Data'!$BI$3:$BL$10,2,FALSE),MAX(MIN(AC137-'Input Data'!$BG$5,IF(OR($G137="M (under 21)",$G137="Z (under 21 - deferment)"),'Input Data'!$BG$6,IF($G137="H (Apprentice under 25)",'Input Data'!$BG$7,'Input Data'!$BG$8))-'Input Data'!$BG$5),0)*VLOOKUP($G137,'Input Data'!$BI$3:$BL$10,3,FALSE),MAX((AC137-IF(OR($G137="M (under 21)",$G137="Z (under 21 - deferment)"),'Input Data'!$BG$6,IF($G137="H (Apprentice under 25)",'Input Data'!$BG$7,'Input Data'!$BG$8))),0)*VLOOKUP($G137,'Input Data'!$BI$3:$BL$10,4,FALSE))))</f>
        <v>0</v>
      </c>
      <c r="AL137" s="56">
        <f>IF($G137="",0,IF(NOT(OR($G137="A - All employees not in groups B, C, J, H, M or Z",$G137="B - Married women and widows entitled to reduced NI",$G137="C - Over the State Pension age",$G137="H - Apprentice under 25",$G137="J – Deferment",$G137="M - Under 21",$G137="Z - Deferment (Under 21)",$G137="Please Enter The NI Cont. in ££££")),$G137,SUM(MAX(MIN(AD137-'Input Data'!$BG$3,'Input Data'!$BG$5-'Input Data'!$BG$3),0)*VLOOKUP($G137,'Input Data'!$BI$3:$BL$10,2,FALSE),MAX(MIN(AD137-'Input Data'!$BG$5,IF(OR($G137="M (under 21)",$G137="Z (under 21 - deferment)"),'Input Data'!$BG$6,IF($G137="H (Apprentice under 25)",'Input Data'!$BG$7,'Input Data'!$BG$8))-'Input Data'!$BG$5),0)*VLOOKUP($G137,'Input Data'!$BI$3:$BL$10,3,FALSE),MAX((AD137-IF(OR($G137="M (under 21)",$G137="Z (under 21 - deferment)"),'Input Data'!$BG$6,IF($G137="H (Apprentice under 25)",'Input Data'!$BG$7,'Input Data'!$BG$8))),0)*VLOOKUP($G137,'Input Data'!$BI$3:$BL$10,4,FALSE))))</f>
        <v>0</v>
      </c>
      <c r="AM137" s="56">
        <f>IF($G137="",0,IF(NOT(OR($G137="A - All employees not in groups B, C, J, H, M or Z",$G137="B - Married women and widows entitled to reduced NI",$G137="C - Over the State Pension age",$G137="H - Apprentice under 25",$G137="J – Deferment",$G137="M - Under 21",$G137="Z - Deferment (Under 21)",$G137="Please Enter The NI Cont. in ££££")),$G137,SUM(MAX(MIN(AE137-'Input Data'!$BG$3,'Input Data'!$BG$5-'Input Data'!$BG$3),0)*VLOOKUP($G137,'Input Data'!$BI$3:$BL$10,2,FALSE),MAX(MIN(AE137-'Input Data'!$BG$5,IF(OR($G137="M (under 21)",$G137="Z (under 21 - deferment)"),'Input Data'!$BG$6,IF($G137="H (Apprentice under 25)",'Input Data'!$BG$7,'Input Data'!$BG$8))-'Input Data'!$BG$5),0)*VLOOKUP($G137,'Input Data'!$BI$3:$BL$10,3,FALSE),MAX((AE137-IF(OR($G137="M (under 21)",$G137="Z (under 21 - deferment)"),'Input Data'!$BG$6,IF($G137="H (Apprentice under 25)",'Input Data'!$BG$7,'Input Data'!$BG$8))),0)*VLOOKUP($G137,'Input Data'!$BI$3:$BL$10,4,FALSE))))</f>
        <v>0</v>
      </c>
      <c r="AN137" s="56">
        <f>IF($G137="",0,IF(NOT(OR($G137="A - All employees not in groups B, C, J, H, M or Z",$G137="B - Married women and widows entitled to reduced NI",$G137="C - Over the State Pension age",$G137="H - Apprentice under 25",$G137="J – Deferment",$G137="M - Under 21",$G137="Z - Deferment (Under 21)",$G137="Please Enter The NI Cont. in ££££")),$G137,SUM(MAX(MIN(AF137-'Input Data'!$BG$3,'Input Data'!$BG$5-'Input Data'!$BG$3),0)*VLOOKUP($G137,'Input Data'!$BI$3:$BL$10,2,FALSE),MAX(MIN(AF137-'Input Data'!$BG$5,IF(OR($G137="M (under 21)",$G137="Z (under 21 - deferment)"),'Input Data'!$BG$6,IF($G137="H (Apprentice under 25)",'Input Data'!$BG$7,'Input Data'!$BG$8))-'Input Data'!$BG$5),0)*VLOOKUP($G137,'Input Data'!$BI$3:$BL$10,3,FALSE),MAX((AF137-IF(OR($G137="M (under 21)",$G137="Z (under 21 - deferment)"),'Input Data'!$BG$6,IF($G137="H (Apprentice under 25)",'Input Data'!$BG$7,'Input Data'!$BG$8))),0)*VLOOKUP($G137,'Input Data'!$BI$3:$BL$10,4,FALSE))))</f>
        <v>0</v>
      </c>
      <c r="AO137" s="56">
        <f>IF($G137="",0,IF(NOT(OR($G137="A - All employees not in groups B, C, J, H, M or Z",$G137="B - Married women and widows entitled to reduced NI",$G137="C - Over the State Pension age",$G137="H - Apprentice under 25",$G137="J – Deferment",$G137="M - Under 21",$G137="Z - Deferment (Under 21)",$G137="Please Enter The NI Cont. in ££££")),$G137,SUM(MAX(MIN(AG137-'Input Data'!$BG$3,'Input Data'!$BG$5-'Input Data'!$BG$3),0)*VLOOKUP($G137,'Input Data'!$BI$3:$BL$10,2,FALSE),MAX(MIN(AG137-'Input Data'!$BG$5,IF(OR($G137="M (under 21)",$G137="Z (under 21 - deferment)"),'Input Data'!$BG$6,IF($G137="H (Apprentice under 25)",'Input Data'!$BG$7,'Input Data'!$BG$8))-'Input Data'!$BG$5),0)*VLOOKUP($G137,'Input Data'!$BI$3:$BL$10,3,FALSE),MAX((AG137-IF(OR($G137="M (under 21)",$G137="Z (under 21 - deferment)"),'Input Data'!$BG$6,IF($G137="H (Apprentice under 25)",'Input Data'!$BG$7,'Input Data'!$BG$8))),0)*VLOOKUP($G137,'Input Data'!$BI$3:$BL$10,4,FALSE))))</f>
        <v>0</v>
      </c>
      <c r="AP137" s="56">
        <f>IF($G137="",0,IF(NOT(OR($G137="A - All employees not in groups B, C, J, H, M or Z",$G137="B - Married women and widows entitled to reduced NI",$G137="C - Over the State Pension age",$G137="H - Apprentice under 25",$G137="J – Deferment",$G137="M - Under 21",$G137="Z - Deferment (Under 21)",$G137="Please Enter The NI Cont. in ££££")),$G137,SUM(MAX(MIN(AH137-'Input Data'!$BG$3,'Input Data'!$BG$5-'Input Data'!$BG$3),0)*VLOOKUP($G137,'Input Data'!$BI$3:$BL$10,2,FALSE),MAX(MIN(AH137-'Input Data'!$BG$5,IF(OR($G137="M (under 21)",$G137="Z (under 21 - deferment)"),'Input Data'!$BG$6,IF($G137="H (Apprentice under 25)",'Input Data'!$BG$7,'Input Data'!$BG$8))-'Input Data'!$BG$5),0)*VLOOKUP($G137,'Input Data'!$BI$3:$BL$10,3,FALSE),MAX((AH137-IF(OR($G137="M (under 21)",$G137="Z (under 21 - deferment)"),'Input Data'!$BG$6,IF($G137="H (Apprentice under 25)",'Input Data'!$BG$7,'Input Data'!$BG$8))),0)*VLOOKUP($G137,'Input Data'!$BI$3:$BL$10,4,FALSE))))</f>
        <v>0</v>
      </c>
      <c r="AQ137" s="56">
        <f>IF($G137="",0,IF(NOT(OR($G137="A - All employees not in groups B, C, J, H, M or Z",$G137="B - Married women and widows entitled to reduced NI",$G137="C - Over the State Pension age",$G137="H - Apprentice under 25",$G137="J – Deferment",$G137="M - Under 21",$G137="Z - Deferment (Under 21)",$G137="Please Enter The NI Cont. in ££££")),$G137,SUM(MAX(MIN(AI137-'Input Data'!$BG$3,'Input Data'!$BG$5-'Input Data'!$BG$3),0)*VLOOKUP($G137,'Input Data'!$BI$3:$BL$10,2,FALSE),MAX(MIN(AI137-'Input Data'!$BG$5,IF(OR($G137="M (under 21)",$G137="Z (under 21 - deferment)"),'Input Data'!$BG$6,IF($G137="H (Apprentice under 25)",'Input Data'!$BG$7,'Input Data'!$BG$8))-'Input Data'!$BG$5),0)*VLOOKUP($G137,'Input Data'!$BI$3:$BL$10,3,FALSE),MAX((AI137-IF(OR($G137="M (under 21)",$G137="Z (under 21 - deferment)"),'Input Data'!$BG$6,IF($G137="H (Apprentice under 25)",'Input Data'!$BG$7,'Input Data'!$BG$8))),0)*VLOOKUP($G137,'Input Data'!$BI$3:$BL$10,4,FALSE))))</f>
        <v>0</v>
      </c>
      <c r="AR137" s="56">
        <f>IF($G137="",0,IF(NOT(OR($G137="A - All employees not in groups B, C, J, H, M or Z",$G137="B - Married women and widows entitled to reduced NI",$G137="C - Over the State Pension age",$G137="H - Apprentice under 25",$G137="J – Deferment",$G137="M - Under 21",$G137="Z - Deferment (Under 21)",$G137="Please Enter The NI Cont. in ££££")),$G137,SUM(MAX(MIN(AJ137-'Input Data'!$BG$3,'Input Data'!$BG$5-'Input Data'!$BG$3),0)*VLOOKUP($G137,'Input Data'!$BI$3:$BL$10,2,FALSE),MAX(MIN(AJ137-'Input Data'!$BG$5,IF(OR($G137="M (under 21)",$G137="Z (under 21 - deferment)"),'Input Data'!$BG$6,IF($G137="H (Apprentice under 25)",'Input Data'!$BG$7,'Input Data'!$BG$8))-'Input Data'!$BG$5),0)*VLOOKUP($G137,'Input Data'!$BI$3:$BL$10,3,FALSE),MAX((AJ137-IF(OR($G137="M (under 21)",$G137="Z (under 21 - deferment)"),'Input Data'!$BG$6,IF($G137="H (Apprentice under 25)",'Input Data'!$BG$7,'Input Data'!$BG$8))),0)*VLOOKUP($G137,'Input Data'!$BI$3:$BL$10,4,FALSE))))</f>
        <v>0</v>
      </c>
      <c r="AS137" s="56">
        <f>AC137*$F137</f>
        <v>0</v>
      </c>
      <c r="AT137" s="56">
        <f>AD137*$F137</f>
        <v>0</v>
      </c>
      <c r="AU137" s="56">
        <f>AE137*$F137</f>
        <v>0</v>
      </c>
      <c r="AV137" s="56">
        <f>AF137*$F137</f>
        <v>0</v>
      </c>
      <c r="AW137" s="56">
        <f>AG137*$F137</f>
        <v>0</v>
      </c>
      <c r="AX137" s="56">
        <f>AH137*$F137</f>
        <v>0</v>
      </c>
      <c r="AY137" s="56">
        <f>AI137*$F137</f>
        <v>0</v>
      </c>
      <c r="AZ137" s="56">
        <f>AJ137*$F137</f>
        <v>0</v>
      </c>
    </row>
    <row r="138" spans="2:52" ht="25.5">
      <c r="B138" s="60"/>
      <c r="C138" s="57" t="s">
        <v>109</v>
      </c>
      <c r="D138" s="58"/>
      <c r="E138" s="58"/>
      <c r="F138" s="535"/>
      <c r="G138" s="693" t="s">
        <v>1149</v>
      </c>
      <c r="H138" s="65"/>
      <c r="I138" s="65"/>
      <c r="J138" s="65"/>
      <c r="K138" s="65"/>
      <c r="L138" s="65"/>
      <c r="M138" s="65"/>
      <c r="N138" s="65"/>
      <c r="O138" s="65"/>
      <c r="P138" s="29"/>
      <c r="Q138" s="597"/>
      <c r="R138" s="61"/>
      <c r="T138" s="43">
        <f>SUM(AC138,AK138,AS138)</f>
        <v>0</v>
      </c>
      <c r="U138" s="43">
        <f>SUM(AD138,AL138,AT138)</f>
        <v>0</v>
      </c>
      <c r="V138" s="43">
        <f>SUM(AE138,AM138,AU138)</f>
        <v>0</v>
      </c>
      <c r="W138" s="43">
        <f>SUM(AF138,AN138,AV138)</f>
        <v>0</v>
      </c>
      <c r="X138" s="43">
        <f>SUM(AG138,AO138,AW138)</f>
        <v>0</v>
      </c>
      <c r="Y138" s="43">
        <f>SUM(AH138,AP138,AX138)</f>
        <v>0</v>
      </c>
      <c r="Z138" s="43">
        <f>SUM(AI138,AQ138,AY138)</f>
        <v>0</v>
      </c>
      <c r="AA138" s="43">
        <f>SUM(AJ138,AR138,AZ138)</f>
        <v>0</v>
      </c>
      <c r="AC138" s="631">
        <f>SUM($D138:$E138)*H138</f>
        <v>0</v>
      </c>
      <c r="AD138" s="631">
        <f>SUM($D138:$E138)*I138</f>
        <v>0</v>
      </c>
      <c r="AE138" s="631">
        <f>SUM($D138:$E138)*J138</f>
        <v>0</v>
      </c>
      <c r="AF138" s="631">
        <f>SUM($D138:$E138)*K138</f>
        <v>0</v>
      </c>
      <c r="AG138" s="631">
        <f>SUM($D138:$E138)*L138</f>
        <v>0</v>
      </c>
      <c r="AH138" s="631">
        <f>SUM($D138:$E138)*M138</f>
        <v>0</v>
      </c>
      <c r="AI138" s="631">
        <f>SUM($D138:$E138)*N138</f>
        <v>0</v>
      </c>
      <c r="AJ138" s="631">
        <f>SUM($D138:$E138)*O138</f>
        <v>0</v>
      </c>
      <c r="AK138" s="56">
        <f>IF($G138="",0,IF(NOT(OR($G138="A - All employees not in groups B, C, J, H, M or Z",$G138="B - Married women and widows entitled to reduced NI",$G138="C - Over the State Pension age",$G138="H - Apprentice under 25",$G138="J – Deferment",$G138="M - Under 21",$G138="Z - Deferment (Under 21)",$G138="Please Enter The NI Cont. in ££££")),$G138,SUM(MAX(MIN(AC138-'Input Data'!$BG$3,'Input Data'!$BG$5-'Input Data'!$BG$3),0)*VLOOKUP($G138,'Input Data'!$BI$3:$BL$10,2,FALSE),MAX(MIN(AC138-'Input Data'!$BG$5,IF(OR($G138="M (under 21)",$G138="Z (under 21 - deferment)"),'Input Data'!$BG$6,IF($G138="H (Apprentice under 25)",'Input Data'!$BG$7,'Input Data'!$BG$8))-'Input Data'!$BG$5),0)*VLOOKUP($G138,'Input Data'!$BI$3:$BL$10,3,FALSE),MAX((AC138-IF(OR($G138="M (under 21)",$G138="Z (under 21 - deferment)"),'Input Data'!$BG$6,IF($G138="H (Apprentice under 25)",'Input Data'!$BG$7,'Input Data'!$BG$8))),0)*VLOOKUP($G138,'Input Data'!$BI$3:$BL$10,4,FALSE))))</f>
        <v>0</v>
      </c>
      <c r="AL138" s="56">
        <f>IF($G138="",0,IF(NOT(OR($G138="A - All employees not in groups B, C, J, H, M or Z",$G138="B - Married women and widows entitled to reduced NI",$G138="C - Over the State Pension age",$G138="H - Apprentice under 25",$G138="J – Deferment",$G138="M - Under 21",$G138="Z - Deferment (Under 21)",$G138="Please Enter The NI Cont. in ££££")),$G138,SUM(MAX(MIN(AD138-'Input Data'!$BG$3,'Input Data'!$BG$5-'Input Data'!$BG$3),0)*VLOOKUP($G138,'Input Data'!$BI$3:$BL$10,2,FALSE),MAX(MIN(AD138-'Input Data'!$BG$5,IF(OR($G138="M (under 21)",$G138="Z (under 21 - deferment)"),'Input Data'!$BG$6,IF($G138="H (Apprentice under 25)",'Input Data'!$BG$7,'Input Data'!$BG$8))-'Input Data'!$BG$5),0)*VLOOKUP($G138,'Input Data'!$BI$3:$BL$10,3,FALSE),MAX((AD138-IF(OR($G138="M (under 21)",$G138="Z (under 21 - deferment)"),'Input Data'!$BG$6,IF($G138="H (Apprentice under 25)",'Input Data'!$BG$7,'Input Data'!$BG$8))),0)*VLOOKUP($G138,'Input Data'!$BI$3:$BL$10,4,FALSE))))</f>
        <v>0</v>
      </c>
      <c r="AM138" s="56">
        <f>IF($G138="",0,IF(NOT(OR($G138="A - All employees not in groups B, C, J, H, M or Z",$G138="B - Married women and widows entitled to reduced NI",$G138="C - Over the State Pension age",$G138="H - Apprentice under 25",$G138="J – Deferment",$G138="M - Under 21",$G138="Z - Deferment (Under 21)",$G138="Please Enter The NI Cont. in ££££")),$G138,SUM(MAX(MIN(AE138-'Input Data'!$BG$3,'Input Data'!$BG$5-'Input Data'!$BG$3),0)*VLOOKUP($G138,'Input Data'!$BI$3:$BL$10,2,FALSE),MAX(MIN(AE138-'Input Data'!$BG$5,IF(OR($G138="M (under 21)",$G138="Z (under 21 - deferment)"),'Input Data'!$BG$6,IF($G138="H (Apprentice under 25)",'Input Data'!$BG$7,'Input Data'!$BG$8))-'Input Data'!$BG$5),0)*VLOOKUP($G138,'Input Data'!$BI$3:$BL$10,3,FALSE),MAX((AE138-IF(OR($G138="M (under 21)",$G138="Z (under 21 - deferment)"),'Input Data'!$BG$6,IF($G138="H (Apprentice under 25)",'Input Data'!$BG$7,'Input Data'!$BG$8))),0)*VLOOKUP($G138,'Input Data'!$BI$3:$BL$10,4,FALSE))))</f>
        <v>0</v>
      </c>
      <c r="AN138" s="56">
        <f>IF($G138="",0,IF(NOT(OR($G138="A - All employees not in groups B, C, J, H, M or Z",$G138="B - Married women and widows entitled to reduced NI",$G138="C - Over the State Pension age",$G138="H - Apprentice under 25",$G138="J – Deferment",$G138="M - Under 21",$G138="Z - Deferment (Under 21)",$G138="Please Enter The NI Cont. in ££££")),$G138,SUM(MAX(MIN(AF138-'Input Data'!$BG$3,'Input Data'!$BG$5-'Input Data'!$BG$3),0)*VLOOKUP($G138,'Input Data'!$BI$3:$BL$10,2,FALSE),MAX(MIN(AF138-'Input Data'!$BG$5,IF(OR($G138="M (under 21)",$G138="Z (under 21 - deferment)"),'Input Data'!$BG$6,IF($G138="H (Apprentice under 25)",'Input Data'!$BG$7,'Input Data'!$BG$8))-'Input Data'!$BG$5),0)*VLOOKUP($G138,'Input Data'!$BI$3:$BL$10,3,FALSE),MAX((AF138-IF(OR($G138="M (under 21)",$G138="Z (under 21 - deferment)"),'Input Data'!$BG$6,IF($G138="H (Apprentice under 25)",'Input Data'!$BG$7,'Input Data'!$BG$8))),0)*VLOOKUP($G138,'Input Data'!$BI$3:$BL$10,4,FALSE))))</f>
        <v>0</v>
      </c>
      <c r="AO138" s="56">
        <f>IF($G138="",0,IF(NOT(OR($G138="A - All employees not in groups B, C, J, H, M or Z",$G138="B - Married women and widows entitled to reduced NI",$G138="C - Over the State Pension age",$G138="H - Apprentice under 25",$G138="J – Deferment",$G138="M - Under 21",$G138="Z - Deferment (Under 21)",$G138="Please Enter The NI Cont. in ££££")),$G138,SUM(MAX(MIN(AG138-'Input Data'!$BG$3,'Input Data'!$BG$5-'Input Data'!$BG$3),0)*VLOOKUP($G138,'Input Data'!$BI$3:$BL$10,2,FALSE),MAX(MIN(AG138-'Input Data'!$BG$5,IF(OR($G138="M (under 21)",$G138="Z (under 21 - deferment)"),'Input Data'!$BG$6,IF($G138="H (Apprentice under 25)",'Input Data'!$BG$7,'Input Data'!$BG$8))-'Input Data'!$BG$5),0)*VLOOKUP($G138,'Input Data'!$BI$3:$BL$10,3,FALSE),MAX((AG138-IF(OR($G138="M (under 21)",$G138="Z (under 21 - deferment)"),'Input Data'!$BG$6,IF($G138="H (Apprentice under 25)",'Input Data'!$BG$7,'Input Data'!$BG$8))),0)*VLOOKUP($G138,'Input Data'!$BI$3:$BL$10,4,FALSE))))</f>
        <v>0</v>
      </c>
      <c r="AP138" s="56">
        <f>IF($G138="",0,IF(NOT(OR($G138="A - All employees not in groups B, C, J, H, M or Z",$G138="B - Married women and widows entitled to reduced NI",$G138="C - Over the State Pension age",$G138="H - Apprentice under 25",$G138="J – Deferment",$G138="M - Under 21",$G138="Z - Deferment (Under 21)",$G138="Please Enter The NI Cont. in ££££")),$G138,SUM(MAX(MIN(AH138-'Input Data'!$BG$3,'Input Data'!$BG$5-'Input Data'!$BG$3),0)*VLOOKUP($G138,'Input Data'!$BI$3:$BL$10,2,FALSE),MAX(MIN(AH138-'Input Data'!$BG$5,IF(OR($G138="M (under 21)",$G138="Z (under 21 - deferment)"),'Input Data'!$BG$6,IF($G138="H (Apprentice under 25)",'Input Data'!$BG$7,'Input Data'!$BG$8))-'Input Data'!$BG$5),0)*VLOOKUP($G138,'Input Data'!$BI$3:$BL$10,3,FALSE),MAX((AH138-IF(OR($G138="M (under 21)",$G138="Z (under 21 - deferment)"),'Input Data'!$BG$6,IF($G138="H (Apprentice under 25)",'Input Data'!$BG$7,'Input Data'!$BG$8))),0)*VLOOKUP($G138,'Input Data'!$BI$3:$BL$10,4,FALSE))))</f>
        <v>0</v>
      </c>
      <c r="AQ138" s="56">
        <f>IF($G138="",0,IF(NOT(OR($G138="A - All employees not in groups B, C, J, H, M or Z",$G138="B - Married women and widows entitled to reduced NI",$G138="C - Over the State Pension age",$G138="H - Apprentice under 25",$G138="J – Deferment",$G138="M - Under 21",$G138="Z - Deferment (Under 21)",$G138="Please Enter The NI Cont. in ££££")),$G138,SUM(MAX(MIN(AI138-'Input Data'!$BG$3,'Input Data'!$BG$5-'Input Data'!$BG$3),0)*VLOOKUP($G138,'Input Data'!$BI$3:$BL$10,2,FALSE),MAX(MIN(AI138-'Input Data'!$BG$5,IF(OR($G138="M (under 21)",$G138="Z (under 21 - deferment)"),'Input Data'!$BG$6,IF($G138="H (Apprentice under 25)",'Input Data'!$BG$7,'Input Data'!$BG$8))-'Input Data'!$BG$5),0)*VLOOKUP($G138,'Input Data'!$BI$3:$BL$10,3,FALSE),MAX((AI138-IF(OR($G138="M (under 21)",$G138="Z (under 21 - deferment)"),'Input Data'!$BG$6,IF($G138="H (Apprentice under 25)",'Input Data'!$BG$7,'Input Data'!$BG$8))),0)*VLOOKUP($G138,'Input Data'!$BI$3:$BL$10,4,FALSE))))</f>
        <v>0</v>
      </c>
      <c r="AR138" s="56">
        <f>IF($G138="",0,IF(NOT(OR($G138="A - All employees not in groups B, C, J, H, M or Z",$G138="B - Married women and widows entitled to reduced NI",$G138="C - Over the State Pension age",$G138="H - Apprentice under 25",$G138="J – Deferment",$G138="M - Under 21",$G138="Z - Deferment (Under 21)",$G138="Please Enter The NI Cont. in ££££")),$G138,SUM(MAX(MIN(AJ138-'Input Data'!$BG$3,'Input Data'!$BG$5-'Input Data'!$BG$3),0)*VLOOKUP($G138,'Input Data'!$BI$3:$BL$10,2,FALSE),MAX(MIN(AJ138-'Input Data'!$BG$5,IF(OR($G138="M (under 21)",$G138="Z (under 21 - deferment)"),'Input Data'!$BG$6,IF($G138="H (Apprentice under 25)",'Input Data'!$BG$7,'Input Data'!$BG$8))-'Input Data'!$BG$5),0)*VLOOKUP($G138,'Input Data'!$BI$3:$BL$10,3,FALSE),MAX((AJ138-IF(OR($G138="M (under 21)",$G138="Z (under 21 - deferment)"),'Input Data'!$BG$6,IF($G138="H (Apprentice under 25)",'Input Data'!$BG$7,'Input Data'!$BG$8))),0)*VLOOKUP($G138,'Input Data'!$BI$3:$BL$10,4,FALSE))))</f>
        <v>0</v>
      </c>
      <c r="AS138" s="56">
        <f>AC138*$F138</f>
        <v>0</v>
      </c>
      <c r="AT138" s="56">
        <f>AD138*$F138</f>
        <v>0</v>
      </c>
      <c r="AU138" s="56">
        <f>AE138*$F138</f>
        <v>0</v>
      </c>
      <c r="AV138" s="56">
        <f>AF138*$F138</f>
        <v>0</v>
      </c>
      <c r="AW138" s="56">
        <f>AG138*$F138</f>
        <v>0</v>
      </c>
      <c r="AX138" s="56">
        <f>AH138*$F138</f>
        <v>0</v>
      </c>
      <c r="AY138" s="56">
        <f>AI138*$F138</f>
        <v>0</v>
      </c>
      <c r="AZ138" s="56">
        <f>AJ138*$F138</f>
        <v>0</v>
      </c>
    </row>
    <row r="139" spans="2:52" ht="25.5">
      <c r="B139" s="60"/>
      <c r="C139" s="57" t="s">
        <v>110</v>
      </c>
      <c r="D139" s="58"/>
      <c r="E139" s="58"/>
      <c r="F139" s="535"/>
      <c r="G139" s="693" t="s">
        <v>1149</v>
      </c>
      <c r="H139" s="65"/>
      <c r="I139" s="65"/>
      <c r="J139" s="65"/>
      <c r="K139" s="65"/>
      <c r="L139" s="65"/>
      <c r="M139" s="65"/>
      <c r="N139" s="65"/>
      <c r="O139" s="65"/>
      <c r="P139" s="29"/>
      <c r="Q139" s="597"/>
      <c r="R139" s="61"/>
      <c r="T139" s="43">
        <f>SUM(AC139,AK139,AS139)</f>
        <v>0</v>
      </c>
      <c r="U139" s="43">
        <f>SUM(AD139,AL139,AT139)</f>
        <v>0</v>
      </c>
      <c r="V139" s="43">
        <f>SUM(AE139,AM139,AU139)</f>
        <v>0</v>
      </c>
      <c r="W139" s="43">
        <f>SUM(AF139,AN139,AV139)</f>
        <v>0</v>
      </c>
      <c r="X139" s="43">
        <f>SUM(AG139,AO139,AW139)</f>
        <v>0</v>
      </c>
      <c r="Y139" s="43">
        <f>SUM(AH139,AP139,AX139)</f>
        <v>0</v>
      </c>
      <c r="Z139" s="43">
        <f>SUM(AI139,AQ139,AY139)</f>
        <v>0</v>
      </c>
      <c r="AA139" s="43">
        <f>SUM(AJ139,AR139,AZ139)</f>
        <v>0</v>
      </c>
      <c r="AC139" s="631">
        <f>SUM($D139:$E139)*H139</f>
        <v>0</v>
      </c>
      <c r="AD139" s="631">
        <f>SUM($D139:$E139)*I139</f>
        <v>0</v>
      </c>
      <c r="AE139" s="631">
        <f>SUM($D139:$E139)*J139</f>
        <v>0</v>
      </c>
      <c r="AF139" s="631">
        <f>SUM($D139:$E139)*K139</f>
        <v>0</v>
      </c>
      <c r="AG139" s="631">
        <f>SUM($D139:$E139)*L139</f>
        <v>0</v>
      </c>
      <c r="AH139" s="631">
        <f>SUM($D139:$E139)*M139</f>
        <v>0</v>
      </c>
      <c r="AI139" s="631">
        <f>SUM($D139:$E139)*N139</f>
        <v>0</v>
      </c>
      <c r="AJ139" s="631">
        <f>SUM($D139:$E139)*O139</f>
        <v>0</v>
      </c>
      <c r="AK139" s="56">
        <f>IF($G139="",0,IF(NOT(OR($G139="A - All employees not in groups B, C, J, H, M or Z",$G139="B - Married women and widows entitled to reduced NI",$G139="C - Over the State Pension age",$G139="H - Apprentice under 25",$G139="J – Deferment",$G139="M - Under 21",$G139="Z - Deferment (Under 21)",$G139="Please Enter The NI Cont. in ££££")),$G139,SUM(MAX(MIN(AC139-'Input Data'!$BG$3,'Input Data'!$BG$5-'Input Data'!$BG$3),0)*VLOOKUP($G139,'Input Data'!$BI$3:$BL$10,2,FALSE),MAX(MIN(AC139-'Input Data'!$BG$5,IF(OR($G139="M (under 21)",$G139="Z (under 21 - deferment)"),'Input Data'!$BG$6,IF($G139="H (Apprentice under 25)",'Input Data'!$BG$7,'Input Data'!$BG$8))-'Input Data'!$BG$5),0)*VLOOKUP($G139,'Input Data'!$BI$3:$BL$10,3,FALSE),MAX((AC139-IF(OR($G139="M (under 21)",$G139="Z (under 21 - deferment)"),'Input Data'!$BG$6,IF($G139="H (Apprentice under 25)",'Input Data'!$BG$7,'Input Data'!$BG$8))),0)*VLOOKUP($G139,'Input Data'!$BI$3:$BL$10,4,FALSE))))</f>
        <v>0</v>
      </c>
      <c r="AL139" s="56">
        <f>IF($G139="",0,IF(NOT(OR($G139="A - All employees not in groups B, C, J, H, M or Z",$G139="B - Married women and widows entitled to reduced NI",$G139="C - Over the State Pension age",$G139="H - Apprentice under 25",$G139="J – Deferment",$G139="M - Under 21",$G139="Z - Deferment (Under 21)",$G139="Please Enter The NI Cont. in ££££")),$G139,SUM(MAX(MIN(AD139-'Input Data'!$BG$3,'Input Data'!$BG$5-'Input Data'!$BG$3),0)*VLOOKUP($G139,'Input Data'!$BI$3:$BL$10,2,FALSE),MAX(MIN(AD139-'Input Data'!$BG$5,IF(OR($G139="M (under 21)",$G139="Z (under 21 - deferment)"),'Input Data'!$BG$6,IF($G139="H (Apprentice under 25)",'Input Data'!$BG$7,'Input Data'!$BG$8))-'Input Data'!$BG$5),0)*VLOOKUP($G139,'Input Data'!$BI$3:$BL$10,3,FALSE),MAX((AD139-IF(OR($G139="M (under 21)",$G139="Z (under 21 - deferment)"),'Input Data'!$BG$6,IF($G139="H (Apprentice under 25)",'Input Data'!$BG$7,'Input Data'!$BG$8))),0)*VLOOKUP($G139,'Input Data'!$BI$3:$BL$10,4,FALSE))))</f>
        <v>0</v>
      </c>
      <c r="AM139" s="56">
        <f>IF($G139="",0,IF(NOT(OR($G139="A - All employees not in groups B, C, J, H, M or Z",$G139="B - Married women and widows entitled to reduced NI",$G139="C - Over the State Pension age",$G139="H - Apprentice under 25",$G139="J – Deferment",$G139="M - Under 21",$G139="Z - Deferment (Under 21)",$G139="Please Enter The NI Cont. in ££££")),$G139,SUM(MAX(MIN(AE139-'Input Data'!$BG$3,'Input Data'!$BG$5-'Input Data'!$BG$3),0)*VLOOKUP($G139,'Input Data'!$BI$3:$BL$10,2,FALSE),MAX(MIN(AE139-'Input Data'!$BG$5,IF(OR($G139="M (under 21)",$G139="Z (under 21 - deferment)"),'Input Data'!$BG$6,IF($G139="H (Apprentice under 25)",'Input Data'!$BG$7,'Input Data'!$BG$8))-'Input Data'!$BG$5),0)*VLOOKUP($G139,'Input Data'!$BI$3:$BL$10,3,FALSE),MAX((AE139-IF(OR($G139="M (under 21)",$G139="Z (under 21 - deferment)"),'Input Data'!$BG$6,IF($G139="H (Apprentice under 25)",'Input Data'!$BG$7,'Input Data'!$BG$8))),0)*VLOOKUP($G139,'Input Data'!$BI$3:$BL$10,4,FALSE))))</f>
        <v>0</v>
      </c>
      <c r="AN139" s="56">
        <f>IF($G139="",0,IF(NOT(OR($G139="A - All employees not in groups B, C, J, H, M or Z",$G139="B - Married women and widows entitled to reduced NI",$G139="C - Over the State Pension age",$G139="H - Apprentice under 25",$G139="J – Deferment",$G139="M - Under 21",$G139="Z - Deferment (Under 21)",$G139="Please Enter The NI Cont. in ££££")),$G139,SUM(MAX(MIN(AF139-'Input Data'!$BG$3,'Input Data'!$BG$5-'Input Data'!$BG$3),0)*VLOOKUP($G139,'Input Data'!$BI$3:$BL$10,2,FALSE),MAX(MIN(AF139-'Input Data'!$BG$5,IF(OR($G139="M (under 21)",$G139="Z (under 21 - deferment)"),'Input Data'!$BG$6,IF($G139="H (Apprentice under 25)",'Input Data'!$BG$7,'Input Data'!$BG$8))-'Input Data'!$BG$5),0)*VLOOKUP($G139,'Input Data'!$BI$3:$BL$10,3,FALSE),MAX((AF139-IF(OR($G139="M (under 21)",$G139="Z (under 21 - deferment)"),'Input Data'!$BG$6,IF($G139="H (Apprentice under 25)",'Input Data'!$BG$7,'Input Data'!$BG$8))),0)*VLOOKUP($G139,'Input Data'!$BI$3:$BL$10,4,FALSE))))</f>
        <v>0</v>
      </c>
      <c r="AO139" s="56">
        <f>IF($G139="",0,IF(NOT(OR($G139="A - All employees not in groups B, C, J, H, M or Z",$G139="B - Married women and widows entitled to reduced NI",$G139="C - Over the State Pension age",$G139="H - Apprentice under 25",$G139="J – Deferment",$G139="M - Under 21",$G139="Z - Deferment (Under 21)",$G139="Please Enter The NI Cont. in ££££")),$G139,SUM(MAX(MIN(AG139-'Input Data'!$BG$3,'Input Data'!$BG$5-'Input Data'!$BG$3),0)*VLOOKUP($G139,'Input Data'!$BI$3:$BL$10,2,FALSE),MAX(MIN(AG139-'Input Data'!$BG$5,IF(OR($G139="M (under 21)",$G139="Z (under 21 - deferment)"),'Input Data'!$BG$6,IF($G139="H (Apprentice under 25)",'Input Data'!$BG$7,'Input Data'!$BG$8))-'Input Data'!$BG$5),0)*VLOOKUP($G139,'Input Data'!$BI$3:$BL$10,3,FALSE),MAX((AG139-IF(OR($G139="M (under 21)",$G139="Z (under 21 - deferment)"),'Input Data'!$BG$6,IF($G139="H (Apprentice under 25)",'Input Data'!$BG$7,'Input Data'!$BG$8))),0)*VLOOKUP($G139,'Input Data'!$BI$3:$BL$10,4,FALSE))))</f>
        <v>0</v>
      </c>
      <c r="AP139" s="56">
        <f>IF($G139="",0,IF(NOT(OR($G139="A - All employees not in groups B, C, J, H, M or Z",$G139="B - Married women and widows entitled to reduced NI",$G139="C - Over the State Pension age",$G139="H - Apprentice under 25",$G139="J – Deferment",$G139="M - Under 21",$G139="Z - Deferment (Under 21)",$G139="Please Enter The NI Cont. in ££££")),$G139,SUM(MAX(MIN(AH139-'Input Data'!$BG$3,'Input Data'!$BG$5-'Input Data'!$BG$3),0)*VLOOKUP($G139,'Input Data'!$BI$3:$BL$10,2,FALSE),MAX(MIN(AH139-'Input Data'!$BG$5,IF(OR($G139="M (under 21)",$G139="Z (under 21 - deferment)"),'Input Data'!$BG$6,IF($G139="H (Apprentice under 25)",'Input Data'!$BG$7,'Input Data'!$BG$8))-'Input Data'!$BG$5),0)*VLOOKUP($G139,'Input Data'!$BI$3:$BL$10,3,FALSE),MAX((AH139-IF(OR($G139="M (under 21)",$G139="Z (under 21 - deferment)"),'Input Data'!$BG$6,IF($G139="H (Apprentice under 25)",'Input Data'!$BG$7,'Input Data'!$BG$8))),0)*VLOOKUP($G139,'Input Data'!$BI$3:$BL$10,4,FALSE))))</f>
        <v>0</v>
      </c>
      <c r="AQ139" s="56">
        <f>IF($G139="",0,IF(NOT(OR($G139="A - All employees not in groups B, C, J, H, M or Z",$G139="B - Married women and widows entitled to reduced NI",$G139="C - Over the State Pension age",$G139="H - Apprentice under 25",$G139="J – Deferment",$G139="M - Under 21",$G139="Z - Deferment (Under 21)",$G139="Please Enter The NI Cont. in ££££")),$G139,SUM(MAX(MIN(AI139-'Input Data'!$BG$3,'Input Data'!$BG$5-'Input Data'!$BG$3),0)*VLOOKUP($G139,'Input Data'!$BI$3:$BL$10,2,FALSE),MAX(MIN(AI139-'Input Data'!$BG$5,IF(OR($G139="M (under 21)",$G139="Z (under 21 - deferment)"),'Input Data'!$BG$6,IF($G139="H (Apprentice under 25)",'Input Data'!$BG$7,'Input Data'!$BG$8))-'Input Data'!$BG$5),0)*VLOOKUP($G139,'Input Data'!$BI$3:$BL$10,3,FALSE),MAX((AI139-IF(OR($G139="M (under 21)",$G139="Z (under 21 - deferment)"),'Input Data'!$BG$6,IF($G139="H (Apprentice under 25)",'Input Data'!$BG$7,'Input Data'!$BG$8))),0)*VLOOKUP($G139,'Input Data'!$BI$3:$BL$10,4,FALSE))))</f>
        <v>0</v>
      </c>
      <c r="AR139" s="56">
        <f>IF($G139="",0,IF(NOT(OR($G139="A - All employees not in groups B, C, J, H, M or Z",$G139="B - Married women and widows entitled to reduced NI",$G139="C - Over the State Pension age",$G139="H - Apprentice under 25",$G139="J – Deferment",$G139="M - Under 21",$G139="Z - Deferment (Under 21)",$G139="Please Enter The NI Cont. in ££££")),$G139,SUM(MAX(MIN(AJ139-'Input Data'!$BG$3,'Input Data'!$BG$5-'Input Data'!$BG$3),0)*VLOOKUP($G139,'Input Data'!$BI$3:$BL$10,2,FALSE),MAX(MIN(AJ139-'Input Data'!$BG$5,IF(OR($G139="M (under 21)",$G139="Z (under 21 - deferment)"),'Input Data'!$BG$6,IF($G139="H (Apprentice under 25)",'Input Data'!$BG$7,'Input Data'!$BG$8))-'Input Data'!$BG$5),0)*VLOOKUP($G139,'Input Data'!$BI$3:$BL$10,3,FALSE),MAX((AJ139-IF(OR($G139="M (under 21)",$G139="Z (under 21 - deferment)"),'Input Data'!$BG$6,IF($G139="H (Apprentice under 25)",'Input Data'!$BG$7,'Input Data'!$BG$8))),0)*VLOOKUP($G139,'Input Data'!$BI$3:$BL$10,4,FALSE))))</f>
        <v>0</v>
      </c>
      <c r="AS139" s="56">
        <f>AC139*$F139</f>
        <v>0</v>
      </c>
      <c r="AT139" s="56">
        <f>AD139*$F139</f>
        <v>0</v>
      </c>
      <c r="AU139" s="56">
        <f>AE139*$F139</f>
        <v>0</v>
      </c>
      <c r="AV139" s="56">
        <f>AF139*$F139</f>
        <v>0</v>
      </c>
      <c r="AW139" s="56">
        <f>AG139*$F139</f>
        <v>0</v>
      </c>
      <c r="AX139" s="56">
        <f>AH139*$F139</f>
        <v>0</v>
      </c>
      <c r="AY139" s="56">
        <f>AI139*$F139</f>
        <v>0</v>
      </c>
      <c r="AZ139" s="56">
        <f>AJ139*$F139</f>
        <v>0</v>
      </c>
    </row>
    <row r="140" spans="2:52" ht="25.5">
      <c r="B140" s="60"/>
      <c r="C140" s="57" t="s">
        <v>111</v>
      </c>
      <c r="D140" s="58"/>
      <c r="E140" s="58"/>
      <c r="F140" s="535"/>
      <c r="G140" s="693" t="s">
        <v>1149</v>
      </c>
      <c r="H140" s="65"/>
      <c r="I140" s="65"/>
      <c r="J140" s="65"/>
      <c r="K140" s="65"/>
      <c r="L140" s="65"/>
      <c r="M140" s="65"/>
      <c r="N140" s="65"/>
      <c r="O140" s="65"/>
      <c r="P140" s="29"/>
      <c r="Q140" s="597"/>
      <c r="R140" s="61"/>
      <c r="T140" s="43">
        <f>SUM(AC140,AK140,AS140)</f>
        <v>0</v>
      </c>
      <c r="U140" s="43">
        <f>SUM(AD140,AL140,AT140)</f>
        <v>0</v>
      </c>
      <c r="V140" s="43">
        <f>SUM(AE140,AM140,AU140)</f>
        <v>0</v>
      </c>
      <c r="W140" s="43">
        <f>SUM(AF140,AN140,AV140)</f>
        <v>0</v>
      </c>
      <c r="X140" s="43">
        <f>SUM(AG140,AO140,AW140)</f>
        <v>0</v>
      </c>
      <c r="Y140" s="43">
        <f>SUM(AH140,AP140,AX140)</f>
        <v>0</v>
      </c>
      <c r="Z140" s="43">
        <f>SUM(AI140,AQ140,AY140)</f>
        <v>0</v>
      </c>
      <c r="AA140" s="43">
        <f>SUM(AJ140,AR140,AZ140)</f>
        <v>0</v>
      </c>
      <c r="AC140" s="631">
        <f>SUM($D140:$E140)*H140</f>
        <v>0</v>
      </c>
      <c r="AD140" s="631">
        <f>SUM($D140:$E140)*I140</f>
        <v>0</v>
      </c>
      <c r="AE140" s="631">
        <f>SUM($D140:$E140)*J140</f>
        <v>0</v>
      </c>
      <c r="AF140" s="631">
        <f>SUM($D140:$E140)*K140</f>
        <v>0</v>
      </c>
      <c r="AG140" s="631">
        <f>SUM($D140:$E140)*L140</f>
        <v>0</v>
      </c>
      <c r="AH140" s="631">
        <f>SUM($D140:$E140)*M140</f>
        <v>0</v>
      </c>
      <c r="AI140" s="631">
        <f>SUM($D140:$E140)*N140</f>
        <v>0</v>
      </c>
      <c r="AJ140" s="631">
        <f>SUM($D140:$E140)*O140</f>
        <v>0</v>
      </c>
      <c r="AK140" s="56">
        <f>IF($G140="",0,IF(NOT(OR($G140="A - All employees not in groups B, C, J, H, M or Z",$G140="B - Married women and widows entitled to reduced NI",$G140="C - Over the State Pension age",$G140="H - Apprentice under 25",$G140="J – Deferment",$G140="M - Under 21",$G140="Z - Deferment (Under 21)",$G140="Please Enter The NI Cont. in ££££")),$G140,SUM(MAX(MIN(AC140-'Input Data'!$BG$3,'Input Data'!$BG$5-'Input Data'!$BG$3),0)*VLOOKUP($G140,'Input Data'!$BI$3:$BL$10,2,FALSE),MAX(MIN(AC140-'Input Data'!$BG$5,IF(OR($G140="M (under 21)",$G140="Z (under 21 - deferment)"),'Input Data'!$BG$6,IF($G140="H (Apprentice under 25)",'Input Data'!$BG$7,'Input Data'!$BG$8))-'Input Data'!$BG$5),0)*VLOOKUP($G140,'Input Data'!$BI$3:$BL$10,3,FALSE),MAX((AC140-IF(OR($G140="M (under 21)",$G140="Z (under 21 - deferment)"),'Input Data'!$BG$6,IF($G140="H (Apprentice under 25)",'Input Data'!$BG$7,'Input Data'!$BG$8))),0)*VLOOKUP($G140,'Input Data'!$BI$3:$BL$10,4,FALSE))))</f>
        <v>0</v>
      </c>
      <c r="AL140" s="56">
        <f>IF($G140="",0,IF(NOT(OR($G140="A - All employees not in groups B, C, J, H, M or Z",$G140="B - Married women and widows entitled to reduced NI",$G140="C - Over the State Pension age",$G140="H - Apprentice under 25",$G140="J – Deferment",$G140="M - Under 21",$G140="Z - Deferment (Under 21)",$G140="Please Enter The NI Cont. in ££££")),$G140,SUM(MAX(MIN(AD140-'Input Data'!$BG$3,'Input Data'!$BG$5-'Input Data'!$BG$3),0)*VLOOKUP($G140,'Input Data'!$BI$3:$BL$10,2,FALSE),MAX(MIN(AD140-'Input Data'!$BG$5,IF(OR($G140="M (under 21)",$G140="Z (under 21 - deferment)"),'Input Data'!$BG$6,IF($G140="H (Apprentice under 25)",'Input Data'!$BG$7,'Input Data'!$BG$8))-'Input Data'!$BG$5),0)*VLOOKUP($G140,'Input Data'!$BI$3:$BL$10,3,FALSE),MAX((AD140-IF(OR($G140="M (under 21)",$G140="Z (under 21 - deferment)"),'Input Data'!$BG$6,IF($G140="H (Apprentice under 25)",'Input Data'!$BG$7,'Input Data'!$BG$8))),0)*VLOOKUP($G140,'Input Data'!$BI$3:$BL$10,4,FALSE))))</f>
        <v>0</v>
      </c>
      <c r="AM140" s="56">
        <f>IF($G140="",0,IF(NOT(OR($G140="A - All employees not in groups B, C, J, H, M or Z",$G140="B - Married women and widows entitled to reduced NI",$G140="C - Over the State Pension age",$G140="H - Apprentice under 25",$G140="J – Deferment",$G140="M - Under 21",$G140="Z - Deferment (Under 21)",$G140="Please Enter The NI Cont. in ££££")),$G140,SUM(MAX(MIN(AE140-'Input Data'!$BG$3,'Input Data'!$BG$5-'Input Data'!$BG$3),0)*VLOOKUP($G140,'Input Data'!$BI$3:$BL$10,2,FALSE),MAX(MIN(AE140-'Input Data'!$BG$5,IF(OR($G140="M (under 21)",$G140="Z (under 21 - deferment)"),'Input Data'!$BG$6,IF($G140="H (Apprentice under 25)",'Input Data'!$BG$7,'Input Data'!$BG$8))-'Input Data'!$BG$5),0)*VLOOKUP($G140,'Input Data'!$BI$3:$BL$10,3,FALSE),MAX((AE140-IF(OR($G140="M (under 21)",$G140="Z (under 21 - deferment)"),'Input Data'!$BG$6,IF($G140="H (Apprentice under 25)",'Input Data'!$BG$7,'Input Data'!$BG$8))),0)*VLOOKUP($G140,'Input Data'!$BI$3:$BL$10,4,FALSE))))</f>
        <v>0</v>
      </c>
      <c r="AN140" s="56">
        <f>IF($G140="",0,IF(NOT(OR($G140="A - All employees not in groups B, C, J, H, M or Z",$G140="B - Married women and widows entitled to reduced NI",$G140="C - Over the State Pension age",$G140="H - Apprentice under 25",$G140="J – Deferment",$G140="M - Under 21",$G140="Z - Deferment (Under 21)",$G140="Please Enter The NI Cont. in ££££")),$G140,SUM(MAX(MIN(AF140-'Input Data'!$BG$3,'Input Data'!$BG$5-'Input Data'!$BG$3),0)*VLOOKUP($G140,'Input Data'!$BI$3:$BL$10,2,FALSE),MAX(MIN(AF140-'Input Data'!$BG$5,IF(OR($G140="M (under 21)",$G140="Z (under 21 - deferment)"),'Input Data'!$BG$6,IF($G140="H (Apprentice under 25)",'Input Data'!$BG$7,'Input Data'!$BG$8))-'Input Data'!$BG$5),0)*VLOOKUP($G140,'Input Data'!$BI$3:$BL$10,3,FALSE),MAX((AF140-IF(OR($G140="M (under 21)",$G140="Z (under 21 - deferment)"),'Input Data'!$BG$6,IF($G140="H (Apprentice under 25)",'Input Data'!$BG$7,'Input Data'!$BG$8))),0)*VLOOKUP($G140,'Input Data'!$BI$3:$BL$10,4,FALSE))))</f>
        <v>0</v>
      </c>
      <c r="AO140" s="56">
        <f>IF($G140="",0,IF(NOT(OR($G140="A - All employees not in groups B, C, J, H, M or Z",$G140="B - Married women and widows entitled to reduced NI",$G140="C - Over the State Pension age",$G140="H - Apprentice under 25",$G140="J – Deferment",$G140="M - Under 21",$G140="Z - Deferment (Under 21)",$G140="Please Enter The NI Cont. in ££££")),$G140,SUM(MAX(MIN(AG140-'Input Data'!$BG$3,'Input Data'!$BG$5-'Input Data'!$BG$3),0)*VLOOKUP($G140,'Input Data'!$BI$3:$BL$10,2,FALSE),MAX(MIN(AG140-'Input Data'!$BG$5,IF(OR($G140="M (under 21)",$G140="Z (under 21 - deferment)"),'Input Data'!$BG$6,IF($G140="H (Apprentice under 25)",'Input Data'!$BG$7,'Input Data'!$BG$8))-'Input Data'!$BG$5),0)*VLOOKUP($G140,'Input Data'!$BI$3:$BL$10,3,FALSE),MAX((AG140-IF(OR($G140="M (under 21)",$G140="Z (under 21 - deferment)"),'Input Data'!$BG$6,IF($G140="H (Apprentice under 25)",'Input Data'!$BG$7,'Input Data'!$BG$8))),0)*VLOOKUP($G140,'Input Data'!$BI$3:$BL$10,4,FALSE))))</f>
        <v>0</v>
      </c>
      <c r="AP140" s="56">
        <f>IF($G140="",0,IF(NOT(OR($G140="A - All employees not in groups B, C, J, H, M or Z",$G140="B - Married women and widows entitled to reduced NI",$G140="C - Over the State Pension age",$G140="H - Apprentice under 25",$G140="J – Deferment",$G140="M - Under 21",$G140="Z - Deferment (Under 21)",$G140="Please Enter The NI Cont. in ££££")),$G140,SUM(MAX(MIN(AH140-'Input Data'!$BG$3,'Input Data'!$BG$5-'Input Data'!$BG$3),0)*VLOOKUP($G140,'Input Data'!$BI$3:$BL$10,2,FALSE),MAX(MIN(AH140-'Input Data'!$BG$5,IF(OR($G140="M (under 21)",$G140="Z (under 21 - deferment)"),'Input Data'!$BG$6,IF($G140="H (Apprentice under 25)",'Input Data'!$BG$7,'Input Data'!$BG$8))-'Input Data'!$BG$5),0)*VLOOKUP($G140,'Input Data'!$BI$3:$BL$10,3,FALSE),MAX((AH140-IF(OR($G140="M (under 21)",$G140="Z (under 21 - deferment)"),'Input Data'!$BG$6,IF($G140="H (Apprentice under 25)",'Input Data'!$BG$7,'Input Data'!$BG$8))),0)*VLOOKUP($G140,'Input Data'!$BI$3:$BL$10,4,FALSE))))</f>
        <v>0</v>
      </c>
      <c r="AQ140" s="56">
        <f>IF($G140="",0,IF(NOT(OR($G140="A - All employees not in groups B, C, J, H, M or Z",$G140="B - Married women and widows entitled to reduced NI",$G140="C - Over the State Pension age",$G140="H - Apprentice under 25",$G140="J – Deferment",$G140="M - Under 21",$G140="Z - Deferment (Under 21)",$G140="Please Enter The NI Cont. in ££££")),$G140,SUM(MAX(MIN(AI140-'Input Data'!$BG$3,'Input Data'!$BG$5-'Input Data'!$BG$3),0)*VLOOKUP($G140,'Input Data'!$BI$3:$BL$10,2,FALSE),MAX(MIN(AI140-'Input Data'!$BG$5,IF(OR($G140="M (under 21)",$G140="Z (under 21 - deferment)"),'Input Data'!$BG$6,IF($G140="H (Apprentice under 25)",'Input Data'!$BG$7,'Input Data'!$BG$8))-'Input Data'!$BG$5),0)*VLOOKUP($G140,'Input Data'!$BI$3:$BL$10,3,FALSE),MAX((AI140-IF(OR($G140="M (under 21)",$G140="Z (under 21 - deferment)"),'Input Data'!$BG$6,IF($G140="H (Apprentice under 25)",'Input Data'!$BG$7,'Input Data'!$BG$8))),0)*VLOOKUP($G140,'Input Data'!$BI$3:$BL$10,4,FALSE))))</f>
        <v>0</v>
      </c>
      <c r="AR140" s="56">
        <f>IF($G140="",0,IF(NOT(OR($G140="A - All employees not in groups B, C, J, H, M or Z",$G140="B - Married women and widows entitled to reduced NI",$G140="C - Over the State Pension age",$G140="H - Apprentice under 25",$G140="J – Deferment",$G140="M - Under 21",$G140="Z - Deferment (Under 21)",$G140="Please Enter The NI Cont. in ££££")),$G140,SUM(MAX(MIN(AJ140-'Input Data'!$BG$3,'Input Data'!$BG$5-'Input Data'!$BG$3),0)*VLOOKUP($G140,'Input Data'!$BI$3:$BL$10,2,FALSE),MAX(MIN(AJ140-'Input Data'!$BG$5,IF(OR($G140="M (under 21)",$G140="Z (under 21 - deferment)"),'Input Data'!$BG$6,IF($G140="H (Apprentice under 25)",'Input Data'!$BG$7,'Input Data'!$BG$8))-'Input Data'!$BG$5),0)*VLOOKUP($G140,'Input Data'!$BI$3:$BL$10,3,FALSE),MAX((AJ140-IF(OR($G140="M (under 21)",$G140="Z (under 21 - deferment)"),'Input Data'!$BG$6,IF($G140="H (Apprentice under 25)",'Input Data'!$BG$7,'Input Data'!$BG$8))),0)*VLOOKUP($G140,'Input Data'!$BI$3:$BL$10,4,FALSE))))</f>
        <v>0</v>
      </c>
      <c r="AS140" s="56">
        <f>AC140*$F140</f>
        <v>0</v>
      </c>
      <c r="AT140" s="56">
        <f>AD140*$F140</f>
        <v>0</v>
      </c>
      <c r="AU140" s="56">
        <f>AE140*$F140</f>
        <v>0</v>
      </c>
      <c r="AV140" s="56">
        <f>AF140*$F140</f>
        <v>0</v>
      </c>
      <c r="AW140" s="56">
        <f>AG140*$F140</f>
        <v>0</v>
      </c>
      <c r="AX140" s="56">
        <f>AH140*$F140</f>
        <v>0</v>
      </c>
      <c r="AY140" s="56">
        <f>AI140*$F140</f>
        <v>0</v>
      </c>
      <c r="AZ140" s="56">
        <f>AJ140*$F140</f>
        <v>0</v>
      </c>
    </row>
    <row r="141" spans="2:52" ht="25.5">
      <c r="B141" s="60"/>
      <c r="C141" s="57" t="s">
        <v>112</v>
      </c>
      <c r="D141" s="58"/>
      <c r="E141" s="58"/>
      <c r="F141" s="535"/>
      <c r="G141" s="693" t="s">
        <v>1149</v>
      </c>
      <c r="H141" s="65"/>
      <c r="I141" s="65"/>
      <c r="J141" s="65"/>
      <c r="K141" s="65"/>
      <c r="L141" s="65"/>
      <c r="M141" s="65"/>
      <c r="N141" s="65"/>
      <c r="O141" s="65"/>
      <c r="P141" s="29"/>
      <c r="Q141" s="597"/>
      <c r="R141" s="61"/>
      <c r="T141" s="43">
        <f>SUM(AC141,AK141,AS141)</f>
        <v>0</v>
      </c>
      <c r="U141" s="43">
        <f>SUM(AD141,AL141,AT141)</f>
        <v>0</v>
      </c>
      <c r="V141" s="43">
        <f>SUM(AE141,AM141,AU141)</f>
        <v>0</v>
      </c>
      <c r="W141" s="43">
        <f>SUM(AF141,AN141,AV141)</f>
        <v>0</v>
      </c>
      <c r="X141" s="43">
        <f>SUM(AG141,AO141,AW141)</f>
        <v>0</v>
      </c>
      <c r="Y141" s="43">
        <f>SUM(AH141,AP141,AX141)</f>
        <v>0</v>
      </c>
      <c r="Z141" s="43">
        <f>SUM(AI141,AQ141,AY141)</f>
        <v>0</v>
      </c>
      <c r="AA141" s="43">
        <f>SUM(AJ141,AR141,AZ141)</f>
        <v>0</v>
      </c>
      <c r="AC141" s="631">
        <f>SUM($D141:$E141)*H141</f>
        <v>0</v>
      </c>
      <c r="AD141" s="631">
        <f>SUM($D141:$E141)*I141</f>
        <v>0</v>
      </c>
      <c r="AE141" s="631">
        <f>SUM($D141:$E141)*J141</f>
        <v>0</v>
      </c>
      <c r="AF141" s="631">
        <f>SUM($D141:$E141)*K141</f>
        <v>0</v>
      </c>
      <c r="AG141" s="631">
        <f>SUM($D141:$E141)*L141</f>
        <v>0</v>
      </c>
      <c r="AH141" s="631">
        <f>SUM($D141:$E141)*M141</f>
        <v>0</v>
      </c>
      <c r="AI141" s="631">
        <f>SUM($D141:$E141)*N141</f>
        <v>0</v>
      </c>
      <c r="AJ141" s="631">
        <f>SUM($D141:$E141)*O141</f>
        <v>0</v>
      </c>
      <c r="AK141" s="56">
        <f>IF($G141="",0,IF(NOT(OR($G141="A - All employees not in groups B, C, J, H, M or Z",$G141="B - Married women and widows entitled to reduced NI",$G141="C - Over the State Pension age",$G141="H - Apprentice under 25",$G141="J – Deferment",$G141="M - Under 21",$G141="Z - Deferment (Under 21)",$G141="Please Enter The NI Cont. in ££££")),$G141,SUM(MAX(MIN(AC141-'Input Data'!$BG$3,'Input Data'!$BG$5-'Input Data'!$BG$3),0)*VLOOKUP($G141,'Input Data'!$BI$3:$BL$10,2,FALSE),MAX(MIN(AC141-'Input Data'!$BG$5,IF(OR($G141="M (under 21)",$G141="Z (under 21 - deferment)"),'Input Data'!$BG$6,IF($G141="H (Apprentice under 25)",'Input Data'!$BG$7,'Input Data'!$BG$8))-'Input Data'!$BG$5),0)*VLOOKUP($G141,'Input Data'!$BI$3:$BL$10,3,FALSE),MAX((AC141-IF(OR($G141="M (under 21)",$G141="Z (under 21 - deferment)"),'Input Data'!$BG$6,IF($G141="H (Apprentice under 25)",'Input Data'!$BG$7,'Input Data'!$BG$8))),0)*VLOOKUP($G141,'Input Data'!$BI$3:$BL$10,4,FALSE))))</f>
        <v>0</v>
      </c>
      <c r="AL141" s="56">
        <f>IF($G141="",0,IF(NOT(OR($G141="A - All employees not in groups B, C, J, H, M or Z",$G141="B - Married women and widows entitled to reduced NI",$G141="C - Over the State Pension age",$G141="H - Apprentice under 25",$G141="J – Deferment",$G141="M - Under 21",$G141="Z - Deferment (Under 21)",$G141="Please Enter The NI Cont. in ££££")),$G141,SUM(MAX(MIN(AD141-'Input Data'!$BG$3,'Input Data'!$BG$5-'Input Data'!$BG$3),0)*VLOOKUP($G141,'Input Data'!$BI$3:$BL$10,2,FALSE),MAX(MIN(AD141-'Input Data'!$BG$5,IF(OR($G141="M (under 21)",$G141="Z (under 21 - deferment)"),'Input Data'!$BG$6,IF($G141="H (Apprentice under 25)",'Input Data'!$BG$7,'Input Data'!$BG$8))-'Input Data'!$BG$5),0)*VLOOKUP($G141,'Input Data'!$BI$3:$BL$10,3,FALSE),MAX((AD141-IF(OR($G141="M (under 21)",$G141="Z (under 21 - deferment)"),'Input Data'!$BG$6,IF($G141="H (Apprentice under 25)",'Input Data'!$BG$7,'Input Data'!$BG$8))),0)*VLOOKUP($G141,'Input Data'!$BI$3:$BL$10,4,FALSE))))</f>
        <v>0</v>
      </c>
      <c r="AM141" s="56">
        <f>IF($G141="",0,IF(NOT(OR($G141="A - All employees not in groups B, C, J, H, M or Z",$G141="B - Married women and widows entitled to reduced NI",$G141="C - Over the State Pension age",$G141="H - Apprentice under 25",$G141="J – Deferment",$G141="M - Under 21",$G141="Z - Deferment (Under 21)",$G141="Please Enter The NI Cont. in ££££")),$G141,SUM(MAX(MIN(AE141-'Input Data'!$BG$3,'Input Data'!$BG$5-'Input Data'!$BG$3),0)*VLOOKUP($G141,'Input Data'!$BI$3:$BL$10,2,FALSE),MAX(MIN(AE141-'Input Data'!$BG$5,IF(OR($G141="M (under 21)",$G141="Z (under 21 - deferment)"),'Input Data'!$BG$6,IF($G141="H (Apprentice under 25)",'Input Data'!$BG$7,'Input Data'!$BG$8))-'Input Data'!$BG$5),0)*VLOOKUP($G141,'Input Data'!$BI$3:$BL$10,3,FALSE),MAX((AE141-IF(OR($G141="M (under 21)",$G141="Z (under 21 - deferment)"),'Input Data'!$BG$6,IF($G141="H (Apprentice under 25)",'Input Data'!$BG$7,'Input Data'!$BG$8))),0)*VLOOKUP($G141,'Input Data'!$BI$3:$BL$10,4,FALSE))))</f>
        <v>0</v>
      </c>
      <c r="AN141" s="56">
        <f>IF($G141="",0,IF(NOT(OR($G141="A - All employees not in groups B, C, J, H, M or Z",$G141="B - Married women and widows entitled to reduced NI",$G141="C - Over the State Pension age",$G141="H - Apprentice under 25",$G141="J – Deferment",$G141="M - Under 21",$G141="Z - Deferment (Under 21)",$G141="Please Enter The NI Cont. in ££££")),$G141,SUM(MAX(MIN(AF141-'Input Data'!$BG$3,'Input Data'!$BG$5-'Input Data'!$BG$3),0)*VLOOKUP($G141,'Input Data'!$BI$3:$BL$10,2,FALSE),MAX(MIN(AF141-'Input Data'!$BG$5,IF(OR($G141="M (under 21)",$G141="Z (under 21 - deferment)"),'Input Data'!$BG$6,IF($G141="H (Apprentice under 25)",'Input Data'!$BG$7,'Input Data'!$BG$8))-'Input Data'!$BG$5),0)*VLOOKUP($G141,'Input Data'!$BI$3:$BL$10,3,FALSE),MAX((AF141-IF(OR($G141="M (under 21)",$G141="Z (under 21 - deferment)"),'Input Data'!$BG$6,IF($G141="H (Apprentice under 25)",'Input Data'!$BG$7,'Input Data'!$BG$8))),0)*VLOOKUP($G141,'Input Data'!$BI$3:$BL$10,4,FALSE))))</f>
        <v>0</v>
      </c>
      <c r="AO141" s="56">
        <f>IF($G141="",0,IF(NOT(OR($G141="A - All employees not in groups B, C, J, H, M or Z",$G141="B - Married women and widows entitled to reduced NI",$G141="C - Over the State Pension age",$G141="H - Apprentice under 25",$G141="J – Deferment",$G141="M - Under 21",$G141="Z - Deferment (Under 21)",$G141="Please Enter The NI Cont. in ££££")),$G141,SUM(MAX(MIN(AG141-'Input Data'!$BG$3,'Input Data'!$BG$5-'Input Data'!$BG$3),0)*VLOOKUP($G141,'Input Data'!$BI$3:$BL$10,2,FALSE),MAX(MIN(AG141-'Input Data'!$BG$5,IF(OR($G141="M (under 21)",$G141="Z (under 21 - deferment)"),'Input Data'!$BG$6,IF($G141="H (Apprentice under 25)",'Input Data'!$BG$7,'Input Data'!$BG$8))-'Input Data'!$BG$5),0)*VLOOKUP($G141,'Input Data'!$BI$3:$BL$10,3,FALSE),MAX((AG141-IF(OR($G141="M (under 21)",$G141="Z (under 21 - deferment)"),'Input Data'!$BG$6,IF($G141="H (Apprentice under 25)",'Input Data'!$BG$7,'Input Data'!$BG$8))),0)*VLOOKUP($G141,'Input Data'!$BI$3:$BL$10,4,FALSE))))</f>
        <v>0</v>
      </c>
      <c r="AP141" s="56">
        <f>IF($G141="",0,IF(NOT(OR($G141="A - All employees not in groups B, C, J, H, M or Z",$G141="B - Married women and widows entitled to reduced NI",$G141="C - Over the State Pension age",$G141="H - Apprentice under 25",$G141="J – Deferment",$G141="M - Under 21",$G141="Z - Deferment (Under 21)",$G141="Please Enter The NI Cont. in ££££")),$G141,SUM(MAX(MIN(AH141-'Input Data'!$BG$3,'Input Data'!$BG$5-'Input Data'!$BG$3),0)*VLOOKUP($G141,'Input Data'!$BI$3:$BL$10,2,FALSE),MAX(MIN(AH141-'Input Data'!$BG$5,IF(OR($G141="M (under 21)",$G141="Z (under 21 - deferment)"),'Input Data'!$BG$6,IF($G141="H (Apprentice under 25)",'Input Data'!$BG$7,'Input Data'!$BG$8))-'Input Data'!$BG$5),0)*VLOOKUP($G141,'Input Data'!$BI$3:$BL$10,3,FALSE),MAX((AH141-IF(OR($G141="M (under 21)",$G141="Z (under 21 - deferment)"),'Input Data'!$BG$6,IF($G141="H (Apprentice under 25)",'Input Data'!$BG$7,'Input Data'!$BG$8))),0)*VLOOKUP($G141,'Input Data'!$BI$3:$BL$10,4,FALSE))))</f>
        <v>0</v>
      </c>
      <c r="AQ141" s="56">
        <f>IF($G141="",0,IF(NOT(OR($G141="A - All employees not in groups B, C, J, H, M or Z",$G141="B - Married women and widows entitled to reduced NI",$G141="C - Over the State Pension age",$G141="H - Apprentice under 25",$G141="J – Deferment",$G141="M - Under 21",$G141="Z - Deferment (Under 21)",$G141="Please Enter The NI Cont. in ££££")),$G141,SUM(MAX(MIN(AI141-'Input Data'!$BG$3,'Input Data'!$BG$5-'Input Data'!$BG$3),0)*VLOOKUP($G141,'Input Data'!$BI$3:$BL$10,2,FALSE),MAX(MIN(AI141-'Input Data'!$BG$5,IF(OR($G141="M (under 21)",$G141="Z (under 21 - deferment)"),'Input Data'!$BG$6,IF($G141="H (Apprentice under 25)",'Input Data'!$BG$7,'Input Data'!$BG$8))-'Input Data'!$BG$5),0)*VLOOKUP($G141,'Input Data'!$BI$3:$BL$10,3,FALSE),MAX((AI141-IF(OR($G141="M (under 21)",$G141="Z (under 21 - deferment)"),'Input Data'!$BG$6,IF($G141="H (Apprentice under 25)",'Input Data'!$BG$7,'Input Data'!$BG$8))),0)*VLOOKUP($G141,'Input Data'!$BI$3:$BL$10,4,FALSE))))</f>
        <v>0</v>
      </c>
      <c r="AR141" s="56">
        <f>IF($G141="",0,IF(NOT(OR($G141="A - All employees not in groups B, C, J, H, M or Z",$G141="B - Married women and widows entitled to reduced NI",$G141="C - Over the State Pension age",$G141="H - Apprentice under 25",$G141="J – Deferment",$G141="M - Under 21",$G141="Z - Deferment (Under 21)",$G141="Please Enter The NI Cont. in ££££")),$G141,SUM(MAX(MIN(AJ141-'Input Data'!$BG$3,'Input Data'!$BG$5-'Input Data'!$BG$3),0)*VLOOKUP($G141,'Input Data'!$BI$3:$BL$10,2,FALSE),MAX(MIN(AJ141-'Input Data'!$BG$5,IF(OR($G141="M (under 21)",$G141="Z (under 21 - deferment)"),'Input Data'!$BG$6,IF($G141="H (Apprentice under 25)",'Input Data'!$BG$7,'Input Data'!$BG$8))-'Input Data'!$BG$5),0)*VLOOKUP($G141,'Input Data'!$BI$3:$BL$10,3,FALSE),MAX((AJ141-IF(OR($G141="M (under 21)",$G141="Z (under 21 - deferment)"),'Input Data'!$BG$6,IF($G141="H (Apprentice under 25)",'Input Data'!$BG$7,'Input Data'!$BG$8))),0)*VLOOKUP($G141,'Input Data'!$BI$3:$BL$10,4,FALSE))))</f>
        <v>0</v>
      </c>
      <c r="AS141" s="56">
        <f>AC141*$F141</f>
        <v>0</v>
      </c>
      <c r="AT141" s="56">
        <f>AD141*$F141</f>
        <v>0</v>
      </c>
      <c r="AU141" s="56">
        <f>AE141*$F141</f>
        <v>0</v>
      </c>
      <c r="AV141" s="56">
        <f>AF141*$F141</f>
        <v>0</v>
      </c>
      <c r="AW141" s="56">
        <f>AG141*$F141</f>
        <v>0</v>
      </c>
      <c r="AX141" s="56">
        <f>AH141*$F141</f>
        <v>0</v>
      </c>
      <c r="AY141" s="56">
        <f>AI141*$F141</f>
        <v>0</v>
      </c>
      <c r="AZ141" s="56">
        <f>AJ141*$F141</f>
        <v>0</v>
      </c>
    </row>
    <row r="142" spans="2:52" ht="25.5">
      <c r="B142" s="60"/>
      <c r="C142" s="57" t="s">
        <v>113</v>
      </c>
      <c r="D142" s="58"/>
      <c r="E142" s="58"/>
      <c r="F142" s="535"/>
      <c r="G142" s="693" t="s">
        <v>1149</v>
      </c>
      <c r="H142" s="65"/>
      <c r="I142" s="65"/>
      <c r="J142" s="65"/>
      <c r="K142" s="65"/>
      <c r="L142" s="65"/>
      <c r="M142" s="65"/>
      <c r="N142" s="65"/>
      <c r="O142" s="65"/>
      <c r="P142" s="29"/>
      <c r="Q142" s="597"/>
      <c r="R142" s="61"/>
      <c r="T142" s="43">
        <f>SUM(AC142,AK142,AS142)</f>
        <v>0</v>
      </c>
      <c r="U142" s="43">
        <f>SUM(AD142,AL142,AT142)</f>
        <v>0</v>
      </c>
      <c r="V142" s="43">
        <f>SUM(AE142,AM142,AU142)</f>
        <v>0</v>
      </c>
      <c r="W142" s="43">
        <f>SUM(AF142,AN142,AV142)</f>
        <v>0</v>
      </c>
      <c r="X142" s="43">
        <f>SUM(AG142,AO142,AW142)</f>
        <v>0</v>
      </c>
      <c r="Y142" s="43">
        <f>SUM(AH142,AP142,AX142)</f>
        <v>0</v>
      </c>
      <c r="Z142" s="43">
        <f>SUM(AI142,AQ142,AY142)</f>
        <v>0</v>
      </c>
      <c r="AA142" s="43">
        <f>SUM(AJ142,AR142,AZ142)</f>
        <v>0</v>
      </c>
      <c r="AC142" s="631">
        <f>SUM($D142:$E142)*H142</f>
        <v>0</v>
      </c>
      <c r="AD142" s="631">
        <f>SUM($D142:$E142)*I142</f>
        <v>0</v>
      </c>
      <c r="AE142" s="631">
        <f>SUM($D142:$E142)*J142</f>
        <v>0</v>
      </c>
      <c r="AF142" s="631">
        <f>SUM($D142:$E142)*K142</f>
        <v>0</v>
      </c>
      <c r="AG142" s="631">
        <f>SUM($D142:$E142)*L142</f>
        <v>0</v>
      </c>
      <c r="AH142" s="631">
        <f>SUM($D142:$E142)*M142</f>
        <v>0</v>
      </c>
      <c r="AI142" s="631">
        <f>SUM($D142:$E142)*N142</f>
        <v>0</v>
      </c>
      <c r="AJ142" s="631">
        <f>SUM($D142:$E142)*O142</f>
        <v>0</v>
      </c>
      <c r="AK142" s="56">
        <f>IF($G142="",0,IF(NOT(OR($G142="A - All employees not in groups B, C, J, H, M or Z",$G142="B - Married women and widows entitled to reduced NI",$G142="C - Over the State Pension age",$G142="H - Apprentice under 25",$G142="J – Deferment",$G142="M - Under 21",$G142="Z - Deferment (Under 21)",$G142="Please Enter The NI Cont. in ££££")),$G142,SUM(MAX(MIN(AC142-'Input Data'!$BG$3,'Input Data'!$BG$5-'Input Data'!$BG$3),0)*VLOOKUP($G142,'Input Data'!$BI$3:$BL$10,2,FALSE),MAX(MIN(AC142-'Input Data'!$BG$5,IF(OR($G142="M (under 21)",$G142="Z (under 21 - deferment)"),'Input Data'!$BG$6,IF($G142="H (Apprentice under 25)",'Input Data'!$BG$7,'Input Data'!$BG$8))-'Input Data'!$BG$5),0)*VLOOKUP($G142,'Input Data'!$BI$3:$BL$10,3,FALSE),MAX((AC142-IF(OR($G142="M (under 21)",$G142="Z (under 21 - deferment)"),'Input Data'!$BG$6,IF($G142="H (Apprentice under 25)",'Input Data'!$BG$7,'Input Data'!$BG$8))),0)*VLOOKUP($G142,'Input Data'!$BI$3:$BL$10,4,FALSE))))</f>
        <v>0</v>
      </c>
      <c r="AL142" s="56">
        <f>IF($G142="",0,IF(NOT(OR($G142="A - All employees not in groups B, C, J, H, M or Z",$G142="B - Married women and widows entitled to reduced NI",$G142="C - Over the State Pension age",$G142="H - Apprentice under 25",$G142="J – Deferment",$G142="M - Under 21",$G142="Z - Deferment (Under 21)",$G142="Please Enter The NI Cont. in ££££")),$G142,SUM(MAX(MIN(AD142-'Input Data'!$BG$3,'Input Data'!$BG$5-'Input Data'!$BG$3),0)*VLOOKUP($G142,'Input Data'!$BI$3:$BL$10,2,FALSE),MAX(MIN(AD142-'Input Data'!$BG$5,IF(OR($G142="M (under 21)",$G142="Z (under 21 - deferment)"),'Input Data'!$BG$6,IF($G142="H (Apprentice under 25)",'Input Data'!$BG$7,'Input Data'!$BG$8))-'Input Data'!$BG$5),0)*VLOOKUP($G142,'Input Data'!$BI$3:$BL$10,3,FALSE),MAX((AD142-IF(OR($G142="M (under 21)",$G142="Z (under 21 - deferment)"),'Input Data'!$BG$6,IF($G142="H (Apprentice under 25)",'Input Data'!$BG$7,'Input Data'!$BG$8))),0)*VLOOKUP($G142,'Input Data'!$BI$3:$BL$10,4,FALSE))))</f>
        <v>0</v>
      </c>
      <c r="AM142" s="56">
        <f>IF($G142="",0,IF(NOT(OR($G142="A - All employees not in groups B, C, J, H, M or Z",$G142="B - Married women and widows entitled to reduced NI",$G142="C - Over the State Pension age",$G142="H - Apprentice under 25",$G142="J – Deferment",$G142="M - Under 21",$G142="Z - Deferment (Under 21)",$G142="Please Enter The NI Cont. in ££££")),$G142,SUM(MAX(MIN(AE142-'Input Data'!$BG$3,'Input Data'!$BG$5-'Input Data'!$BG$3),0)*VLOOKUP($G142,'Input Data'!$BI$3:$BL$10,2,FALSE),MAX(MIN(AE142-'Input Data'!$BG$5,IF(OR($G142="M (under 21)",$G142="Z (under 21 - deferment)"),'Input Data'!$BG$6,IF($G142="H (Apprentice under 25)",'Input Data'!$BG$7,'Input Data'!$BG$8))-'Input Data'!$BG$5),0)*VLOOKUP($G142,'Input Data'!$BI$3:$BL$10,3,FALSE),MAX((AE142-IF(OR($G142="M (under 21)",$G142="Z (under 21 - deferment)"),'Input Data'!$BG$6,IF($G142="H (Apprentice under 25)",'Input Data'!$BG$7,'Input Data'!$BG$8))),0)*VLOOKUP($G142,'Input Data'!$BI$3:$BL$10,4,FALSE))))</f>
        <v>0</v>
      </c>
      <c r="AN142" s="56">
        <f>IF($G142="",0,IF(NOT(OR($G142="A - All employees not in groups B, C, J, H, M or Z",$G142="B - Married women and widows entitled to reduced NI",$G142="C - Over the State Pension age",$G142="H - Apprentice under 25",$G142="J – Deferment",$G142="M - Under 21",$G142="Z - Deferment (Under 21)",$G142="Please Enter The NI Cont. in ££££")),$G142,SUM(MAX(MIN(AF142-'Input Data'!$BG$3,'Input Data'!$BG$5-'Input Data'!$BG$3),0)*VLOOKUP($G142,'Input Data'!$BI$3:$BL$10,2,FALSE),MAX(MIN(AF142-'Input Data'!$BG$5,IF(OR($G142="M (under 21)",$G142="Z (under 21 - deferment)"),'Input Data'!$BG$6,IF($G142="H (Apprentice under 25)",'Input Data'!$BG$7,'Input Data'!$BG$8))-'Input Data'!$BG$5),0)*VLOOKUP($G142,'Input Data'!$BI$3:$BL$10,3,FALSE),MAX((AF142-IF(OR($G142="M (under 21)",$G142="Z (under 21 - deferment)"),'Input Data'!$BG$6,IF($G142="H (Apprentice under 25)",'Input Data'!$BG$7,'Input Data'!$BG$8))),0)*VLOOKUP($G142,'Input Data'!$BI$3:$BL$10,4,FALSE))))</f>
        <v>0</v>
      </c>
      <c r="AO142" s="56">
        <f>IF($G142="",0,IF(NOT(OR($G142="A - All employees not in groups B, C, J, H, M or Z",$G142="B - Married women and widows entitled to reduced NI",$G142="C - Over the State Pension age",$G142="H - Apprentice under 25",$G142="J – Deferment",$G142="M - Under 21",$G142="Z - Deferment (Under 21)",$G142="Please Enter The NI Cont. in ££££")),$G142,SUM(MAX(MIN(AG142-'Input Data'!$BG$3,'Input Data'!$BG$5-'Input Data'!$BG$3),0)*VLOOKUP($G142,'Input Data'!$BI$3:$BL$10,2,FALSE),MAX(MIN(AG142-'Input Data'!$BG$5,IF(OR($G142="M (under 21)",$G142="Z (under 21 - deferment)"),'Input Data'!$BG$6,IF($G142="H (Apprentice under 25)",'Input Data'!$BG$7,'Input Data'!$BG$8))-'Input Data'!$BG$5),0)*VLOOKUP($G142,'Input Data'!$BI$3:$BL$10,3,FALSE),MAX((AG142-IF(OR($G142="M (under 21)",$G142="Z (under 21 - deferment)"),'Input Data'!$BG$6,IF($G142="H (Apprentice under 25)",'Input Data'!$BG$7,'Input Data'!$BG$8))),0)*VLOOKUP($G142,'Input Data'!$BI$3:$BL$10,4,FALSE))))</f>
        <v>0</v>
      </c>
      <c r="AP142" s="56">
        <f>IF($G142="",0,IF(NOT(OR($G142="A - All employees not in groups B, C, J, H, M or Z",$G142="B - Married women and widows entitled to reduced NI",$G142="C - Over the State Pension age",$G142="H - Apprentice under 25",$G142="J – Deferment",$G142="M - Under 21",$G142="Z - Deferment (Under 21)",$G142="Please Enter The NI Cont. in ££££")),$G142,SUM(MAX(MIN(AH142-'Input Data'!$BG$3,'Input Data'!$BG$5-'Input Data'!$BG$3),0)*VLOOKUP($G142,'Input Data'!$BI$3:$BL$10,2,FALSE),MAX(MIN(AH142-'Input Data'!$BG$5,IF(OR($G142="M (under 21)",$G142="Z (under 21 - deferment)"),'Input Data'!$BG$6,IF($G142="H (Apprentice under 25)",'Input Data'!$BG$7,'Input Data'!$BG$8))-'Input Data'!$BG$5),0)*VLOOKUP($G142,'Input Data'!$BI$3:$BL$10,3,FALSE),MAX((AH142-IF(OR($G142="M (under 21)",$G142="Z (under 21 - deferment)"),'Input Data'!$BG$6,IF($G142="H (Apprentice under 25)",'Input Data'!$BG$7,'Input Data'!$BG$8))),0)*VLOOKUP($G142,'Input Data'!$BI$3:$BL$10,4,FALSE))))</f>
        <v>0</v>
      </c>
      <c r="AQ142" s="56">
        <f>IF($G142="",0,IF(NOT(OR($G142="A - All employees not in groups B, C, J, H, M or Z",$G142="B - Married women and widows entitled to reduced NI",$G142="C - Over the State Pension age",$G142="H - Apprentice under 25",$G142="J – Deferment",$G142="M - Under 21",$G142="Z - Deferment (Under 21)",$G142="Please Enter The NI Cont. in ££££")),$G142,SUM(MAX(MIN(AI142-'Input Data'!$BG$3,'Input Data'!$BG$5-'Input Data'!$BG$3),0)*VLOOKUP($G142,'Input Data'!$BI$3:$BL$10,2,FALSE),MAX(MIN(AI142-'Input Data'!$BG$5,IF(OR($G142="M (under 21)",$G142="Z (under 21 - deferment)"),'Input Data'!$BG$6,IF($G142="H (Apprentice under 25)",'Input Data'!$BG$7,'Input Data'!$BG$8))-'Input Data'!$BG$5),0)*VLOOKUP($G142,'Input Data'!$BI$3:$BL$10,3,FALSE),MAX((AI142-IF(OR($G142="M (under 21)",$G142="Z (under 21 - deferment)"),'Input Data'!$BG$6,IF($G142="H (Apprentice under 25)",'Input Data'!$BG$7,'Input Data'!$BG$8))),0)*VLOOKUP($G142,'Input Data'!$BI$3:$BL$10,4,FALSE))))</f>
        <v>0</v>
      </c>
      <c r="AR142" s="56">
        <f>IF($G142="",0,IF(NOT(OR($G142="A - All employees not in groups B, C, J, H, M or Z",$G142="B - Married women and widows entitled to reduced NI",$G142="C - Over the State Pension age",$G142="H - Apprentice under 25",$G142="J – Deferment",$G142="M - Under 21",$G142="Z - Deferment (Under 21)",$G142="Please Enter The NI Cont. in ££££")),$G142,SUM(MAX(MIN(AJ142-'Input Data'!$BG$3,'Input Data'!$BG$5-'Input Data'!$BG$3),0)*VLOOKUP($G142,'Input Data'!$BI$3:$BL$10,2,FALSE),MAX(MIN(AJ142-'Input Data'!$BG$5,IF(OR($G142="M (under 21)",$G142="Z (under 21 - deferment)"),'Input Data'!$BG$6,IF($G142="H (Apprentice under 25)",'Input Data'!$BG$7,'Input Data'!$BG$8))-'Input Data'!$BG$5),0)*VLOOKUP($G142,'Input Data'!$BI$3:$BL$10,3,FALSE),MAX((AJ142-IF(OR($G142="M (under 21)",$G142="Z (under 21 - deferment)"),'Input Data'!$BG$6,IF($G142="H (Apprentice under 25)",'Input Data'!$BG$7,'Input Data'!$BG$8))),0)*VLOOKUP($G142,'Input Data'!$BI$3:$BL$10,4,FALSE))))</f>
        <v>0</v>
      </c>
      <c r="AS142" s="56">
        <f>AC142*$F142</f>
        <v>0</v>
      </c>
      <c r="AT142" s="56">
        <f>AD142*$F142</f>
        <v>0</v>
      </c>
      <c r="AU142" s="56">
        <f>AE142*$F142</f>
        <v>0</v>
      </c>
      <c r="AV142" s="56">
        <f>AF142*$F142</f>
        <v>0</v>
      </c>
      <c r="AW142" s="56">
        <f>AG142*$F142</f>
        <v>0</v>
      </c>
      <c r="AX142" s="56">
        <f>AH142*$F142</f>
        <v>0</v>
      </c>
      <c r="AY142" s="56">
        <f>AI142*$F142</f>
        <v>0</v>
      </c>
      <c r="AZ142" s="56">
        <f>AJ142*$F142</f>
        <v>0</v>
      </c>
    </row>
    <row r="143" spans="2:52" ht="25.5">
      <c r="B143" s="60"/>
      <c r="C143" s="57" t="s">
        <v>114</v>
      </c>
      <c r="D143" s="58"/>
      <c r="E143" s="58"/>
      <c r="F143" s="535"/>
      <c r="G143" s="693" t="s">
        <v>1149</v>
      </c>
      <c r="H143" s="65"/>
      <c r="I143" s="65"/>
      <c r="J143" s="65"/>
      <c r="K143" s="65"/>
      <c r="L143" s="65"/>
      <c r="M143" s="65"/>
      <c r="N143" s="65"/>
      <c r="O143" s="65"/>
      <c r="P143" s="29"/>
      <c r="Q143" s="597"/>
      <c r="R143" s="61"/>
      <c r="T143" s="43">
        <f>SUM(AC143,AK143,AS143)</f>
        <v>0</v>
      </c>
      <c r="U143" s="43">
        <f>SUM(AD143,AL143,AT143)</f>
        <v>0</v>
      </c>
      <c r="V143" s="43">
        <f>SUM(AE143,AM143,AU143)</f>
        <v>0</v>
      </c>
      <c r="W143" s="43">
        <f>SUM(AF143,AN143,AV143)</f>
        <v>0</v>
      </c>
      <c r="X143" s="43">
        <f>SUM(AG143,AO143,AW143)</f>
        <v>0</v>
      </c>
      <c r="Y143" s="43">
        <f>SUM(AH143,AP143,AX143)</f>
        <v>0</v>
      </c>
      <c r="Z143" s="43">
        <f>SUM(AI143,AQ143,AY143)</f>
        <v>0</v>
      </c>
      <c r="AA143" s="43">
        <f>SUM(AJ143,AR143,AZ143)</f>
        <v>0</v>
      </c>
      <c r="AC143" s="631">
        <f>SUM($D143:$E143)*H143</f>
        <v>0</v>
      </c>
      <c r="AD143" s="631">
        <f>SUM($D143:$E143)*I143</f>
        <v>0</v>
      </c>
      <c r="AE143" s="631">
        <f>SUM($D143:$E143)*J143</f>
        <v>0</v>
      </c>
      <c r="AF143" s="631">
        <f>SUM($D143:$E143)*K143</f>
        <v>0</v>
      </c>
      <c r="AG143" s="631">
        <f>SUM($D143:$E143)*L143</f>
        <v>0</v>
      </c>
      <c r="AH143" s="631">
        <f>SUM($D143:$E143)*M143</f>
        <v>0</v>
      </c>
      <c r="AI143" s="631">
        <f>SUM($D143:$E143)*N143</f>
        <v>0</v>
      </c>
      <c r="AJ143" s="631">
        <f>SUM($D143:$E143)*O143</f>
        <v>0</v>
      </c>
      <c r="AK143" s="56">
        <f>IF($G143="",0,IF(NOT(OR($G143="A - All employees not in groups B, C, J, H, M or Z",$G143="B - Married women and widows entitled to reduced NI",$G143="C - Over the State Pension age",$G143="H - Apprentice under 25",$G143="J – Deferment",$G143="M - Under 21",$G143="Z - Deferment (Under 21)",$G143="Please Enter The NI Cont. in ££££")),$G143,SUM(MAX(MIN(AC143-'Input Data'!$BG$3,'Input Data'!$BG$5-'Input Data'!$BG$3),0)*VLOOKUP($G143,'Input Data'!$BI$3:$BL$10,2,FALSE),MAX(MIN(AC143-'Input Data'!$BG$5,IF(OR($G143="M (under 21)",$G143="Z (under 21 - deferment)"),'Input Data'!$BG$6,IF($G143="H (Apprentice under 25)",'Input Data'!$BG$7,'Input Data'!$BG$8))-'Input Data'!$BG$5),0)*VLOOKUP($G143,'Input Data'!$BI$3:$BL$10,3,FALSE),MAX((AC143-IF(OR($G143="M (under 21)",$G143="Z (under 21 - deferment)"),'Input Data'!$BG$6,IF($G143="H (Apprentice under 25)",'Input Data'!$BG$7,'Input Data'!$BG$8))),0)*VLOOKUP($G143,'Input Data'!$BI$3:$BL$10,4,FALSE))))</f>
        <v>0</v>
      </c>
      <c r="AL143" s="56">
        <f>IF($G143="",0,IF(NOT(OR($G143="A - All employees not in groups B, C, J, H, M or Z",$G143="B - Married women and widows entitled to reduced NI",$G143="C - Over the State Pension age",$G143="H - Apprentice under 25",$G143="J – Deferment",$G143="M - Under 21",$G143="Z - Deferment (Under 21)",$G143="Please Enter The NI Cont. in ££££")),$G143,SUM(MAX(MIN(AD143-'Input Data'!$BG$3,'Input Data'!$BG$5-'Input Data'!$BG$3),0)*VLOOKUP($G143,'Input Data'!$BI$3:$BL$10,2,FALSE),MAX(MIN(AD143-'Input Data'!$BG$5,IF(OR($G143="M (under 21)",$G143="Z (under 21 - deferment)"),'Input Data'!$BG$6,IF($G143="H (Apprentice under 25)",'Input Data'!$BG$7,'Input Data'!$BG$8))-'Input Data'!$BG$5),0)*VLOOKUP($G143,'Input Data'!$BI$3:$BL$10,3,FALSE),MAX((AD143-IF(OR($G143="M (under 21)",$G143="Z (under 21 - deferment)"),'Input Data'!$BG$6,IF($G143="H (Apprentice under 25)",'Input Data'!$BG$7,'Input Data'!$BG$8))),0)*VLOOKUP($G143,'Input Data'!$BI$3:$BL$10,4,FALSE))))</f>
        <v>0</v>
      </c>
      <c r="AM143" s="56">
        <f>IF($G143="",0,IF(NOT(OR($G143="A - All employees not in groups B, C, J, H, M or Z",$G143="B - Married women and widows entitled to reduced NI",$G143="C - Over the State Pension age",$G143="H - Apprentice under 25",$G143="J – Deferment",$G143="M - Under 21",$G143="Z - Deferment (Under 21)",$G143="Please Enter The NI Cont. in ££££")),$G143,SUM(MAX(MIN(AE143-'Input Data'!$BG$3,'Input Data'!$BG$5-'Input Data'!$BG$3),0)*VLOOKUP($G143,'Input Data'!$BI$3:$BL$10,2,FALSE),MAX(MIN(AE143-'Input Data'!$BG$5,IF(OR($G143="M (under 21)",$G143="Z (under 21 - deferment)"),'Input Data'!$BG$6,IF($G143="H (Apprentice under 25)",'Input Data'!$BG$7,'Input Data'!$BG$8))-'Input Data'!$BG$5),0)*VLOOKUP($G143,'Input Data'!$BI$3:$BL$10,3,FALSE),MAX((AE143-IF(OR($G143="M (under 21)",$G143="Z (under 21 - deferment)"),'Input Data'!$BG$6,IF($G143="H (Apprentice under 25)",'Input Data'!$BG$7,'Input Data'!$BG$8))),0)*VLOOKUP($G143,'Input Data'!$BI$3:$BL$10,4,FALSE))))</f>
        <v>0</v>
      </c>
      <c r="AN143" s="56">
        <f>IF($G143="",0,IF(NOT(OR($G143="A - All employees not in groups B, C, J, H, M or Z",$G143="B - Married women and widows entitled to reduced NI",$G143="C - Over the State Pension age",$G143="H - Apprentice under 25",$G143="J – Deferment",$G143="M - Under 21",$G143="Z - Deferment (Under 21)",$G143="Please Enter The NI Cont. in ££££")),$G143,SUM(MAX(MIN(AF143-'Input Data'!$BG$3,'Input Data'!$BG$5-'Input Data'!$BG$3),0)*VLOOKUP($G143,'Input Data'!$BI$3:$BL$10,2,FALSE),MAX(MIN(AF143-'Input Data'!$BG$5,IF(OR($G143="M (under 21)",$G143="Z (under 21 - deferment)"),'Input Data'!$BG$6,IF($G143="H (Apprentice under 25)",'Input Data'!$BG$7,'Input Data'!$BG$8))-'Input Data'!$BG$5),0)*VLOOKUP($G143,'Input Data'!$BI$3:$BL$10,3,FALSE),MAX((AF143-IF(OR($G143="M (under 21)",$G143="Z (under 21 - deferment)"),'Input Data'!$BG$6,IF($G143="H (Apprentice under 25)",'Input Data'!$BG$7,'Input Data'!$BG$8))),0)*VLOOKUP($G143,'Input Data'!$BI$3:$BL$10,4,FALSE))))</f>
        <v>0</v>
      </c>
      <c r="AO143" s="56">
        <f>IF($G143="",0,IF(NOT(OR($G143="A - All employees not in groups B, C, J, H, M or Z",$G143="B - Married women and widows entitled to reduced NI",$G143="C - Over the State Pension age",$G143="H - Apprentice under 25",$G143="J – Deferment",$G143="M - Under 21",$G143="Z - Deferment (Under 21)",$G143="Please Enter The NI Cont. in ££££")),$G143,SUM(MAX(MIN(AG143-'Input Data'!$BG$3,'Input Data'!$BG$5-'Input Data'!$BG$3),0)*VLOOKUP($G143,'Input Data'!$BI$3:$BL$10,2,FALSE),MAX(MIN(AG143-'Input Data'!$BG$5,IF(OR($G143="M (under 21)",$G143="Z (under 21 - deferment)"),'Input Data'!$BG$6,IF($G143="H (Apprentice under 25)",'Input Data'!$BG$7,'Input Data'!$BG$8))-'Input Data'!$BG$5),0)*VLOOKUP($G143,'Input Data'!$BI$3:$BL$10,3,FALSE),MAX((AG143-IF(OR($G143="M (under 21)",$G143="Z (under 21 - deferment)"),'Input Data'!$BG$6,IF($G143="H (Apprentice under 25)",'Input Data'!$BG$7,'Input Data'!$BG$8))),0)*VLOOKUP($G143,'Input Data'!$BI$3:$BL$10,4,FALSE))))</f>
        <v>0</v>
      </c>
      <c r="AP143" s="56">
        <f>IF($G143="",0,IF(NOT(OR($G143="A - All employees not in groups B, C, J, H, M or Z",$G143="B - Married women and widows entitled to reduced NI",$G143="C - Over the State Pension age",$G143="H - Apprentice under 25",$G143="J – Deferment",$G143="M - Under 21",$G143="Z - Deferment (Under 21)",$G143="Please Enter The NI Cont. in ££££")),$G143,SUM(MAX(MIN(AH143-'Input Data'!$BG$3,'Input Data'!$BG$5-'Input Data'!$BG$3),0)*VLOOKUP($G143,'Input Data'!$BI$3:$BL$10,2,FALSE),MAX(MIN(AH143-'Input Data'!$BG$5,IF(OR($G143="M (under 21)",$G143="Z (under 21 - deferment)"),'Input Data'!$BG$6,IF($G143="H (Apprentice under 25)",'Input Data'!$BG$7,'Input Data'!$BG$8))-'Input Data'!$BG$5),0)*VLOOKUP($G143,'Input Data'!$BI$3:$BL$10,3,FALSE),MAX((AH143-IF(OR($G143="M (under 21)",$G143="Z (under 21 - deferment)"),'Input Data'!$BG$6,IF($G143="H (Apprentice under 25)",'Input Data'!$BG$7,'Input Data'!$BG$8))),0)*VLOOKUP($G143,'Input Data'!$BI$3:$BL$10,4,FALSE))))</f>
        <v>0</v>
      </c>
      <c r="AQ143" s="56">
        <f>IF($G143="",0,IF(NOT(OR($G143="A - All employees not in groups B, C, J, H, M or Z",$G143="B - Married women and widows entitled to reduced NI",$G143="C - Over the State Pension age",$G143="H - Apprentice under 25",$G143="J – Deferment",$G143="M - Under 21",$G143="Z - Deferment (Under 21)",$G143="Please Enter The NI Cont. in ££££")),$G143,SUM(MAX(MIN(AI143-'Input Data'!$BG$3,'Input Data'!$BG$5-'Input Data'!$BG$3),0)*VLOOKUP($G143,'Input Data'!$BI$3:$BL$10,2,FALSE),MAX(MIN(AI143-'Input Data'!$BG$5,IF(OR($G143="M (under 21)",$G143="Z (under 21 - deferment)"),'Input Data'!$BG$6,IF($G143="H (Apprentice under 25)",'Input Data'!$BG$7,'Input Data'!$BG$8))-'Input Data'!$BG$5),0)*VLOOKUP($G143,'Input Data'!$BI$3:$BL$10,3,FALSE),MAX((AI143-IF(OR($G143="M (under 21)",$G143="Z (under 21 - deferment)"),'Input Data'!$BG$6,IF($G143="H (Apprentice under 25)",'Input Data'!$BG$7,'Input Data'!$BG$8))),0)*VLOOKUP($G143,'Input Data'!$BI$3:$BL$10,4,FALSE))))</f>
        <v>0</v>
      </c>
      <c r="AR143" s="56">
        <f>IF($G143="",0,IF(NOT(OR($G143="A - All employees not in groups B, C, J, H, M or Z",$G143="B - Married women and widows entitled to reduced NI",$G143="C - Over the State Pension age",$G143="H - Apprentice under 25",$G143="J – Deferment",$G143="M - Under 21",$G143="Z - Deferment (Under 21)",$G143="Please Enter The NI Cont. in ££££")),$G143,SUM(MAX(MIN(AJ143-'Input Data'!$BG$3,'Input Data'!$BG$5-'Input Data'!$BG$3),0)*VLOOKUP($G143,'Input Data'!$BI$3:$BL$10,2,FALSE),MAX(MIN(AJ143-'Input Data'!$BG$5,IF(OR($G143="M (under 21)",$G143="Z (under 21 - deferment)"),'Input Data'!$BG$6,IF($G143="H (Apprentice under 25)",'Input Data'!$BG$7,'Input Data'!$BG$8))-'Input Data'!$BG$5),0)*VLOOKUP($G143,'Input Data'!$BI$3:$BL$10,3,FALSE),MAX((AJ143-IF(OR($G143="M (under 21)",$G143="Z (under 21 - deferment)"),'Input Data'!$BG$6,IF($G143="H (Apprentice under 25)",'Input Data'!$BG$7,'Input Data'!$BG$8))),0)*VLOOKUP($G143,'Input Data'!$BI$3:$BL$10,4,FALSE))))</f>
        <v>0</v>
      </c>
      <c r="AS143" s="56">
        <f>AC143*$F143</f>
        <v>0</v>
      </c>
      <c r="AT143" s="56">
        <f>AD143*$F143</f>
        <v>0</v>
      </c>
      <c r="AU143" s="56">
        <f>AE143*$F143</f>
        <v>0</v>
      </c>
      <c r="AV143" s="56">
        <f>AF143*$F143</f>
        <v>0</v>
      </c>
      <c r="AW143" s="56">
        <f>AG143*$F143</f>
        <v>0</v>
      </c>
      <c r="AX143" s="56">
        <f>AH143*$F143</f>
        <v>0</v>
      </c>
      <c r="AY143" s="56">
        <f>AI143*$F143</f>
        <v>0</v>
      </c>
      <c r="AZ143" s="56">
        <f>AJ143*$F143</f>
        <v>0</v>
      </c>
    </row>
    <row r="144" spans="2:52" ht="25.5">
      <c r="B144" s="60"/>
      <c r="C144" s="57" t="s">
        <v>115</v>
      </c>
      <c r="D144" s="58"/>
      <c r="E144" s="58"/>
      <c r="F144" s="535"/>
      <c r="G144" s="693" t="s">
        <v>1149</v>
      </c>
      <c r="H144" s="65"/>
      <c r="I144" s="65"/>
      <c r="J144" s="65"/>
      <c r="K144" s="65"/>
      <c r="L144" s="65"/>
      <c r="M144" s="65"/>
      <c r="N144" s="65"/>
      <c r="O144" s="65"/>
      <c r="P144" s="29"/>
      <c r="Q144" s="597"/>
      <c r="R144" s="61"/>
      <c r="T144" s="43">
        <f>SUM(AC144,AK144,AS144)</f>
        <v>0</v>
      </c>
      <c r="U144" s="43">
        <f>SUM(AD144,AL144,AT144)</f>
        <v>0</v>
      </c>
      <c r="V144" s="43">
        <f>SUM(AE144,AM144,AU144)</f>
        <v>0</v>
      </c>
      <c r="W144" s="43">
        <f>SUM(AF144,AN144,AV144)</f>
        <v>0</v>
      </c>
      <c r="X144" s="43">
        <f>SUM(AG144,AO144,AW144)</f>
        <v>0</v>
      </c>
      <c r="Y144" s="43">
        <f>SUM(AH144,AP144,AX144)</f>
        <v>0</v>
      </c>
      <c r="Z144" s="43">
        <f>SUM(AI144,AQ144,AY144)</f>
        <v>0</v>
      </c>
      <c r="AA144" s="43">
        <f>SUM(AJ144,AR144,AZ144)</f>
        <v>0</v>
      </c>
      <c r="AC144" s="631">
        <f>SUM($D144:$E144)*H144</f>
        <v>0</v>
      </c>
      <c r="AD144" s="631">
        <f>SUM($D144:$E144)*I144</f>
        <v>0</v>
      </c>
      <c r="AE144" s="631">
        <f>SUM($D144:$E144)*J144</f>
        <v>0</v>
      </c>
      <c r="AF144" s="631">
        <f>SUM($D144:$E144)*K144</f>
        <v>0</v>
      </c>
      <c r="AG144" s="631">
        <f>SUM($D144:$E144)*L144</f>
        <v>0</v>
      </c>
      <c r="AH144" s="631">
        <f>SUM($D144:$E144)*M144</f>
        <v>0</v>
      </c>
      <c r="AI144" s="631">
        <f>SUM($D144:$E144)*N144</f>
        <v>0</v>
      </c>
      <c r="AJ144" s="631">
        <f>SUM($D144:$E144)*O144</f>
        <v>0</v>
      </c>
      <c r="AK144" s="56">
        <f>IF($G144="",0,IF(NOT(OR($G144="A - All employees not in groups B, C, J, H, M or Z",$G144="B - Married women and widows entitled to reduced NI",$G144="C - Over the State Pension age",$G144="H - Apprentice under 25",$G144="J – Deferment",$G144="M - Under 21",$G144="Z - Deferment (Under 21)",$G144="Please Enter The NI Cont. in ££££")),$G144,SUM(MAX(MIN(AC144-'Input Data'!$BG$3,'Input Data'!$BG$5-'Input Data'!$BG$3),0)*VLOOKUP($G144,'Input Data'!$BI$3:$BL$10,2,FALSE),MAX(MIN(AC144-'Input Data'!$BG$5,IF(OR($G144="M (under 21)",$G144="Z (under 21 - deferment)"),'Input Data'!$BG$6,IF($G144="H (Apprentice under 25)",'Input Data'!$BG$7,'Input Data'!$BG$8))-'Input Data'!$BG$5),0)*VLOOKUP($G144,'Input Data'!$BI$3:$BL$10,3,FALSE),MAX((AC144-IF(OR($G144="M (under 21)",$G144="Z (under 21 - deferment)"),'Input Data'!$BG$6,IF($G144="H (Apprentice under 25)",'Input Data'!$BG$7,'Input Data'!$BG$8))),0)*VLOOKUP($G144,'Input Data'!$BI$3:$BL$10,4,FALSE))))</f>
        <v>0</v>
      </c>
      <c r="AL144" s="56">
        <f>IF($G144="",0,IF(NOT(OR($G144="A - All employees not in groups B, C, J, H, M or Z",$G144="B - Married women and widows entitled to reduced NI",$G144="C - Over the State Pension age",$G144="H - Apprentice under 25",$G144="J – Deferment",$G144="M - Under 21",$G144="Z - Deferment (Under 21)",$G144="Please Enter The NI Cont. in ££££")),$G144,SUM(MAX(MIN(AD144-'Input Data'!$BG$3,'Input Data'!$BG$5-'Input Data'!$BG$3),0)*VLOOKUP($G144,'Input Data'!$BI$3:$BL$10,2,FALSE),MAX(MIN(AD144-'Input Data'!$BG$5,IF(OR($G144="M (under 21)",$G144="Z (under 21 - deferment)"),'Input Data'!$BG$6,IF($G144="H (Apprentice under 25)",'Input Data'!$BG$7,'Input Data'!$BG$8))-'Input Data'!$BG$5),0)*VLOOKUP($G144,'Input Data'!$BI$3:$BL$10,3,FALSE),MAX((AD144-IF(OR($G144="M (under 21)",$G144="Z (under 21 - deferment)"),'Input Data'!$BG$6,IF($G144="H (Apprentice under 25)",'Input Data'!$BG$7,'Input Data'!$BG$8))),0)*VLOOKUP($G144,'Input Data'!$BI$3:$BL$10,4,FALSE))))</f>
        <v>0</v>
      </c>
      <c r="AM144" s="56">
        <f>IF($G144="",0,IF(NOT(OR($G144="A - All employees not in groups B, C, J, H, M or Z",$G144="B - Married women and widows entitled to reduced NI",$G144="C - Over the State Pension age",$G144="H - Apprentice under 25",$G144="J – Deferment",$G144="M - Under 21",$G144="Z - Deferment (Under 21)",$G144="Please Enter The NI Cont. in ££££")),$G144,SUM(MAX(MIN(AE144-'Input Data'!$BG$3,'Input Data'!$BG$5-'Input Data'!$BG$3),0)*VLOOKUP($G144,'Input Data'!$BI$3:$BL$10,2,FALSE),MAX(MIN(AE144-'Input Data'!$BG$5,IF(OR($G144="M (under 21)",$G144="Z (under 21 - deferment)"),'Input Data'!$BG$6,IF($G144="H (Apprentice under 25)",'Input Data'!$BG$7,'Input Data'!$BG$8))-'Input Data'!$BG$5),0)*VLOOKUP($G144,'Input Data'!$BI$3:$BL$10,3,FALSE),MAX((AE144-IF(OR($G144="M (under 21)",$G144="Z (under 21 - deferment)"),'Input Data'!$BG$6,IF($G144="H (Apprentice under 25)",'Input Data'!$BG$7,'Input Data'!$BG$8))),0)*VLOOKUP($G144,'Input Data'!$BI$3:$BL$10,4,FALSE))))</f>
        <v>0</v>
      </c>
      <c r="AN144" s="56">
        <f>IF($G144="",0,IF(NOT(OR($G144="A - All employees not in groups B, C, J, H, M or Z",$G144="B - Married women and widows entitled to reduced NI",$G144="C - Over the State Pension age",$G144="H - Apprentice under 25",$G144="J – Deferment",$G144="M - Under 21",$G144="Z - Deferment (Under 21)",$G144="Please Enter The NI Cont. in ££££")),$G144,SUM(MAX(MIN(AF144-'Input Data'!$BG$3,'Input Data'!$BG$5-'Input Data'!$BG$3),0)*VLOOKUP($G144,'Input Data'!$BI$3:$BL$10,2,FALSE),MAX(MIN(AF144-'Input Data'!$BG$5,IF(OR($G144="M (under 21)",$G144="Z (under 21 - deferment)"),'Input Data'!$BG$6,IF($G144="H (Apprentice under 25)",'Input Data'!$BG$7,'Input Data'!$BG$8))-'Input Data'!$BG$5),0)*VLOOKUP($G144,'Input Data'!$BI$3:$BL$10,3,FALSE),MAX((AF144-IF(OR($G144="M (under 21)",$G144="Z (under 21 - deferment)"),'Input Data'!$BG$6,IF($G144="H (Apprentice under 25)",'Input Data'!$BG$7,'Input Data'!$BG$8))),0)*VLOOKUP($G144,'Input Data'!$BI$3:$BL$10,4,FALSE))))</f>
        <v>0</v>
      </c>
      <c r="AO144" s="56">
        <f>IF($G144="",0,IF(NOT(OR($G144="A - All employees not in groups B, C, J, H, M or Z",$G144="B - Married women and widows entitled to reduced NI",$G144="C - Over the State Pension age",$G144="H - Apprentice under 25",$G144="J – Deferment",$G144="M - Under 21",$G144="Z - Deferment (Under 21)",$G144="Please Enter The NI Cont. in ££££")),$G144,SUM(MAX(MIN(AG144-'Input Data'!$BG$3,'Input Data'!$BG$5-'Input Data'!$BG$3),0)*VLOOKUP($G144,'Input Data'!$BI$3:$BL$10,2,FALSE),MAX(MIN(AG144-'Input Data'!$BG$5,IF(OR($G144="M (under 21)",$G144="Z (under 21 - deferment)"),'Input Data'!$BG$6,IF($G144="H (Apprentice under 25)",'Input Data'!$BG$7,'Input Data'!$BG$8))-'Input Data'!$BG$5),0)*VLOOKUP($G144,'Input Data'!$BI$3:$BL$10,3,FALSE),MAX((AG144-IF(OR($G144="M (under 21)",$G144="Z (under 21 - deferment)"),'Input Data'!$BG$6,IF($G144="H (Apprentice under 25)",'Input Data'!$BG$7,'Input Data'!$BG$8))),0)*VLOOKUP($G144,'Input Data'!$BI$3:$BL$10,4,FALSE))))</f>
        <v>0</v>
      </c>
      <c r="AP144" s="56">
        <f>IF($G144="",0,IF(NOT(OR($G144="A - All employees not in groups B, C, J, H, M or Z",$G144="B - Married women and widows entitled to reduced NI",$G144="C - Over the State Pension age",$G144="H - Apprentice under 25",$G144="J – Deferment",$G144="M - Under 21",$G144="Z - Deferment (Under 21)",$G144="Please Enter The NI Cont. in ££££")),$G144,SUM(MAX(MIN(AH144-'Input Data'!$BG$3,'Input Data'!$BG$5-'Input Data'!$BG$3),0)*VLOOKUP($G144,'Input Data'!$BI$3:$BL$10,2,FALSE),MAX(MIN(AH144-'Input Data'!$BG$5,IF(OR($G144="M (under 21)",$G144="Z (under 21 - deferment)"),'Input Data'!$BG$6,IF($G144="H (Apprentice under 25)",'Input Data'!$BG$7,'Input Data'!$BG$8))-'Input Data'!$BG$5),0)*VLOOKUP($G144,'Input Data'!$BI$3:$BL$10,3,FALSE),MAX((AH144-IF(OR($G144="M (under 21)",$G144="Z (under 21 - deferment)"),'Input Data'!$BG$6,IF($G144="H (Apprentice under 25)",'Input Data'!$BG$7,'Input Data'!$BG$8))),0)*VLOOKUP($G144,'Input Data'!$BI$3:$BL$10,4,FALSE))))</f>
        <v>0</v>
      </c>
      <c r="AQ144" s="56">
        <f>IF($G144="",0,IF(NOT(OR($G144="A - All employees not in groups B, C, J, H, M or Z",$G144="B - Married women and widows entitled to reduced NI",$G144="C - Over the State Pension age",$G144="H - Apprentice under 25",$G144="J – Deferment",$G144="M - Under 21",$G144="Z - Deferment (Under 21)",$G144="Please Enter The NI Cont. in ££££")),$G144,SUM(MAX(MIN(AI144-'Input Data'!$BG$3,'Input Data'!$BG$5-'Input Data'!$BG$3),0)*VLOOKUP($G144,'Input Data'!$BI$3:$BL$10,2,FALSE),MAX(MIN(AI144-'Input Data'!$BG$5,IF(OR($G144="M (under 21)",$G144="Z (under 21 - deferment)"),'Input Data'!$BG$6,IF($G144="H (Apprentice under 25)",'Input Data'!$BG$7,'Input Data'!$BG$8))-'Input Data'!$BG$5),0)*VLOOKUP($G144,'Input Data'!$BI$3:$BL$10,3,FALSE),MAX((AI144-IF(OR($G144="M (under 21)",$G144="Z (under 21 - deferment)"),'Input Data'!$BG$6,IF($G144="H (Apprentice under 25)",'Input Data'!$BG$7,'Input Data'!$BG$8))),0)*VLOOKUP($G144,'Input Data'!$BI$3:$BL$10,4,FALSE))))</f>
        <v>0</v>
      </c>
      <c r="AR144" s="56">
        <f>IF($G144="",0,IF(NOT(OR($G144="A - All employees not in groups B, C, J, H, M or Z",$G144="B - Married women and widows entitled to reduced NI",$G144="C - Over the State Pension age",$G144="H - Apprentice under 25",$G144="J – Deferment",$G144="M - Under 21",$G144="Z - Deferment (Under 21)",$G144="Please Enter The NI Cont. in ££££")),$G144,SUM(MAX(MIN(AJ144-'Input Data'!$BG$3,'Input Data'!$BG$5-'Input Data'!$BG$3),0)*VLOOKUP($G144,'Input Data'!$BI$3:$BL$10,2,FALSE),MAX(MIN(AJ144-'Input Data'!$BG$5,IF(OR($G144="M (under 21)",$G144="Z (under 21 - deferment)"),'Input Data'!$BG$6,IF($G144="H (Apprentice under 25)",'Input Data'!$BG$7,'Input Data'!$BG$8))-'Input Data'!$BG$5),0)*VLOOKUP($G144,'Input Data'!$BI$3:$BL$10,3,FALSE),MAX((AJ144-IF(OR($G144="M (under 21)",$G144="Z (under 21 - deferment)"),'Input Data'!$BG$6,IF($G144="H (Apprentice under 25)",'Input Data'!$BG$7,'Input Data'!$BG$8))),0)*VLOOKUP($G144,'Input Data'!$BI$3:$BL$10,4,FALSE))))</f>
        <v>0</v>
      </c>
      <c r="AS144" s="56">
        <f>AC144*$F144</f>
        <v>0</v>
      </c>
      <c r="AT144" s="56">
        <f>AD144*$F144</f>
        <v>0</v>
      </c>
      <c r="AU144" s="56">
        <f>AE144*$F144</f>
        <v>0</v>
      </c>
      <c r="AV144" s="56">
        <f>AF144*$F144</f>
        <v>0</v>
      </c>
      <c r="AW144" s="56">
        <f>AG144*$F144</f>
        <v>0</v>
      </c>
      <c r="AX144" s="56">
        <f>AH144*$F144</f>
        <v>0</v>
      </c>
      <c r="AY144" s="56">
        <f>AI144*$F144</f>
        <v>0</v>
      </c>
      <c r="AZ144" s="56">
        <f>AJ144*$F144</f>
        <v>0</v>
      </c>
    </row>
    <row r="145" spans="2:52" ht="15">
      <c r="B145" s="60"/>
      <c r="C145" s="33"/>
      <c r="D145" s="33"/>
      <c r="E145" s="33"/>
      <c r="F145" s="33"/>
      <c r="G145" s="34"/>
      <c r="H145" s="53"/>
      <c r="I145" s="53"/>
      <c r="J145" s="53"/>
      <c r="K145" s="53"/>
      <c r="L145" s="53"/>
      <c r="M145" s="53"/>
      <c r="N145" s="53"/>
      <c r="O145" s="53"/>
      <c r="P145" s="26"/>
      <c r="Q145" s="33"/>
      <c r="R145" s="61"/>
      <c r="T145"/>
      <c r="U145"/>
      <c r="V145"/>
      <c r="W145"/>
      <c r="X145"/>
      <c r="Y145"/>
      <c r="Z145"/>
      <c r="AA145"/>
      <c r="AB145"/>
      <c r="AC145" s="631"/>
      <c r="AD145" s="631"/>
      <c r="AE145" s="631"/>
      <c r="AF145" s="631"/>
      <c r="AG145" s="631"/>
      <c r="AH145" s="631"/>
      <c r="AI145" s="631"/>
      <c r="AJ145" s="631"/>
      <c r="AK145" s="56"/>
      <c r="AL145" s="56"/>
      <c r="AM145" s="56"/>
      <c r="AN145" s="56"/>
      <c r="AO145" s="56"/>
      <c r="AP145" s="56"/>
      <c r="AQ145" s="56"/>
      <c r="AR145" s="56"/>
      <c r="AS145"/>
      <c r="AT145"/>
      <c r="AU145"/>
      <c r="AV145"/>
      <c r="AW145"/>
      <c r="AX145"/>
      <c r="AY145"/>
      <c r="AZ145"/>
    </row>
    <row r="146" spans="2:52" ht="15">
      <c r="B146" s="60"/>
      <c r="C146" s="33"/>
      <c r="D146" s="33"/>
      <c r="E146" s="33"/>
      <c r="F146" s="33"/>
      <c r="G146" s="35" t="s">
        <v>1142</v>
      </c>
      <c r="H146" s="53"/>
      <c r="I146" s="53"/>
      <c r="J146" s="53"/>
      <c r="K146" s="53"/>
      <c r="L146" s="53"/>
      <c r="M146" s="53"/>
      <c r="N146" s="53"/>
      <c r="O146" s="53"/>
      <c r="P146" s="26"/>
      <c r="Q146" s="33"/>
      <c r="R146" s="61"/>
      <c r="T146"/>
      <c r="U146"/>
      <c r="V146"/>
      <c r="W146"/>
      <c r="X146"/>
      <c r="Y146"/>
      <c r="Z146"/>
      <c r="AA146"/>
      <c r="AB146"/>
      <c r="AC146" s="631"/>
      <c r="AD146" s="631"/>
      <c r="AE146" s="631"/>
      <c r="AF146" s="631"/>
      <c r="AG146" s="631"/>
      <c r="AH146" s="631"/>
      <c r="AI146" s="631"/>
      <c r="AJ146" s="631"/>
      <c r="AK146" s="56"/>
      <c r="AL146" s="56"/>
      <c r="AM146" s="56"/>
      <c r="AN146" s="56"/>
      <c r="AO146" s="56"/>
      <c r="AP146" s="56"/>
      <c r="AQ146" s="56"/>
      <c r="AR146" s="56"/>
      <c r="AS146"/>
      <c r="AT146"/>
      <c r="AU146"/>
      <c r="AV146"/>
      <c r="AW146"/>
      <c r="AX146"/>
      <c r="AY146"/>
      <c r="AZ146"/>
    </row>
    <row r="147" spans="2:52" ht="15">
      <c r="B147" s="60"/>
      <c r="C147" s="33" t="s">
        <v>127</v>
      </c>
      <c r="D147" s="33"/>
      <c r="E147" s="33"/>
      <c r="F147" s="33"/>
      <c r="G147" s="34"/>
      <c r="H147" s="53"/>
      <c r="I147" s="53"/>
      <c r="J147" s="53"/>
      <c r="K147" s="53"/>
      <c r="L147" s="53"/>
      <c r="M147" s="53"/>
      <c r="N147" s="53"/>
      <c r="O147" s="53"/>
      <c r="P147" s="26"/>
      <c r="Q147" s="33"/>
      <c r="R147" s="61"/>
      <c r="T147"/>
      <c r="U147"/>
      <c r="V147"/>
      <c r="W147"/>
      <c r="X147"/>
      <c r="Y147"/>
      <c r="Z147"/>
      <c r="AA147"/>
      <c r="AB147"/>
      <c r="AC147" s="631"/>
      <c r="AD147" s="631"/>
      <c r="AE147" s="631"/>
      <c r="AF147" s="631"/>
      <c r="AG147" s="631"/>
      <c r="AH147" s="631"/>
      <c r="AI147" s="631"/>
      <c r="AJ147" s="631"/>
      <c r="AK147" s="56"/>
      <c r="AL147" s="56"/>
      <c r="AM147" s="56"/>
      <c r="AN147" s="56"/>
      <c r="AO147" s="56"/>
      <c r="AP147" s="56"/>
      <c r="AQ147" s="56"/>
      <c r="AR147" s="56"/>
      <c r="AS147"/>
      <c r="AT147"/>
      <c r="AU147"/>
      <c r="AV147"/>
      <c r="AW147"/>
      <c r="AX147"/>
      <c r="AY147"/>
      <c r="AZ147"/>
    </row>
    <row r="148" spans="2:52" ht="25.5">
      <c r="B148" s="60"/>
      <c r="C148" s="57" t="s">
        <v>65</v>
      </c>
      <c r="D148" s="58"/>
      <c r="E148" s="58"/>
      <c r="F148" s="535"/>
      <c r="G148" s="693" t="s">
        <v>1149</v>
      </c>
      <c r="H148" s="65"/>
      <c r="I148" s="65"/>
      <c r="J148" s="65"/>
      <c r="K148" s="65"/>
      <c r="L148" s="65"/>
      <c r="M148" s="65"/>
      <c r="N148" s="65"/>
      <c r="O148" s="65"/>
      <c r="P148" s="29"/>
      <c r="Q148" s="597"/>
      <c r="R148" s="61"/>
      <c r="T148" s="43">
        <f>SUM(AC148,AK148,AS148)</f>
        <v>0</v>
      </c>
      <c r="U148" s="43">
        <f>SUM(AD148,AL148,AT148)</f>
        <v>0</v>
      </c>
      <c r="V148" s="43">
        <f>SUM(AE148,AM148,AU148)</f>
        <v>0</v>
      </c>
      <c r="W148" s="43">
        <f>SUM(AF148,AN148,AV148)</f>
        <v>0</v>
      </c>
      <c r="X148" s="43">
        <f>SUM(AG148,AO148,AW148)</f>
        <v>0</v>
      </c>
      <c r="Y148" s="43">
        <f>SUM(AH148,AP148,AX148)</f>
        <v>0</v>
      </c>
      <c r="Z148" s="43">
        <f>SUM(AI148,AQ148,AY148)</f>
        <v>0</v>
      </c>
      <c r="AA148" s="43">
        <f>SUM(AJ148,AR148,AZ148)</f>
        <v>0</v>
      </c>
      <c r="AC148" s="631">
        <f>SUM($D148:$E148)*H148</f>
        <v>0</v>
      </c>
      <c r="AD148" s="631">
        <f>SUM($D148:$E148)*I148</f>
        <v>0</v>
      </c>
      <c r="AE148" s="631">
        <f>SUM($D148:$E148)*J148</f>
        <v>0</v>
      </c>
      <c r="AF148" s="631">
        <f>SUM($D148:$E148)*K148</f>
        <v>0</v>
      </c>
      <c r="AG148" s="631">
        <f>SUM($D148:$E148)*L148</f>
        <v>0</v>
      </c>
      <c r="AH148" s="631">
        <f>SUM($D148:$E148)*M148</f>
        <v>0</v>
      </c>
      <c r="AI148" s="631">
        <f>SUM($D148:$E148)*N148</f>
        <v>0</v>
      </c>
      <c r="AJ148" s="631">
        <f>SUM($D148:$E148)*O148</f>
        <v>0</v>
      </c>
      <c r="AK148" s="56">
        <f>IF($G148="",0,IF(NOT(OR($G148="A - All employees not in groups B, C, J, H, M or Z",$G148="B - Married women and widows entitled to reduced NI",$G148="C - Over the State Pension age",$G148="H - Apprentice under 25",$G148="J – Deferment",$G148="M - Under 21",$G148="Z - Deferment (Under 21)",$G148="Please Enter The NI Cont. in ££££")),$G148,SUM(MAX(MIN(AC148-'Input Data'!$BG$3,'Input Data'!$BG$5-'Input Data'!$BG$3),0)*VLOOKUP($G148,'Input Data'!$BI$3:$BL$10,2,FALSE),MAX(MIN(AC148-'Input Data'!$BG$5,IF(OR($G148="M (under 21)",$G148="Z (under 21 - deferment)"),'Input Data'!$BG$6,IF($G148="H (Apprentice under 25)",'Input Data'!$BG$7,'Input Data'!$BG$8))-'Input Data'!$BG$5),0)*VLOOKUP($G148,'Input Data'!$BI$3:$BL$10,3,FALSE),MAX((AC148-IF(OR($G148="M (under 21)",$G148="Z (under 21 - deferment)"),'Input Data'!$BG$6,IF($G148="H (Apprentice under 25)",'Input Data'!$BG$7,'Input Data'!$BG$8))),0)*VLOOKUP($G148,'Input Data'!$BI$3:$BL$10,4,FALSE))))</f>
        <v>0</v>
      </c>
      <c r="AL148" s="56">
        <f>IF($G148="",0,IF(NOT(OR($G148="A - All employees not in groups B, C, J, H, M or Z",$G148="B - Married women and widows entitled to reduced NI",$G148="C - Over the State Pension age",$G148="H - Apprentice under 25",$G148="J – Deferment",$G148="M - Under 21",$G148="Z - Deferment (Under 21)",$G148="Please Enter The NI Cont. in ££££")),$G148,SUM(MAX(MIN(AD148-'Input Data'!$BG$3,'Input Data'!$BG$5-'Input Data'!$BG$3),0)*VLOOKUP($G148,'Input Data'!$BI$3:$BL$10,2,FALSE),MAX(MIN(AD148-'Input Data'!$BG$5,IF(OR($G148="M (under 21)",$G148="Z (under 21 - deferment)"),'Input Data'!$BG$6,IF($G148="H (Apprentice under 25)",'Input Data'!$BG$7,'Input Data'!$BG$8))-'Input Data'!$BG$5),0)*VLOOKUP($G148,'Input Data'!$BI$3:$BL$10,3,FALSE),MAX((AD148-IF(OR($G148="M (under 21)",$G148="Z (under 21 - deferment)"),'Input Data'!$BG$6,IF($G148="H (Apprentice under 25)",'Input Data'!$BG$7,'Input Data'!$BG$8))),0)*VLOOKUP($G148,'Input Data'!$BI$3:$BL$10,4,FALSE))))</f>
        <v>0</v>
      </c>
      <c r="AM148" s="56">
        <f>IF($G148="",0,IF(NOT(OR($G148="A - All employees not in groups B, C, J, H, M or Z",$G148="B - Married women and widows entitled to reduced NI",$G148="C - Over the State Pension age",$G148="H - Apprentice under 25",$G148="J – Deferment",$G148="M - Under 21",$G148="Z - Deferment (Under 21)",$G148="Please Enter The NI Cont. in ££££")),$G148,SUM(MAX(MIN(AE148-'Input Data'!$BG$3,'Input Data'!$BG$5-'Input Data'!$BG$3),0)*VLOOKUP($G148,'Input Data'!$BI$3:$BL$10,2,FALSE),MAX(MIN(AE148-'Input Data'!$BG$5,IF(OR($G148="M (under 21)",$G148="Z (under 21 - deferment)"),'Input Data'!$BG$6,IF($G148="H (Apprentice under 25)",'Input Data'!$BG$7,'Input Data'!$BG$8))-'Input Data'!$BG$5),0)*VLOOKUP($G148,'Input Data'!$BI$3:$BL$10,3,FALSE),MAX((AE148-IF(OR($G148="M (under 21)",$G148="Z (under 21 - deferment)"),'Input Data'!$BG$6,IF($G148="H (Apprentice under 25)",'Input Data'!$BG$7,'Input Data'!$BG$8))),0)*VLOOKUP($G148,'Input Data'!$BI$3:$BL$10,4,FALSE))))</f>
        <v>0</v>
      </c>
      <c r="AN148" s="56">
        <f>IF($G148="",0,IF(NOT(OR($G148="A - All employees not in groups B, C, J, H, M or Z",$G148="B - Married women and widows entitled to reduced NI",$G148="C - Over the State Pension age",$G148="H - Apprentice under 25",$G148="J – Deferment",$G148="M - Under 21",$G148="Z - Deferment (Under 21)",$G148="Please Enter The NI Cont. in ££££")),$G148,SUM(MAX(MIN(AF148-'Input Data'!$BG$3,'Input Data'!$BG$5-'Input Data'!$BG$3),0)*VLOOKUP($G148,'Input Data'!$BI$3:$BL$10,2,FALSE),MAX(MIN(AF148-'Input Data'!$BG$5,IF(OR($G148="M (under 21)",$G148="Z (under 21 - deferment)"),'Input Data'!$BG$6,IF($G148="H (Apprentice under 25)",'Input Data'!$BG$7,'Input Data'!$BG$8))-'Input Data'!$BG$5),0)*VLOOKUP($G148,'Input Data'!$BI$3:$BL$10,3,FALSE),MAX((AF148-IF(OR($G148="M (under 21)",$G148="Z (under 21 - deferment)"),'Input Data'!$BG$6,IF($G148="H (Apprentice under 25)",'Input Data'!$BG$7,'Input Data'!$BG$8))),0)*VLOOKUP($G148,'Input Data'!$BI$3:$BL$10,4,FALSE))))</f>
        <v>0</v>
      </c>
      <c r="AO148" s="56">
        <f>IF($G148="",0,IF(NOT(OR($G148="A - All employees not in groups B, C, J, H, M or Z",$G148="B - Married women and widows entitled to reduced NI",$G148="C - Over the State Pension age",$G148="H - Apprentice under 25",$G148="J – Deferment",$G148="M - Under 21",$G148="Z - Deferment (Under 21)",$G148="Please Enter The NI Cont. in ££££")),$G148,SUM(MAX(MIN(AG148-'Input Data'!$BG$3,'Input Data'!$BG$5-'Input Data'!$BG$3),0)*VLOOKUP($G148,'Input Data'!$BI$3:$BL$10,2,FALSE),MAX(MIN(AG148-'Input Data'!$BG$5,IF(OR($G148="M (under 21)",$G148="Z (under 21 - deferment)"),'Input Data'!$BG$6,IF($G148="H (Apprentice under 25)",'Input Data'!$BG$7,'Input Data'!$BG$8))-'Input Data'!$BG$5),0)*VLOOKUP($G148,'Input Data'!$BI$3:$BL$10,3,FALSE),MAX((AG148-IF(OR($G148="M (under 21)",$G148="Z (under 21 - deferment)"),'Input Data'!$BG$6,IF($G148="H (Apprentice under 25)",'Input Data'!$BG$7,'Input Data'!$BG$8))),0)*VLOOKUP($G148,'Input Data'!$BI$3:$BL$10,4,FALSE))))</f>
        <v>0</v>
      </c>
      <c r="AP148" s="56">
        <f>IF($G148="",0,IF(NOT(OR($G148="A - All employees not in groups B, C, J, H, M or Z",$G148="B - Married women and widows entitled to reduced NI",$G148="C - Over the State Pension age",$G148="H - Apprentice under 25",$G148="J – Deferment",$G148="M - Under 21",$G148="Z - Deferment (Under 21)",$G148="Please Enter The NI Cont. in ££££")),$G148,SUM(MAX(MIN(AH148-'Input Data'!$BG$3,'Input Data'!$BG$5-'Input Data'!$BG$3),0)*VLOOKUP($G148,'Input Data'!$BI$3:$BL$10,2,FALSE),MAX(MIN(AH148-'Input Data'!$BG$5,IF(OR($G148="M (under 21)",$G148="Z (under 21 - deferment)"),'Input Data'!$BG$6,IF($G148="H (Apprentice under 25)",'Input Data'!$BG$7,'Input Data'!$BG$8))-'Input Data'!$BG$5),0)*VLOOKUP($G148,'Input Data'!$BI$3:$BL$10,3,FALSE),MAX((AH148-IF(OR($G148="M (under 21)",$G148="Z (under 21 - deferment)"),'Input Data'!$BG$6,IF($G148="H (Apprentice under 25)",'Input Data'!$BG$7,'Input Data'!$BG$8))),0)*VLOOKUP($G148,'Input Data'!$BI$3:$BL$10,4,FALSE))))</f>
        <v>0</v>
      </c>
      <c r="AQ148" s="56">
        <f>IF($G148="",0,IF(NOT(OR($G148="A - All employees not in groups B, C, J, H, M or Z",$G148="B - Married women and widows entitled to reduced NI",$G148="C - Over the State Pension age",$G148="H - Apprentice under 25",$G148="J – Deferment",$G148="M - Under 21",$G148="Z - Deferment (Under 21)",$G148="Please Enter The NI Cont. in ££££")),$G148,SUM(MAX(MIN(AI148-'Input Data'!$BG$3,'Input Data'!$BG$5-'Input Data'!$BG$3),0)*VLOOKUP($G148,'Input Data'!$BI$3:$BL$10,2,FALSE),MAX(MIN(AI148-'Input Data'!$BG$5,IF(OR($G148="M (under 21)",$G148="Z (under 21 - deferment)"),'Input Data'!$BG$6,IF($G148="H (Apprentice under 25)",'Input Data'!$BG$7,'Input Data'!$BG$8))-'Input Data'!$BG$5),0)*VLOOKUP($G148,'Input Data'!$BI$3:$BL$10,3,FALSE),MAX((AI148-IF(OR($G148="M (under 21)",$G148="Z (under 21 - deferment)"),'Input Data'!$BG$6,IF($G148="H (Apprentice under 25)",'Input Data'!$BG$7,'Input Data'!$BG$8))),0)*VLOOKUP($G148,'Input Data'!$BI$3:$BL$10,4,FALSE))))</f>
        <v>0</v>
      </c>
      <c r="AR148" s="56">
        <f>IF($G148="",0,IF(NOT(OR($G148="A - All employees not in groups B, C, J, H, M or Z",$G148="B - Married women and widows entitled to reduced NI",$G148="C - Over the State Pension age",$G148="H - Apprentice under 25",$G148="J – Deferment",$G148="M - Under 21",$G148="Z - Deferment (Under 21)",$G148="Please Enter The NI Cont. in ££££")),$G148,SUM(MAX(MIN(AJ148-'Input Data'!$BG$3,'Input Data'!$BG$5-'Input Data'!$BG$3),0)*VLOOKUP($G148,'Input Data'!$BI$3:$BL$10,2,FALSE),MAX(MIN(AJ148-'Input Data'!$BG$5,IF(OR($G148="M (under 21)",$G148="Z (under 21 - deferment)"),'Input Data'!$BG$6,IF($G148="H (Apprentice under 25)",'Input Data'!$BG$7,'Input Data'!$BG$8))-'Input Data'!$BG$5),0)*VLOOKUP($G148,'Input Data'!$BI$3:$BL$10,3,FALSE),MAX((AJ148-IF(OR($G148="M (under 21)",$G148="Z (under 21 - deferment)"),'Input Data'!$BG$6,IF($G148="H (Apprentice under 25)",'Input Data'!$BG$7,'Input Data'!$BG$8))),0)*VLOOKUP($G148,'Input Data'!$BI$3:$BL$10,4,FALSE))))</f>
        <v>0</v>
      </c>
      <c r="AS148" s="56">
        <f>AC148*$F148</f>
        <v>0</v>
      </c>
      <c r="AT148" s="56">
        <f>AD148*$F148</f>
        <v>0</v>
      </c>
      <c r="AU148" s="56">
        <f>AE148*$F148</f>
        <v>0</v>
      </c>
      <c r="AV148" s="56">
        <f>AF148*$F148</f>
        <v>0</v>
      </c>
      <c r="AW148" s="56">
        <f>AG148*$F148</f>
        <v>0</v>
      </c>
      <c r="AX148" s="56">
        <f>AH148*$F148</f>
        <v>0</v>
      </c>
      <c r="AY148" s="56">
        <f>AI148*$F148</f>
        <v>0</v>
      </c>
      <c r="AZ148" s="56">
        <f>AJ148*$F148</f>
        <v>0</v>
      </c>
    </row>
    <row r="149" spans="2:52" ht="25.5">
      <c r="B149" s="60"/>
      <c r="C149" s="57" t="s">
        <v>66</v>
      </c>
      <c r="D149" s="58"/>
      <c r="E149" s="58"/>
      <c r="F149" s="535"/>
      <c r="G149" s="693" t="s">
        <v>1149</v>
      </c>
      <c r="H149" s="65"/>
      <c r="I149" s="65"/>
      <c r="J149" s="65"/>
      <c r="K149" s="65"/>
      <c r="L149" s="65"/>
      <c r="M149" s="65"/>
      <c r="N149" s="65"/>
      <c r="O149" s="65"/>
      <c r="P149" s="29"/>
      <c r="Q149" s="597"/>
      <c r="R149" s="61"/>
      <c r="T149" s="43">
        <f>SUM(AC149,AK149,AS149)</f>
        <v>0</v>
      </c>
      <c r="U149" s="43">
        <f>SUM(AD149,AL149,AT149)</f>
        <v>0</v>
      </c>
      <c r="V149" s="43">
        <f>SUM(AE149,AM149,AU149)</f>
        <v>0</v>
      </c>
      <c r="W149" s="43">
        <f>SUM(AF149,AN149,AV149)</f>
        <v>0</v>
      </c>
      <c r="X149" s="43">
        <f>SUM(AG149,AO149,AW149)</f>
        <v>0</v>
      </c>
      <c r="Y149" s="43">
        <f>SUM(AH149,AP149,AX149)</f>
        <v>0</v>
      </c>
      <c r="Z149" s="43">
        <f>SUM(AI149,AQ149,AY149)</f>
        <v>0</v>
      </c>
      <c r="AA149" s="43">
        <f>SUM(AJ149,AR149,AZ149)</f>
        <v>0</v>
      </c>
      <c r="AC149" s="631">
        <f>SUM($D149:$E149)*H149</f>
        <v>0</v>
      </c>
      <c r="AD149" s="631">
        <f>SUM($D149:$E149)*I149</f>
        <v>0</v>
      </c>
      <c r="AE149" s="631">
        <f>SUM($D149:$E149)*J149</f>
        <v>0</v>
      </c>
      <c r="AF149" s="631">
        <f>SUM($D149:$E149)*K149</f>
        <v>0</v>
      </c>
      <c r="AG149" s="631">
        <f>SUM($D149:$E149)*L149</f>
        <v>0</v>
      </c>
      <c r="AH149" s="631">
        <f>SUM($D149:$E149)*M149</f>
        <v>0</v>
      </c>
      <c r="AI149" s="631">
        <f>SUM($D149:$E149)*N149</f>
        <v>0</v>
      </c>
      <c r="AJ149" s="631">
        <f>SUM($D149:$E149)*O149</f>
        <v>0</v>
      </c>
      <c r="AK149" s="56">
        <f>IF($G149="",0,IF(NOT(OR($G149="A - All employees not in groups B, C, J, H, M or Z",$G149="B - Married women and widows entitled to reduced NI",$G149="C - Over the State Pension age",$G149="H - Apprentice under 25",$G149="J – Deferment",$G149="M - Under 21",$G149="Z - Deferment (Under 21)",$G149="Please Enter The NI Cont. in ££££")),$G149,SUM(MAX(MIN(AC149-'Input Data'!$BG$3,'Input Data'!$BG$5-'Input Data'!$BG$3),0)*VLOOKUP($G149,'Input Data'!$BI$3:$BL$10,2,FALSE),MAX(MIN(AC149-'Input Data'!$BG$5,IF(OR($G149="M (under 21)",$G149="Z (under 21 - deferment)"),'Input Data'!$BG$6,IF($G149="H (Apprentice under 25)",'Input Data'!$BG$7,'Input Data'!$BG$8))-'Input Data'!$BG$5),0)*VLOOKUP($G149,'Input Data'!$BI$3:$BL$10,3,FALSE),MAX((AC149-IF(OR($G149="M (under 21)",$G149="Z (under 21 - deferment)"),'Input Data'!$BG$6,IF($G149="H (Apprentice under 25)",'Input Data'!$BG$7,'Input Data'!$BG$8))),0)*VLOOKUP($G149,'Input Data'!$BI$3:$BL$10,4,FALSE))))</f>
        <v>0</v>
      </c>
      <c r="AL149" s="56">
        <f>IF($G149="",0,IF(NOT(OR($G149="A - All employees not in groups B, C, J, H, M or Z",$G149="B - Married women and widows entitled to reduced NI",$G149="C - Over the State Pension age",$G149="H - Apprentice under 25",$G149="J – Deferment",$G149="M - Under 21",$G149="Z - Deferment (Under 21)",$G149="Please Enter The NI Cont. in ££££")),$G149,SUM(MAX(MIN(AD149-'Input Data'!$BG$3,'Input Data'!$BG$5-'Input Data'!$BG$3),0)*VLOOKUP($G149,'Input Data'!$BI$3:$BL$10,2,FALSE),MAX(MIN(AD149-'Input Data'!$BG$5,IF(OR($G149="M (under 21)",$G149="Z (under 21 - deferment)"),'Input Data'!$BG$6,IF($G149="H (Apprentice under 25)",'Input Data'!$BG$7,'Input Data'!$BG$8))-'Input Data'!$BG$5),0)*VLOOKUP($G149,'Input Data'!$BI$3:$BL$10,3,FALSE),MAX((AD149-IF(OR($G149="M (under 21)",$G149="Z (under 21 - deferment)"),'Input Data'!$BG$6,IF($G149="H (Apprentice under 25)",'Input Data'!$BG$7,'Input Data'!$BG$8))),0)*VLOOKUP($G149,'Input Data'!$BI$3:$BL$10,4,FALSE))))</f>
        <v>0</v>
      </c>
      <c r="AM149" s="56">
        <f>IF($G149="",0,IF(NOT(OR($G149="A - All employees not in groups B, C, J, H, M or Z",$G149="B - Married women and widows entitled to reduced NI",$G149="C - Over the State Pension age",$G149="H - Apprentice under 25",$G149="J – Deferment",$G149="M - Under 21",$G149="Z - Deferment (Under 21)",$G149="Please Enter The NI Cont. in ££££")),$G149,SUM(MAX(MIN(AE149-'Input Data'!$BG$3,'Input Data'!$BG$5-'Input Data'!$BG$3),0)*VLOOKUP($G149,'Input Data'!$BI$3:$BL$10,2,FALSE),MAX(MIN(AE149-'Input Data'!$BG$5,IF(OR($G149="M (under 21)",$G149="Z (under 21 - deferment)"),'Input Data'!$BG$6,IF($G149="H (Apprentice under 25)",'Input Data'!$BG$7,'Input Data'!$BG$8))-'Input Data'!$BG$5),0)*VLOOKUP($G149,'Input Data'!$BI$3:$BL$10,3,FALSE),MAX((AE149-IF(OR($G149="M (under 21)",$G149="Z (under 21 - deferment)"),'Input Data'!$BG$6,IF($G149="H (Apprentice under 25)",'Input Data'!$BG$7,'Input Data'!$BG$8))),0)*VLOOKUP($G149,'Input Data'!$BI$3:$BL$10,4,FALSE))))</f>
        <v>0</v>
      </c>
      <c r="AN149" s="56">
        <f>IF($G149="",0,IF(NOT(OR($G149="A - All employees not in groups B, C, J, H, M or Z",$G149="B - Married women and widows entitled to reduced NI",$G149="C - Over the State Pension age",$G149="H - Apprentice under 25",$G149="J – Deferment",$G149="M - Under 21",$G149="Z - Deferment (Under 21)",$G149="Please Enter The NI Cont. in ££££")),$G149,SUM(MAX(MIN(AF149-'Input Data'!$BG$3,'Input Data'!$BG$5-'Input Data'!$BG$3),0)*VLOOKUP($G149,'Input Data'!$BI$3:$BL$10,2,FALSE),MAX(MIN(AF149-'Input Data'!$BG$5,IF(OR($G149="M (under 21)",$G149="Z (under 21 - deferment)"),'Input Data'!$BG$6,IF($G149="H (Apprentice under 25)",'Input Data'!$BG$7,'Input Data'!$BG$8))-'Input Data'!$BG$5),0)*VLOOKUP($G149,'Input Data'!$BI$3:$BL$10,3,FALSE),MAX((AF149-IF(OR($G149="M (under 21)",$G149="Z (under 21 - deferment)"),'Input Data'!$BG$6,IF($G149="H (Apprentice under 25)",'Input Data'!$BG$7,'Input Data'!$BG$8))),0)*VLOOKUP($G149,'Input Data'!$BI$3:$BL$10,4,FALSE))))</f>
        <v>0</v>
      </c>
      <c r="AO149" s="56">
        <f>IF($G149="",0,IF(NOT(OR($G149="A - All employees not in groups B, C, J, H, M or Z",$G149="B - Married women and widows entitled to reduced NI",$G149="C - Over the State Pension age",$G149="H - Apprentice under 25",$G149="J – Deferment",$G149="M - Under 21",$G149="Z - Deferment (Under 21)",$G149="Please Enter The NI Cont. in ££££")),$G149,SUM(MAX(MIN(AG149-'Input Data'!$BG$3,'Input Data'!$BG$5-'Input Data'!$BG$3),0)*VLOOKUP($G149,'Input Data'!$BI$3:$BL$10,2,FALSE),MAX(MIN(AG149-'Input Data'!$BG$5,IF(OR($G149="M (under 21)",$G149="Z (under 21 - deferment)"),'Input Data'!$BG$6,IF($G149="H (Apprentice under 25)",'Input Data'!$BG$7,'Input Data'!$BG$8))-'Input Data'!$BG$5),0)*VLOOKUP($G149,'Input Data'!$BI$3:$BL$10,3,FALSE),MAX((AG149-IF(OR($G149="M (under 21)",$G149="Z (under 21 - deferment)"),'Input Data'!$BG$6,IF($G149="H (Apprentice under 25)",'Input Data'!$BG$7,'Input Data'!$BG$8))),0)*VLOOKUP($G149,'Input Data'!$BI$3:$BL$10,4,FALSE))))</f>
        <v>0</v>
      </c>
      <c r="AP149" s="56">
        <f>IF($G149="",0,IF(NOT(OR($G149="A - All employees not in groups B, C, J, H, M or Z",$G149="B - Married women and widows entitled to reduced NI",$G149="C - Over the State Pension age",$G149="H - Apprentice under 25",$G149="J – Deferment",$G149="M - Under 21",$G149="Z - Deferment (Under 21)",$G149="Please Enter The NI Cont. in ££££")),$G149,SUM(MAX(MIN(AH149-'Input Data'!$BG$3,'Input Data'!$BG$5-'Input Data'!$BG$3),0)*VLOOKUP($G149,'Input Data'!$BI$3:$BL$10,2,FALSE),MAX(MIN(AH149-'Input Data'!$BG$5,IF(OR($G149="M (under 21)",$G149="Z (under 21 - deferment)"),'Input Data'!$BG$6,IF($G149="H (Apprentice under 25)",'Input Data'!$BG$7,'Input Data'!$BG$8))-'Input Data'!$BG$5),0)*VLOOKUP($G149,'Input Data'!$BI$3:$BL$10,3,FALSE),MAX((AH149-IF(OR($G149="M (under 21)",$G149="Z (under 21 - deferment)"),'Input Data'!$BG$6,IF($G149="H (Apprentice under 25)",'Input Data'!$BG$7,'Input Data'!$BG$8))),0)*VLOOKUP($G149,'Input Data'!$BI$3:$BL$10,4,FALSE))))</f>
        <v>0</v>
      </c>
      <c r="AQ149" s="56">
        <f>IF($G149="",0,IF(NOT(OR($G149="A - All employees not in groups B, C, J, H, M or Z",$G149="B - Married women and widows entitled to reduced NI",$G149="C - Over the State Pension age",$G149="H - Apprentice under 25",$G149="J – Deferment",$G149="M - Under 21",$G149="Z - Deferment (Under 21)",$G149="Please Enter The NI Cont. in ££££")),$G149,SUM(MAX(MIN(AI149-'Input Data'!$BG$3,'Input Data'!$BG$5-'Input Data'!$BG$3),0)*VLOOKUP($G149,'Input Data'!$BI$3:$BL$10,2,FALSE),MAX(MIN(AI149-'Input Data'!$BG$5,IF(OR($G149="M (under 21)",$G149="Z (under 21 - deferment)"),'Input Data'!$BG$6,IF($G149="H (Apprentice under 25)",'Input Data'!$BG$7,'Input Data'!$BG$8))-'Input Data'!$BG$5),0)*VLOOKUP($G149,'Input Data'!$BI$3:$BL$10,3,FALSE),MAX((AI149-IF(OR($G149="M (under 21)",$G149="Z (under 21 - deferment)"),'Input Data'!$BG$6,IF($G149="H (Apprentice under 25)",'Input Data'!$BG$7,'Input Data'!$BG$8))),0)*VLOOKUP($G149,'Input Data'!$BI$3:$BL$10,4,FALSE))))</f>
        <v>0</v>
      </c>
      <c r="AR149" s="56">
        <f>IF($G149="",0,IF(NOT(OR($G149="A - All employees not in groups B, C, J, H, M or Z",$G149="B - Married women and widows entitled to reduced NI",$G149="C - Over the State Pension age",$G149="H - Apprentice under 25",$G149="J – Deferment",$G149="M - Under 21",$G149="Z - Deferment (Under 21)",$G149="Please Enter The NI Cont. in ££££")),$G149,SUM(MAX(MIN(AJ149-'Input Data'!$BG$3,'Input Data'!$BG$5-'Input Data'!$BG$3),0)*VLOOKUP($G149,'Input Data'!$BI$3:$BL$10,2,FALSE),MAX(MIN(AJ149-'Input Data'!$BG$5,IF(OR($G149="M (under 21)",$G149="Z (under 21 - deferment)"),'Input Data'!$BG$6,IF($G149="H (Apprentice under 25)",'Input Data'!$BG$7,'Input Data'!$BG$8))-'Input Data'!$BG$5),0)*VLOOKUP($G149,'Input Data'!$BI$3:$BL$10,3,FALSE),MAX((AJ149-IF(OR($G149="M (under 21)",$G149="Z (under 21 - deferment)"),'Input Data'!$BG$6,IF($G149="H (Apprentice under 25)",'Input Data'!$BG$7,'Input Data'!$BG$8))),0)*VLOOKUP($G149,'Input Data'!$BI$3:$BL$10,4,FALSE))))</f>
        <v>0</v>
      </c>
      <c r="AS149" s="56">
        <f>AC149*$F149</f>
        <v>0</v>
      </c>
      <c r="AT149" s="56">
        <f>AD149*$F149</f>
        <v>0</v>
      </c>
      <c r="AU149" s="56">
        <f>AE149*$F149</f>
        <v>0</v>
      </c>
      <c r="AV149" s="56">
        <f>AF149*$F149</f>
        <v>0</v>
      </c>
      <c r="AW149" s="56">
        <f>AG149*$F149</f>
        <v>0</v>
      </c>
      <c r="AX149" s="56">
        <f>AH149*$F149</f>
        <v>0</v>
      </c>
      <c r="AY149" s="56">
        <f>AI149*$F149</f>
        <v>0</v>
      </c>
      <c r="AZ149" s="56">
        <f>AJ149*$F149</f>
        <v>0</v>
      </c>
    </row>
    <row r="150" spans="2:52" ht="25.5">
      <c r="B150" s="60"/>
      <c r="C150" s="57" t="s">
        <v>67</v>
      </c>
      <c r="D150" s="58"/>
      <c r="E150" s="58"/>
      <c r="F150" s="535"/>
      <c r="G150" s="693" t="s">
        <v>1149</v>
      </c>
      <c r="H150" s="65"/>
      <c r="I150" s="65"/>
      <c r="J150" s="65"/>
      <c r="K150" s="65"/>
      <c r="L150" s="65"/>
      <c r="M150" s="65"/>
      <c r="N150" s="65"/>
      <c r="O150" s="65"/>
      <c r="P150" s="29"/>
      <c r="Q150" s="597"/>
      <c r="R150" s="61"/>
      <c r="T150" s="43">
        <f>SUM(AC150,AK150,AS150)</f>
        <v>0</v>
      </c>
      <c r="U150" s="43">
        <f>SUM(AD150,AL150,AT150)</f>
        <v>0</v>
      </c>
      <c r="V150" s="43">
        <f>SUM(AE150,AM150,AU150)</f>
        <v>0</v>
      </c>
      <c r="W150" s="43">
        <f>SUM(AF150,AN150,AV150)</f>
        <v>0</v>
      </c>
      <c r="X150" s="43">
        <f>SUM(AG150,AO150,AW150)</f>
        <v>0</v>
      </c>
      <c r="Y150" s="43">
        <f>SUM(AH150,AP150,AX150)</f>
        <v>0</v>
      </c>
      <c r="Z150" s="43">
        <f>SUM(AI150,AQ150,AY150)</f>
        <v>0</v>
      </c>
      <c r="AA150" s="43">
        <f>SUM(AJ150,AR150,AZ150)</f>
        <v>0</v>
      </c>
      <c r="AC150" s="631">
        <f>SUM($D150:$E150)*H150</f>
        <v>0</v>
      </c>
      <c r="AD150" s="631">
        <f>SUM($D150:$E150)*I150</f>
        <v>0</v>
      </c>
      <c r="AE150" s="631">
        <f>SUM($D150:$E150)*J150</f>
        <v>0</v>
      </c>
      <c r="AF150" s="631">
        <f>SUM($D150:$E150)*K150</f>
        <v>0</v>
      </c>
      <c r="AG150" s="631">
        <f>SUM($D150:$E150)*L150</f>
        <v>0</v>
      </c>
      <c r="AH150" s="631">
        <f>SUM($D150:$E150)*M150</f>
        <v>0</v>
      </c>
      <c r="AI150" s="631">
        <f>SUM($D150:$E150)*N150</f>
        <v>0</v>
      </c>
      <c r="AJ150" s="631">
        <f>SUM($D150:$E150)*O150</f>
        <v>0</v>
      </c>
      <c r="AK150" s="56">
        <f>IF($G150="",0,IF(NOT(OR($G150="A - All employees not in groups B, C, J, H, M or Z",$G150="B - Married women and widows entitled to reduced NI",$G150="C - Over the State Pension age",$G150="H - Apprentice under 25",$G150="J – Deferment",$G150="M - Under 21",$G150="Z - Deferment (Under 21)",$G150="Please Enter The NI Cont. in ££££")),$G150,SUM(MAX(MIN(AC150-'Input Data'!$BG$3,'Input Data'!$BG$5-'Input Data'!$BG$3),0)*VLOOKUP($G150,'Input Data'!$BI$3:$BL$10,2,FALSE),MAX(MIN(AC150-'Input Data'!$BG$5,IF(OR($G150="M (under 21)",$G150="Z (under 21 - deferment)"),'Input Data'!$BG$6,IF($G150="H (Apprentice under 25)",'Input Data'!$BG$7,'Input Data'!$BG$8))-'Input Data'!$BG$5),0)*VLOOKUP($G150,'Input Data'!$BI$3:$BL$10,3,FALSE),MAX((AC150-IF(OR($G150="M (under 21)",$G150="Z (under 21 - deferment)"),'Input Data'!$BG$6,IF($G150="H (Apprentice under 25)",'Input Data'!$BG$7,'Input Data'!$BG$8))),0)*VLOOKUP($G150,'Input Data'!$BI$3:$BL$10,4,FALSE))))</f>
        <v>0</v>
      </c>
      <c r="AL150" s="56">
        <f>IF($G150="",0,IF(NOT(OR($G150="A - All employees not in groups B, C, J, H, M or Z",$G150="B - Married women and widows entitled to reduced NI",$G150="C - Over the State Pension age",$G150="H - Apprentice under 25",$G150="J – Deferment",$G150="M - Under 21",$G150="Z - Deferment (Under 21)",$G150="Please Enter The NI Cont. in ££££")),$G150,SUM(MAX(MIN(AD150-'Input Data'!$BG$3,'Input Data'!$BG$5-'Input Data'!$BG$3),0)*VLOOKUP($G150,'Input Data'!$BI$3:$BL$10,2,FALSE),MAX(MIN(AD150-'Input Data'!$BG$5,IF(OR($G150="M (under 21)",$G150="Z (under 21 - deferment)"),'Input Data'!$BG$6,IF($G150="H (Apprentice under 25)",'Input Data'!$BG$7,'Input Data'!$BG$8))-'Input Data'!$BG$5),0)*VLOOKUP($G150,'Input Data'!$BI$3:$BL$10,3,FALSE),MAX((AD150-IF(OR($G150="M (under 21)",$G150="Z (under 21 - deferment)"),'Input Data'!$BG$6,IF($G150="H (Apprentice under 25)",'Input Data'!$BG$7,'Input Data'!$BG$8))),0)*VLOOKUP($G150,'Input Data'!$BI$3:$BL$10,4,FALSE))))</f>
        <v>0</v>
      </c>
      <c r="AM150" s="56">
        <f>IF($G150="",0,IF(NOT(OR($G150="A - All employees not in groups B, C, J, H, M or Z",$G150="B - Married women and widows entitled to reduced NI",$G150="C - Over the State Pension age",$G150="H - Apprentice under 25",$G150="J – Deferment",$G150="M - Under 21",$G150="Z - Deferment (Under 21)",$G150="Please Enter The NI Cont. in ££££")),$G150,SUM(MAX(MIN(AE150-'Input Data'!$BG$3,'Input Data'!$BG$5-'Input Data'!$BG$3),0)*VLOOKUP($G150,'Input Data'!$BI$3:$BL$10,2,FALSE),MAX(MIN(AE150-'Input Data'!$BG$5,IF(OR($G150="M (under 21)",$G150="Z (under 21 - deferment)"),'Input Data'!$BG$6,IF($G150="H (Apprentice under 25)",'Input Data'!$BG$7,'Input Data'!$BG$8))-'Input Data'!$BG$5),0)*VLOOKUP($G150,'Input Data'!$BI$3:$BL$10,3,FALSE),MAX((AE150-IF(OR($G150="M (under 21)",$G150="Z (under 21 - deferment)"),'Input Data'!$BG$6,IF($G150="H (Apprentice under 25)",'Input Data'!$BG$7,'Input Data'!$BG$8))),0)*VLOOKUP($G150,'Input Data'!$BI$3:$BL$10,4,FALSE))))</f>
        <v>0</v>
      </c>
      <c r="AN150" s="56">
        <f>IF($G150="",0,IF(NOT(OR($G150="A - All employees not in groups B, C, J, H, M or Z",$G150="B - Married women and widows entitled to reduced NI",$G150="C - Over the State Pension age",$G150="H - Apprentice under 25",$G150="J – Deferment",$G150="M - Under 21",$G150="Z - Deferment (Under 21)",$G150="Please Enter The NI Cont. in ££££")),$G150,SUM(MAX(MIN(AF150-'Input Data'!$BG$3,'Input Data'!$BG$5-'Input Data'!$BG$3),0)*VLOOKUP($G150,'Input Data'!$BI$3:$BL$10,2,FALSE),MAX(MIN(AF150-'Input Data'!$BG$5,IF(OR($G150="M (under 21)",$G150="Z (under 21 - deferment)"),'Input Data'!$BG$6,IF($G150="H (Apprentice under 25)",'Input Data'!$BG$7,'Input Data'!$BG$8))-'Input Data'!$BG$5),0)*VLOOKUP($G150,'Input Data'!$BI$3:$BL$10,3,FALSE),MAX((AF150-IF(OR($G150="M (under 21)",$G150="Z (under 21 - deferment)"),'Input Data'!$BG$6,IF($G150="H (Apprentice under 25)",'Input Data'!$BG$7,'Input Data'!$BG$8))),0)*VLOOKUP($G150,'Input Data'!$BI$3:$BL$10,4,FALSE))))</f>
        <v>0</v>
      </c>
      <c r="AO150" s="56">
        <f>IF($G150="",0,IF(NOT(OR($G150="A - All employees not in groups B, C, J, H, M or Z",$G150="B - Married women and widows entitled to reduced NI",$G150="C - Over the State Pension age",$G150="H - Apprentice under 25",$G150="J – Deferment",$G150="M - Under 21",$G150="Z - Deferment (Under 21)",$G150="Please Enter The NI Cont. in ££££")),$G150,SUM(MAX(MIN(AG150-'Input Data'!$BG$3,'Input Data'!$BG$5-'Input Data'!$BG$3),0)*VLOOKUP($G150,'Input Data'!$BI$3:$BL$10,2,FALSE),MAX(MIN(AG150-'Input Data'!$BG$5,IF(OR($G150="M (under 21)",$G150="Z (under 21 - deferment)"),'Input Data'!$BG$6,IF($G150="H (Apprentice under 25)",'Input Data'!$BG$7,'Input Data'!$BG$8))-'Input Data'!$BG$5),0)*VLOOKUP($G150,'Input Data'!$BI$3:$BL$10,3,FALSE),MAX((AG150-IF(OR($G150="M (under 21)",$G150="Z (under 21 - deferment)"),'Input Data'!$BG$6,IF($G150="H (Apprentice under 25)",'Input Data'!$BG$7,'Input Data'!$BG$8))),0)*VLOOKUP($G150,'Input Data'!$BI$3:$BL$10,4,FALSE))))</f>
        <v>0</v>
      </c>
      <c r="AP150" s="56">
        <f>IF($G150="",0,IF(NOT(OR($G150="A - All employees not in groups B, C, J, H, M or Z",$G150="B - Married women and widows entitled to reduced NI",$G150="C - Over the State Pension age",$G150="H - Apprentice under 25",$G150="J – Deferment",$G150="M - Under 21",$G150="Z - Deferment (Under 21)",$G150="Please Enter The NI Cont. in ££££")),$G150,SUM(MAX(MIN(AH150-'Input Data'!$BG$3,'Input Data'!$BG$5-'Input Data'!$BG$3),0)*VLOOKUP($G150,'Input Data'!$BI$3:$BL$10,2,FALSE),MAX(MIN(AH150-'Input Data'!$BG$5,IF(OR($G150="M (under 21)",$G150="Z (under 21 - deferment)"),'Input Data'!$BG$6,IF($G150="H (Apprentice under 25)",'Input Data'!$BG$7,'Input Data'!$BG$8))-'Input Data'!$BG$5),0)*VLOOKUP($G150,'Input Data'!$BI$3:$BL$10,3,FALSE),MAX((AH150-IF(OR($G150="M (under 21)",$G150="Z (under 21 - deferment)"),'Input Data'!$BG$6,IF($G150="H (Apprentice under 25)",'Input Data'!$BG$7,'Input Data'!$BG$8))),0)*VLOOKUP($G150,'Input Data'!$BI$3:$BL$10,4,FALSE))))</f>
        <v>0</v>
      </c>
      <c r="AQ150" s="56">
        <f>IF($G150="",0,IF(NOT(OR($G150="A - All employees not in groups B, C, J, H, M or Z",$G150="B - Married women and widows entitled to reduced NI",$G150="C - Over the State Pension age",$G150="H - Apprentice under 25",$G150="J – Deferment",$G150="M - Under 21",$G150="Z - Deferment (Under 21)",$G150="Please Enter The NI Cont. in ££££")),$G150,SUM(MAX(MIN(AI150-'Input Data'!$BG$3,'Input Data'!$BG$5-'Input Data'!$BG$3),0)*VLOOKUP($G150,'Input Data'!$BI$3:$BL$10,2,FALSE),MAX(MIN(AI150-'Input Data'!$BG$5,IF(OR($G150="M (under 21)",$G150="Z (under 21 - deferment)"),'Input Data'!$BG$6,IF($G150="H (Apprentice under 25)",'Input Data'!$BG$7,'Input Data'!$BG$8))-'Input Data'!$BG$5),0)*VLOOKUP($G150,'Input Data'!$BI$3:$BL$10,3,FALSE),MAX((AI150-IF(OR($G150="M (under 21)",$G150="Z (under 21 - deferment)"),'Input Data'!$BG$6,IF($G150="H (Apprentice under 25)",'Input Data'!$BG$7,'Input Data'!$BG$8))),0)*VLOOKUP($G150,'Input Data'!$BI$3:$BL$10,4,FALSE))))</f>
        <v>0</v>
      </c>
      <c r="AR150" s="56">
        <f>IF($G150="",0,IF(NOT(OR($G150="A - All employees not in groups B, C, J, H, M or Z",$G150="B - Married women and widows entitled to reduced NI",$G150="C - Over the State Pension age",$G150="H - Apprentice under 25",$G150="J – Deferment",$G150="M - Under 21",$G150="Z - Deferment (Under 21)",$G150="Please Enter The NI Cont. in ££££")),$G150,SUM(MAX(MIN(AJ150-'Input Data'!$BG$3,'Input Data'!$BG$5-'Input Data'!$BG$3),0)*VLOOKUP($G150,'Input Data'!$BI$3:$BL$10,2,FALSE),MAX(MIN(AJ150-'Input Data'!$BG$5,IF(OR($G150="M (under 21)",$G150="Z (under 21 - deferment)"),'Input Data'!$BG$6,IF($G150="H (Apprentice under 25)",'Input Data'!$BG$7,'Input Data'!$BG$8))-'Input Data'!$BG$5),0)*VLOOKUP($G150,'Input Data'!$BI$3:$BL$10,3,FALSE),MAX((AJ150-IF(OR($G150="M (under 21)",$G150="Z (under 21 - deferment)"),'Input Data'!$BG$6,IF($G150="H (Apprentice under 25)",'Input Data'!$BG$7,'Input Data'!$BG$8))),0)*VLOOKUP($G150,'Input Data'!$BI$3:$BL$10,4,FALSE))))</f>
        <v>0</v>
      </c>
      <c r="AS150" s="56">
        <f>AC150*$F150</f>
        <v>0</v>
      </c>
      <c r="AT150" s="56">
        <f>AD150*$F150</f>
        <v>0</v>
      </c>
      <c r="AU150" s="56">
        <f>AE150*$F150</f>
        <v>0</v>
      </c>
      <c r="AV150" s="56">
        <f>AF150*$F150</f>
        <v>0</v>
      </c>
      <c r="AW150" s="56">
        <f>AG150*$F150</f>
        <v>0</v>
      </c>
      <c r="AX150" s="56">
        <f>AH150*$F150</f>
        <v>0</v>
      </c>
      <c r="AY150" s="56">
        <f>AI150*$F150</f>
        <v>0</v>
      </c>
      <c r="AZ150" s="56">
        <f>AJ150*$F150</f>
        <v>0</v>
      </c>
    </row>
    <row r="151" spans="2:52" ht="25.5">
      <c r="B151" s="60"/>
      <c r="C151" s="57" t="s">
        <v>68</v>
      </c>
      <c r="D151" s="58"/>
      <c r="E151" s="58"/>
      <c r="F151" s="535"/>
      <c r="G151" s="693" t="s">
        <v>1149</v>
      </c>
      <c r="H151" s="65"/>
      <c r="I151" s="65"/>
      <c r="J151" s="65"/>
      <c r="K151" s="65"/>
      <c r="L151" s="65"/>
      <c r="M151" s="65"/>
      <c r="N151" s="65"/>
      <c r="O151" s="65"/>
      <c r="P151" s="29"/>
      <c r="Q151" s="597"/>
      <c r="R151" s="61"/>
      <c r="T151" s="43">
        <f>SUM(AC151,AK151,AS151)</f>
        <v>0</v>
      </c>
      <c r="U151" s="43">
        <f>SUM(AD151,AL151,AT151)</f>
        <v>0</v>
      </c>
      <c r="V151" s="43">
        <f>SUM(AE151,AM151,AU151)</f>
        <v>0</v>
      </c>
      <c r="W151" s="43">
        <f>SUM(AF151,AN151,AV151)</f>
        <v>0</v>
      </c>
      <c r="X151" s="43">
        <f>SUM(AG151,AO151,AW151)</f>
        <v>0</v>
      </c>
      <c r="Y151" s="43">
        <f>SUM(AH151,AP151,AX151)</f>
        <v>0</v>
      </c>
      <c r="Z151" s="43">
        <f>SUM(AI151,AQ151,AY151)</f>
        <v>0</v>
      </c>
      <c r="AA151" s="43">
        <f>SUM(AJ151,AR151,AZ151)</f>
        <v>0</v>
      </c>
      <c r="AC151" s="631">
        <f>SUM($D151:$E151)*H151</f>
        <v>0</v>
      </c>
      <c r="AD151" s="631">
        <f>SUM($D151:$E151)*I151</f>
        <v>0</v>
      </c>
      <c r="AE151" s="631">
        <f>SUM($D151:$E151)*J151</f>
        <v>0</v>
      </c>
      <c r="AF151" s="631">
        <f>SUM($D151:$E151)*K151</f>
        <v>0</v>
      </c>
      <c r="AG151" s="631">
        <f>SUM($D151:$E151)*L151</f>
        <v>0</v>
      </c>
      <c r="AH151" s="631">
        <f>SUM($D151:$E151)*M151</f>
        <v>0</v>
      </c>
      <c r="AI151" s="631">
        <f>SUM($D151:$E151)*N151</f>
        <v>0</v>
      </c>
      <c r="AJ151" s="631">
        <f>SUM($D151:$E151)*O151</f>
        <v>0</v>
      </c>
      <c r="AK151" s="56">
        <f>IF($G151="",0,IF(NOT(OR($G151="A - All employees not in groups B, C, J, H, M or Z",$G151="B - Married women and widows entitled to reduced NI",$G151="C - Over the State Pension age",$G151="H - Apprentice under 25",$G151="J – Deferment",$G151="M - Under 21",$G151="Z - Deferment (Under 21)",$G151="Please Enter The NI Cont. in ££££")),$G151,SUM(MAX(MIN(AC151-'Input Data'!$BG$3,'Input Data'!$BG$5-'Input Data'!$BG$3),0)*VLOOKUP($G151,'Input Data'!$BI$3:$BL$10,2,FALSE),MAX(MIN(AC151-'Input Data'!$BG$5,IF(OR($G151="M (under 21)",$G151="Z (under 21 - deferment)"),'Input Data'!$BG$6,IF($G151="H (Apprentice under 25)",'Input Data'!$BG$7,'Input Data'!$BG$8))-'Input Data'!$BG$5),0)*VLOOKUP($G151,'Input Data'!$BI$3:$BL$10,3,FALSE),MAX((AC151-IF(OR($G151="M (under 21)",$G151="Z (under 21 - deferment)"),'Input Data'!$BG$6,IF($G151="H (Apprentice under 25)",'Input Data'!$BG$7,'Input Data'!$BG$8))),0)*VLOOKUP($G151,'Input Data'!$BI$3:$BL$10,4,FALSE))))</f>
        <v>0</v>
      </c>
      <c r="AL151" s="56">
        <f>IF($G151="",0,IF(NOT(OR($G151="A - All employees not in groups B, C, J, H, M or Z",$G151="B - Married women and widows entitled to reduced NI",$G151="C - Over the State Pension age",$G151="H - Apprentice under 25",$G151="J – Deferment",$G151="M - Under 21",$G151="Z - Deferment (Under 21)",$G151="Please Enter The NI Cont. in ££££")),$G151,SUM(MAX(MIN(AD151-'Input Data'!$BG$3,'Input Data'!$BG$5-'Input Data'!$BG$3),0)*VLOOKUP($G151,'Input Data'!$BI$3:$BL$10,2,FALSE),MAX(MIN(AD151-'Input Data'!$BG$5,IF(OR($G151="M (under 21)",$G151="Z (under 21 - deferment)"),'Input Data'!$BG$6,IF($G151="H (Apprentice under 25)",'Input Data'!$BG$7,'Input Data'!$BG$8))-'Input Data'!$BG$5),0)*VLOOKUP($G151,'Input Data'!$BI$3:$BL$10,3,FALSE),MAX((AD151-IF(OR($G151="M (under 21)",$G151="Z (under 21 - deferment)"),'Input Data'!$BG$6,IF($G151="H (Apprentice under 25)",'Input Data'!$BG$7,'Input Data'!$BG$8))),0)*VLOOKUP($G151,'Input Data'!$BI$3:$BL$10,4,FALSE))))</f>
        <v>0</v>
      </c>
      <c r="AM151" s="56">
        <f>IF($G151="",0,IF(NOT(OR($G151="A - All employees not in groups B, C, J, H, M or Z",$G151="B - Married women and widows entitled to reduced NI",$G151="C - Over the State Pension age",$G151="H - Apprentice under 25",$G151="J – Deferment",$G151="M - Under 21",$G151="Z - Deferment (Under 21)",$G151="Please Enter The NI Cont. in ££££")),$G151,SUM(MAX(MIN(AE151-'Input Data'!$BG$3,'Input Data'!$BG$5-'Input Data'!$BG$3),0)*VLOOKUP($G151,'Input Data'!$BI$3:$BL$10,2,FALSE),MAX(MIN(AE151-'Input Data'!$BG$5,IF(OR($G151="M (under 21)",$G151="Z (under 21 - deferment)"),'Input Data'!$BG$6,IF($G151="H (Apprentice under 25)",'Input Data'!$BG$7,'Input Data'!$BG$8))-'Input Data'!$BG$5),0)*VLOOKUP($G151,'Input Data'!$BI$3:$BL$10,3,FALSE),MAX((AE151-IF(OR($G151="M (under 21)",$G151="Z (under 21 - deferment)"),'Input Data'!$BG$6,IF($G151="H (Apprentice under 25)",'Input Data'!$BG$7,'Input Data'!$BG$8))),0)*VLOOKUP($G151,'Input Data'!$BI$3:$BL$10,4,FALSE))))</f>
        <v>0</v>
      </c>
      <c r="AN151" s="56">
        <f>IF($G151="",0,IF(NOT(OR($G151="A - All employees not in groups B, C, J, H, M or Z",$G151="B - Married women and widows entitled to reduced NI",$G151="C - Over the State Pension age",$G151="H - Apprentice under 25",$G151="J – Deferment",$G151="M - Under 21",$G151="Z - Deferment (Under 21)",$G151="Please Enter The NI Cont. in ££££")),$G151,SUM(MAX(MIN(AF151-'Input Data'!$BG$3,'Input Data'!$BG$5-'Input Data'!$BG$3),0)*VLOOKUP($G151,'Input Data'!$BI$3:$BL$10,2,FALSE),MAX(MIN(AF151-'Input Data'!$BG$5,IF(OR($G151="M (under 21)",$G151="Z (under 21 - deferment)"),'Input Data'!$BG$6,IF($G151="H (Apprentice under 25)",'Input Data'!$BG$7,'Input Data'!$BG$8))-'Input Data'!$BG$5),0)*VLOOKUP($G151,'Input Data'!$BI$3:$BL$10,3,FALSE),MAX((AF151-IF(OR($G151="M (under 21)",$G151="Z (under 21 - deferment)"),'Input Data'!$BG$6,IF($G151="H (Apprentice under 25)",'Input Data'!$BG$7,'Input Data'!$BG$8))),0)*VLOOKUP($G151,'Input Data'!$BI$3:$BL$10,4,FALSE))))</f>
        <v>0</v>
      </c>
      <c r="AO151" s="56">
        <f>IF($G151="",0,IF(NOT(OR($G151="A - All employees not in groups B, C, J, H, M or Z",$G151="B - Married women and widows entitled to reduced NI",$G151="C - Over the State Pension age",$G151="H - Apprentice under 25",$G151="J – Deferment",$G151="M - Under 21",$G151="Z - Deferment (Under 21)",$G151="Please Enter The NI Cont. in ££££")),$G151,SUM(MAX(MIN(AG151-'Input Data'!$BG$3,'Input Data'!$BG$5-'Input Data'!$BG$3),0)*VLOOKUP($G151,'Input Data'!$BI$3:$BL$10,2,FALSE),MAX(MIN(AG151-'Input Data'!$BG$5,IF(OR($G151="M (under 21)",$G151="Z (under 21 - deferment)"),'Input Data'!$BG$6,IF($G151="H (Apprentice under 25)",'Input Data'!$BG$7,'Input Data'!$BG$8))-'Input Data'!$BG$5),0)*VLOOKUP($G151,'Input Data'!$BI$3:$BL$10,3,FALSE),MAX((AG151-IF(OR($G151="M (under 21)",$G151="Z (under 21 - deferment)"),'Input Data'!$BG$6,IF($G151="H (Apprentice under 25)",'Input Data'!$BG$7,'Input Data'!$BG$8))),0)*VLOOKUP($G151,'Input Data'!$BI$3:$BL$10,4,FALSE))))</f>
        <v>0</v>
      </c>
      <c r="AP151" s="56">
        <f>IF($G151="",0,IF(NOT(OR($G151="A - All employees not in groups B, C, J, H, M or Z",$G151="B - Married women and widows entitled to reduced NI",$G151="C - Over the State Pension age",$G151="H - Apprentice under 25",$G151="J – Deferment",$G151="M - Under 21",$G151="Z - Deferment (Under 21)",$G151="Please Enter The NI Cont. in ££££")),$G151,SUM(MAX(MIN(AH151-'Input Data'!$BG$3,'Input Data'!$BG$5-'Input Data'!$BG$3),0)*VLOOKUP($G151,'Input Data'!$BI$3:$BL$10,2,FALSE),MAX(MIN(AH151-'Input Data'!$BG$5,IF(OR($G151="M (under 21)",$G151="Z (under 21 - deferment)"),'Input Data'!$BG$6,IF($G151="H (Apprentice under 25)",'Input Data'!$BG$7,'Input Data'!$BG$8))-'Input Data'!$BG$5),0)*VLOOKUP($G151,'Input Data'!$BI$3:$BL$10,3,FALSE),MAX((AH151-IF(OR($G151="M (under 21)",$G151="Z (under 21 - deferment)"),'Input Data'!$BG$6,IF($G151="H (Apprentice under 25)",'Input Data'!$BG$7,'Input Data'!$BG$8))),0)*VLOOKUP($G151,'Input Data'!$BI$3:$BL$10,4,FALSE))))</f>
        <v>0</v>
      </c>
      <c r="AQ151" s="56">
        <f>IF($G151="",0,IF(NOT(OR($G151="A - All employees not in groups B, C, J, H, M or Z",$G151="B - Married women and widows entitled to reduced NI",$G151="C - Over the State Pension age",$G151="H - Apprentice under 25",$G151="J – Deferment",$G151="M - Under 21",$G151="Z - Deferment (Under 21)",$G151="Please Enter The NI Cont. in ££££")),$G151,SUM(MAX(MIN(AI151-'Input Data'!$BG$3,'Input Data'!$BG$5-'Input Data'!$BG$3),0)*VLOOKUP($G151,'Input Data'!$BI$3:$BL$10,2,FALSE),MAX(MIN(AI151-'Input Data'!$BG$5,IF(OR($G151="M (under 21)",$G151="Z (under 21 - deferment)"),'Input Data'!$BG$6,IF($G151="H (Apprentice under 25)",'Input Data'!$BG$7,'Input Data'!$BG$8))-'Input Data'!$BG$5),0)*VLOOKUP($G151,'Input Data'!$BI$3:$BL$10,3,FALSE),MAX((AI151-IF(OR($G151="M (under 21)",$G151="Z (under 21 - deferment)"),'Input Data'!$BG$6,IF($G151="H (Apprentice under 25)",'Input Data'!$BG$7,'Input Data'!$BG$8))),0)*VLOOKUP($G151,'Input Data'!$BI$3:$BL$10,4,FALSE))))</f>
        <v>0</v>
      </c>
      <c r="AR151" s="56">
        <f>IF($G151="",0,IF(NOT(OR($G151="A - All employees not in groups B, C, J, H, M or Z",$G151="B - Married women and widows entitled to reduced NI",$G151="C - Over the State Pension age",$G151="H - Apprentice under 25",$G151="J – Deferment",$G151="M - Under 21",$G151="Z - Deferment (Under 21)",$G151="Please Enter The NI Cont. in ££££")),$G151,SUM(MAX(MIN(AJ151-'Input Data'!$BG$3,'Input Data'!$BG$5-'Input Data'!$BG$3),0)*VLOOKUP($G151,'Input Data'!$BI$3:$BL$10,2,FALSE),MAX(MIN(AJ151-'Input Data'!$BG$5,IF(OR($G151="M (under 21)",$G151="Z (under 21 - deferment)"),'Input Data'!$BG$6,IF($G151="H (Apprentice under 25)",'Input Data'!$BG$7,'Input Data'!$BG$8))-'Input Data'!$BG$5),0)*VLOOKUP($G151,'Input Data'!$BI$3:$BL$10,3,FALSE),MAX((AJ151-IF(OR($G151="M (under 21)",$G151="Z (under 21 - deferment)"),'Input Data'!$BG$6,IF($G151="H (Apprentice under 25)",'Input Data'!$BG$7,'Input Data'!$BG$8))),0)*VLOOKUP($G151,'Input Data'!$BI$3:$BL$10,4,FALSE))))</f>
        <v>0</v>
      </c>
      <c r="AS151" s="56">
        <f>AC151*$F151</f>
        <v>0</v>
      </c>
      <c r="AT151" s="56">
        <f>AD151*$F151</f>
        <v>0</v>
      </c>
      <c r="AU151" s="56">
        <f>AE151*$F151</f>
        <v>0</v>
      </c>
      <c r="AV151" s="56">
        <f>AF151*$F151</f>
        <v>0</v>
      </c>
      <c r="AW151" s="56">
        <f>AG151*$F151</f>
        <v>0</v>
      </c>
      <c r="AX151" s="56">
        <f>AH151*$F151</f>
        <v>0</v>
      </c>
      <c r="AY151" s="56">
        <f>AI151*$F151</f>
        <v>0</v>
      </c>
      <c r="AZ151" s="56">
        <f>AJ151*$F151</f>
        <v>0</v>
      </c>
    </row>
    <row r="152" spans="2:52" ht="25.5">
      <c r="B152" s="60"/>
      <c r="C152" s="57" t="s">
        <v>69</v>
      </c>
      <c r="D152" s="58"/>
      <c r="E152" s="58"/>
      <c r="F152" s="535"/>
      <c r="G152" s="693" t="s">
        <v>1149</v>
      </c>
      <c r="H152" s="65"/>
      <c r="I152" s="65"/>
      <c r="J152" s="65"/>
      <c r="K152" s="65"/>
      <c r="L152" s="65"/>
      <c r="M152" s="65"/>
      <c r="N152" s="65"/>
      <c r="O152" s="65"/>
      <c r="P152" s="29"/>
      <c r="Q152" s="597"/>
      <c r="R152" s="61"/>
      <c r="T152" s="43">
        <f>SUM(AC152,AK152,AS152)</f>
        <v>0</v>
      </c>
      <c r="U152" s="43">
        <f>SUM(AD152,AL152,AT152)</f>
        <v>0</v>
      </c>
      <c r="V152" s="43">
        <f>SUM(AE152,AM152,AU152)</f>
        <v>0</v>
      </c>
      <c r="W152" s="43">
        <f>SUM(AF152,AN152,AV152)</f>
        <v>0</v>
      </c>
      <c r="X152" s="43">
        <f>SUM(AG152,AO152,AW152)</f>
        <v>0</v>
      </c>
      <c r="Y152" s="43">
        <f>SUM(AH152,AP152,AX152)</f>
        <v>0</v>
      </c>
      <c r="Z152" s="43">
        <f>SUM(AI152,AQ152,AY152)</f>
        <v>0</v>
      </c>
      <c r="AA152" s="43">
        <f>SUM(AJ152,AR152,AZ152)</f>
        <v>0</v>
      </c>
      <c r="AC152" s="631">
        <f>SUM($D152:$E152)*H152</f>
        <v>0</v>
      </c>
      <c r="AD152" s="631">
        <f>SUM($D152:$E152)*I152</f>
        <v>0</v>
      </c>
      <c r="AE152" s="631">
        <f>SUM($D152:$E152)*J152</f>
        <v>0</v>
      </c>
      <c r="AF152" s="631">
        <f>SUM($D152:$E152)*K152</f>
        <v>0</v>
      </c>
      <c r="AG152" s="631">
        <f>SUM($D152:$E152)*L152</f>
        <v>0</v>
      </c>
      <c r="AH152" s="631">
        <f>SUM($D152:$E152)*M152</f>
        <v>0</v>
      </c>
      <c r="AI152" s="631">
        <f>SUM($D152:$E152)*N152</f>
        <v>0</v>
      </c>
      <c r="AJ152" s="631">
        <f>SUM($D152:$E152)*O152</f>
        <v>0</v>
      </c>
      <c r="AK152" s="56">
        <f>IF($G152="",0,IF(NOT(OR($G152="A - All employees not in groups B, C, J, H, M or Z",$G152="B - Married women and widows entitled to reduced NI",$G152="C - Over the State Pension age",$G152="H - Apprentice under 25",$G152="J – Deferment",$G152="M - Under 21",$G152="Z - Deferment (Under 21)",$G152="Please Enter The NI Cont. in ££££")),$G152,SUM(MAX(MIN(AC152-'Input Data'!$BG$3,'Input Data'!$BG$5-'Input Data'!$BG$3),0)*VLOOKUP($G152,'Input Data'!$BI$3:$BL$10,2,FALSE),MAX(MIN(AC152-'Input Data'!$BG$5,IF(OR($G152="M (under 21)",$G152="Z (under 21 - deferment)"),'Input Data'!$BG$6,IF($G152="H (Apprentice under 25)",'Input Data'!$BG$7,'Input Data'!$BG$8))-'Input Data'!$BG$5),0)*VLOOKUP($G152,'Input Data'!$BI$3:$BL$10,3,FALSE),MAX((AC152-IF(OR($G152="M (under 21)",$G152="Z (under 21 - deferment)"),'Input Data'!$BG$6,IF($G152="H (Apprentice under 25)",'Input Data'!$BG$7,'Input Data'!$BG$8))),0)*VLOOKUP($G152,'Input Data'!$BI$3:$BL$10,4,FALSE))))</f>
        <v>0</v>
      </c>
      <c r="AL152" s="56">
        <f>IF($G152="",0,IF(NOT(OR($G152="A - All employees not in groups B, C, J, H, M or Z",$G152="B - Married women and widows entitled to reduced NI",$G152="C - Over the State Pension age",$G152="H - Apprentice under 25",$G152="J – Deferment",$G152="M - Under 21",$G152="Z - Deferment (Under 21)",$G152="Please Enter The NI Cont. in ££££")),$G152,SUM(MAX(MIN(AD152-'Input Data'!$BG$3,'Input Data'!$BG$5-'Input Data'!$BG$3),0)*VLOOKUP($G152,'Input Data'!$BI$3:$BL$10,2,FALSE),MAX(MIN(AD152-'Input Data'!$BG$5,IF(OR($G152="M (under 21)",$G152="Z (under 21 - deferment)"),'Input Data'!$BG$6,IF($G152="H (Apprentice under 25)",'Input Data'!$BG$7,'Input Data'!$BG$8))-'Input Data'!$BG$5),0)*VLOOKUP($G152,'Input Data'!$BI$3:$BL$10,3,FALSE),MAX((AD152-IF(OR($G152="M (under 21)",$G152="Z (under 21 - deferment)"),'Input Data'!$BG$6,IF($G152="H (Apprentice under 25)",'Input Data'!$BG$7,'Input Data'!$BG$8))),0)*VLOOKUP($G152,'Input Data'!$BI$3:$BL$10,4,FALSE))))</f>
        <v>0</v>
      </c>
      <c r="AM152" s="56">
        <f>IF($G152="",0,IF(NOT(OR($G152="A - All employees not in groups B, C, J, H, M or Z",$G152="B - Married women and widows entitled to reduced NI",$G152="C - Over the State Pension age",$G152="H - Apprentice under 25",$G152="J – Deferment",$G152="M - Under 21",$G152="Z - Deferment (Under 21)",$G152="Please Enter The NI Cont. in ££££")),$G152,SUM(MAX(MIN(AE152-'Input Data'!$BG$3,'Input Data'!$BG$5-'Input Data'!$BG$3),0)*VLOOKUP($G152,'Input Data'!$BI$3:$BL$10,2,FALSE),MAX(MIN(AE152-'Input Data'!$BG$5,IF(OR($G152="M (under 21)",$G152="Z (under 21 - deferment)"),'Input Data'!$BG$6,IF($G152="H (Apprentice under 25)",'Input Data'!$BG$7,'Input Data'!$BG$8))-'Input Data'!$BG$5),0)*VLOOKUP($G152,'Input Data'!$BI$3:$BL$10,3,FALSE),MAX((AE152-IF(OR($G152="M (under 21)",$G152="Z (under 21 - deferment)"),'Input Data'!$BG$6,IF($G152="H (Apprentice under 25)",'Input Data'!$BG$7,'Input Data'!$BG$8))),0)*VLOOKUP($G152,'Input Data'!$BI$3:$BL$10,4,FALSE))))</f>
        <v>0</v>
      </c>
      <c r="AN152" s="56">
        <f>IF($G152="",0,IF(NOT(OR($G152="A - All employees not in groups B, C, J, H, M or Z",$G152="B - Married women and widows entitled to reduced NI",$G152="C - Over the State Pension age",$G152="H - Apprentice under 25",$G152="J – Deferment",$G152="M - Under 21",$G152="Z - Deferment (Under 21)",$G152="Please Enter The NI Cont. in ££££")),$G152,SUM(MAX(MIN(AF152-'Input Data'!$BG$3,'Input Data'!$BG$5-'Input Data'!$BG$3),0)*VLOOKUP($G152,'Input Data'!$BI$3:$BL$10,2,FALSE),MAX(MIN(AF152-'Input Data'!$BG$5,IF(OR($G152="M (under 21)",$G152="Z (under 21 - deferment)"),'Input Data'!$BG$6,IF($G152="H (Apprentice under 25)",'Input Data'!$BG$7,'Input Data'!$BG$8))-'Input Data'!$BG$5),0)*VLOOKUP($G152,'Input Data'!$BI$3:$BL$10,3,FALSE),MAX((AF152-IF(OR($G152="M (under 21)",$G152="Z (under 21 - deferment)"),'Input Data'!$BG$6,IF($G152="H (Apprentice under 25)",'Input Data'!$BG$7,'Input Data'!$BG$8))),0)*VLOOKUP($G152,'Input Data'!$BI$3:$BL$10,4,FALSE))))</f>
        <v>0</v>
      </c>
      <c r="AO152" s="56">
        <f>IF($G152="",0,IF(NOT(OR($G152="A - All employees not in groups B, C, J, H, M or Z",$G152="B - Married women and widows entitled to reduced NI",$G152="C - Over the State Pension age",$G152="H - Apprentice under 25",$G152="J – Deferment",$G152="M - Under 21",$G152="Z - Deferment (Under 21)",$G152="Please Enter The NI Cont. in ££££")),$G152,SUM(MAX(MIN(AG152-'Input Data'!$BG$3,'Input Data'!$BG$5-'Input Data'!$BG$3),0)*VLOOKUP($G152,'Input Data'!$BI$3:$BL$10,2,FALSE),MAX(MIN(AG152-'Input Data'!$BG$5,IF(OR($G152="M (under 21)",$G152="Z (under 21 - deferment)"),'Input Data'!$BG$6,IF($G152="H (Apprentice under 25)",'Input Data'!$BG$7,'Input Data'!$BG$8))-'Input Data'!$BG$5),0)*VLOOKUP($G152,'Input Data'!$BI$3:$BL$10,3,FALSE),MAX((AG152-IF(OR($G152="M (under 21)",$G152="Z (under 21 - deferment)"),'Input Data'!$BG$6,IF($G152="H (Apprentice under 25)",'Input Data'!$BG$7,'Input Data'!$BG$8))),0)*VLOOKUP($G152,'Input Data'!$BI$3:$BL$10,4,FALSE))))</f>
        <v>0</v>
      </c>
      <c r="AP152" s="56">
        <f>IF($G152="",0,IF(NOT(OR($G152="A - All employees not in groups B, C, J, H, M or Z",$G152="B - Married women and widows entitled to reduced NI",$G152="C - Over the State Pension age",$G152="H - Apprentice under 25",$G152="J – Deferment",$G152="M - Under 21",$G152="Z - Deferment (Under 21)",$G152="Please Enter The NI Cont. in ££££")),$G152,SUM(MAX(MIN(AH152-'Input Data'!$BG$3,'Input Data'!$BG$5-'Input Data'!$BG$3),0)*VLOOKUP($G152,'Input Data'!$BI$3:$BL$10,2,FALSE),MAX(MIN(AH152-'Input Data'!$BG$5,IF(OR($G152="M (under 21)",$G152="Z (under 21 - deferment)"),'Input Data'!$BG$6,IF($G152="H (Apprentice under 25)",'Input Data'!$BG$7,'Input Data'!$BG$8))-'Input Data'!$BG$5),0)*VLOOKUP($G152,'Input Data'!$BI$3:$BL$10,3,FALSE),MAX((AH152-IF(OR($G152="M (under 21)",$G152="Z (under 21 - deferment)"),'Input Data'!$BG$6,IF($G152="H (Apprentice under 25)",'Input Data'!$BG$7,'Input Data'!$BG$8))),0)*VLOOKUP($G152,'Input Data'!$BI$3:$BL$10,4,FALSE))))</f>
        <v>0</v>
      </c>
      <c r="AQ152" s="56">
        <f>IF($G152="",0,IF(NOT(OR($G152="A - All employees not in groups B, C, J, H, M or Z",$G152="B - Married women and widows entitled to reduced NI",$G152="C - Over the State Pension age",$G152="H - Apprentice under 25",$G152="J – Deferment",$G152="M - Under 21",$G152="Z - Deferment (Under 21)",$G152="Please Enter The NI Cont. in ££££")),$G152,SUM(MAX(MIN(AI152-'Input Data'!$BG$3,'Input Data'!$BG$5-'Input Data'!$BG$3),0)*VLOOKUP($G152,'Input Data'!$BI$3:$BL$10,2,FALSE),MAX(MIN(AI152-'Input Data'!$BG$5,IF(OR($G152="M (under 21)",$G152="Z (under 21 - deferment)"),'Input Data'!$BG$6,IF($G152="H (Apprentice under 25)",'Input Data'!$BG$7,'Input Data'!$BG$8))-'Input Data'!$BG$5),0)*VLOOKUP($G152,'Input Data'!$BI$3:$BL$10,3,FALSE),MAX((AI152-IF(OR($G152="M (under 21)",$G152="Z (under 21 - deferment)"),'Input Data'!$BG$6,IF($G152="H (Apprentice under 25)",'Input Data'!$BG$7,'Input Data'!$BG$8))),0)*VLOOKUP($G152,'Input Data'!$BI$3:$BL$10,4,FALSE))))</f>
        <v>0</v>
      </c>
      <c r="AR152" s="56">
        <f>IF($G152="",0,IF(NOT(OR($G152="A - All employees not in groups B, C, J, H, M or Z",$G152="B - Married women and widows entitled to reduced NI",$G152="C - Over the State Pension age",$G152="H - Apprentice under 25",$G152="J – Deferment",$G152="M - Under 21",$G152="Z - Deferment (Under 21)",$G152="Please Enter The NI Cont. in ££££")),$G152,SUM(MAX(MIN(AJ152-'Input Data'!$BG$3,'Input Data'!$BG$5-'Input Data'!$BG$3),0)*VLOOKUP($G152,'Input Data'!$BI$3:$BL$10,2,FALSE),MAX(MIN(AJ152-'Input Data'!$BG$5,IF(OR($G152="M (under 21)",$G152="Z (under 21 - deferment)"),'Input Data'!$BG$6,IF($G152="H (Apprentice under 25)",'Input Data'!$BG$7,'Input Data'!$BG$8))-'Input Data'!$BG$5),0)*VLOOKUP($G152,'Input Data'!$BI$3:$BL$10,3,FALSE),MAX((AJ152-IF(OR($G152="M (under 21)",$G152="Z (under 21 - deferment)"),'Input Data'!$BG$6,IF($G152="H (Apprentice under 25)",'Input Data'!$BG$7,'Input Data'!$BG$8))),0)*VLOOKUP($G152,'Input Data'!$BI$3:$BL$10,4,FALSE))))</f>
        <v>0</v>
      </c>
      <c r="AS152" s="56">
        <f>AC152*$F152</f>
        <v>0</v>
      </c>
      <c r="AT152" s="56">
        <f>AD152*$F152</f>
        <v>0</v>
      </c>
      <c r="AU152" s="56">
        <f>AE152*$F152</f>
        <v>0</v>
      </c>
      <c r="AV152" s="56">
        <f>AF152*$F152</f>
        <v>0</v>
      </c>
      <c r="AW152" s="56">
        <f>AG152*$F152</f>
        <v>0</v>
      </c>
      <c r="AX152" s="56">
        <f>AH152*$F152</f>
        <v>0</v>
      </c>
      <c r="AY152" s="56">
        <f>AI152*$F152</f>
        <v>0</v>
      </c>
      <c r="AZ152" s="56">
        <f>AJ152*$F152</f>
        <v>0</v>
      </c>
    </row>
    <row r="153" spans="2:52" ht="25.5">
      <c r="B153" s="60"/>
      <c r="C153" s="57" t="s">
        <v>70</v>
      </c>
      <c r="D153" s="58"/>
      <c r="E153" s="58"/>
      <c r="F153" s="535"/>
      <c r="G153" s="693" t="s">
        <v>1149</v>
      </c>
      <c r="H153" s="65"/>
      <c r="I153" s="65"/>
      <c r="J153" s="65"/>
      <c r="K153" s="65"/>
      <c r="L153" s="65"/>
      <c r="M153" s="65"/>
      <c r="N153" s="65"/>
      <c r="O153" s="65"/>
      <c r="P153" s="29"/>
      <c r="Q153" s="597"/>
      <c r="R153" s="61"/>
      <c r="T153" s="43">
        <f>SUM(AC153,AK153,AS153)</f>
        <v>0</v>
      </c>
      <c r="U153" s="43">
        <f>SUM(AD153,AL153,AT153)</f>
        <v>0</v>
      </c>
      <c r="V153" s="43">
        <f>SUM(AE153,AM153,AU153)</f>
        <v>0</v>
      </c>
      <c r="W153" s="43">
        <f>SUM(AF153,AN153,AV153)</f>
        <v>0</v>
      </c>
      <c r="X153" s="43">
        <f>SUM(AG153,AO153,AW153)</f>
        <v>0</v>
      </c>
      <c r="Y153" s="43">
        <f>SUM(AH153,AP153,AX153)</f>
        <v>0</v>
      </c>
      <c r="Z153" s="43">
        <f>SUM(AI153,AQ153,AY153)</f>
        <v>0</v>
      </c>
      <c r="AA153" s="43">
        <f>SUM(AJ153,AR153,AZ153)</f>
        <v>0</v>
      </c>
      <c r="AC153" s="631">
        <f>SUM($D153:$E153)*H153</f>
        <v>0</v>
      </c>
      <c r="AD153" s="631">
        <f>SUM($D153:$E153)*I153</f>
        <v>0</v>
      </c>
      <c r="AE153" s="631">
        <f>SUM($D153:$E153)*J153</f>
        <v>0</v>
      </c>
      <c r="AF153" s="631">
        <f>SUM($D153:$E153)*K153</f>
        <v>0</v>
      </c>
      <c r="AG153" s="631">
        <f>SUM($D153:$E153)*L153</f>
        <v>0</v>
      </c>
      <c r="AH153" s="631">
        <f>SUM($D153:$E153)*M153</f>
        <v>0</v>
      </c>
      <c r="AI153" s="631">
        <f>SUM($D153:$E153)*N153</f>
        <v>0</v>
      </c>
      <c r="AJ153" s="631">
        <f>SUM($D153:$E153)*O153</f>
        <v>0</v>
      </c>
      <c r="AK153" s="56">
        <f>IF($G153="",0,IF(NOT(OR($G153="A - All employees not in groups B, C, J, H, M or Z",$G153="B - Married women and widows entitled to reduced NI",$G153="C - Over the State Pension age",$G153="H - Apprentice under 25",$G153="J – Deferment",$G153="M - Under 21",$G153="Z - Deferment (Under 21)",$G153="Please Enter The NI Cont. in ££££")),$G153,SUM(MAX(MIN(AC153-'Input Data'!$BG$3,'Input Data'!$BG$5-'Input Data'!$BG$3),0)*VLOOKUP($G153,'Input Data'!$BI$3:$BL$10,2,FALSE),MAX(MIN(AC153-'Input Data'!$BG$5,IF(OR($G153="M (under 21)",$G153="Z (under 21 - deferment)"),'Input Data'!$BG$6,IF($G153="H (Apprentice under 25)",'Input Data'!$BG$7,'Input Data'!$BG$8))-'Input Data'!$BG$5),0)*VLOOKUP($G153,'Input Data'!$BI$3:$BL$10,3,FALSE),MAX((AC153-IF(OR($G153="M (under 21)",$G153="Z (under 21 - deferment)"),'Input Data'!$BG$6,IF($G153="H (Apprentice under 25)",'Input Data'!$BG$7,'Input Data'!$BG$8))),0)*VLOOKUP($G153,'Input Data'!$BI$3:$BL$10,4,FALSE))))</f>
        <v>0</v>
      </c>
      <c r="AL153" s="56">
        <f>IF($G153="",0,IF(NOT(OR($G153="A - All employees not in groups B, C, J, H, M or Z",$G153="B - Married women and widows entitled to reduced NI",$G153="C - Over the State Pension age",$G153="H - Apprentice under 25",$G153="J – Deferment",$G153="M - Under 21",$G153="Z - Deferment (Under 21)",$G153="Please Enter The NI Cont. in ££££")),$G153,SUM(MAX(MIN(AD153-'Input Data'!$BG$3,'Input Data'!$BG$5-'Input Data'!$BG$3),0)*VLOOKUP($G153,'Input Data'!$BI$3:$BL$10,2,FALSE),MAX(MIN(AD153-'Input Data'!$BG$5,IF(OR($G153="M (under 21)",$G153="Z (under 21 - deferment)"),'Input Data'!$BG$6,IF($G153="H (Apprentice under 25)",'Input Data'!$BG$7,'Input Data'!$BG$8))-'Input Data'!$BG$5),0)*VLOOKUP($G153,'Input Data'!$BI$3:$BL$10,3,FALSE),MAX((AD153-IF(OR($G153="M (under 21)",$G153="Z (under 21 - deferment)"),'Input Data'!$BG$6,IF($G153="H (Apprentice under 25)",'Input Data'!$BG$7,'Input Data'!$BG$8))),0)*VLOOKUP($G153,'Input Data'!$BI$3:$BL$10,4,FALSE))))</f>
        <v>0</v>
      </c>
      <c r="AM153" s="56">
        <f>IF($G153="",0,IF(NOT(OR($G153="A - All employees not in groups B, C, J, H, M or Z",$G153="B - Married women and widows entitled to reduced NI",$G153="C - Over the State Pension age",$G153="H - Apprentice under 25",$G153="J – Deferment",$G153="M - Under 21",$G153="Z - Deferment (Under 21)",$G153="Please Enter The NI Cont. in ££££")),$G153,SUM(MAX(MIN(AE153-'Input Data'!$BG$3,'Input Data'!$BG$5-'Input Data'!$BG$3),0)*VLOOKUP($G153,'Input Data'!$BI$3:$BL$10,2,FALSE),MAX(MIN(AE153-'Input Data'!$BG$5,IF(OR($G153="M (under 21)",$G153="Z (under 21 - deferment)"),'Input Data'!$BG$6,IF($G153="H (Apprentice under 25)",'Input Data'!$BG$7,'Input Data'!$BG$8))-'Input Data'!$BG$5),0)*VLOOKUP($G153,'Input Data'!$BI$3:$BL$10,3,FALSE),MAX((AE153-IF(OR($G153="M (under 21)",$G153="Z (under 21 - deferment)"),'Input Data'!$BG$6,IF($G153="H (Apprentice under 25)",'Input Data'!$BG$7,'Input Data'!$BG$8))),0)*VLOOKUP($G153,'Input Data'!$BI$3:$BL$10,4,FALSE))))</f>
        <v>0</v>
      </c>
      <c r="AN153" s="56">
        <f>IF($G153="",0,IF(NOT(OR($G153="A - All employees not in groups B, C, J, H, M or Z",$G153="B - Married women and widows entitled to reduced NI",$G153="C - Over the State Pension age",$G153="H - Apprentice under 25",$G153="J – Deferment",$G153="M - Under 21",$G153="Z - Deferment (Under 21)",$G153="Please Enter The NI Cont. in ££££")),$G153,SUM(MAX(MIN(AF153-'Input Data'!$BG$3,'Input Data'!$BG$5-'Input Data'!$BG$3),0)*VLOOKUP($G153,'Input Data'!$BI$3:$BL$10,2,FALSE),MAX(MIN(AF153-'Input Data'!$BG$5,IF(OR($G153="M (under 21)",$G153="Z (under 21 - deferment)"),'Input Data'!$BG$6,IF($G153="H (Apprentice under 25)",'Input Data'!$BG$7,'Input Data'!$BG$8))-'Input Data'!$BG$5),0)*VLOOKUP($G153,'Input Data'!$BI$3:$BL$10,3,FALSE),MAX((AF153-IF(OR($G153="M (under 21)",$G153="Z (under 21 - deferment)"),'Input Data'!$BG$6,IF($G153="H (Apprentice under 25)",'Input Data'!$BG$7,'Input Data'!$BG$8))),0)*VLOOKUP($G153,'Input Data'!$BI$3:$BL$10,4,FALSE))))</f>
        <v>0</v>
      </c>
      <c r="AO153" s="56">
        <f>IF($G153="",0,IF(NOT(OR($G153="A - All employees not in groups B, C, J, H, M or Z",$G153="B - Married women and widows entitled to reduced NI",$G153="C - Over the State Pension age",$G153="H - Apprentice under 25",$G153="J – Deferment",$G153="M - Under 21",$G153="Z - Deferment (Under 21)",$G153="Please Enter The NI Cont. in ££££")),$G153,SUM(MAX(MIN(AG153-'Input Data'!$BG$3,'Input Data'!$BG$5-'Input Data'!$BG$3),0)*VLOOKUP($G153,'Input Data'!$BI$3:$BL$10,2,FALSE),MAX(MIN(AG153-'Input Data'!$BG$5,IF(OR($G153="M (under 21)",$G153="Z (under 21 - deferment)"),'Input Data'!$BG$6,IF($G153="H (Apprentice under 25)",'Input Data'!$BG$7,'Input Data'!$BG$8))-'Input Data'!$BG$5),0)*VLOOKUP($G153,'Input Data'!$BI$3:$BL$10,3,FALSE),MAX((AG153-IF(OR($G153="M (under 21)",$G153="Z (under 21 - deferment)"),'Input Data'!$BG$6,IF($G153="H (Apprentice under 25)",'Input Data'!$BG$7,'Input Data'!$BG$8))),0)*VLOOKUP($G153,'Input Data'!$BI$3:$BL$10,4,FALSE))))</f>
        <v>0</v>
      </c>
      <c r="AP153" s="56">
        <f>IF($G153="",0,IF(NOT(OR($G153="A - All employees not in groups B, C, J, H, M or Z",$G153="B - Married women and widows entitled to reduced NI",$G153="C - Over the State Pension age",$G153="H - Apprentice under 25",$G153="J – Deferment",$G153="M - Under 21",$G153="Z - Deferment (Under 21)",$G153="Please Enter The NI Cont. in ££££")),$G153,SUM(MAX(MIN(AH153-'Input Data'!$BG$3,'Input Data'!$BG$5-'Input Data'!$BG$3),0)*VLOOKUP($G153,'Input Data'!$BI$3:$BL$10,2,FALSE),MAX(MIN(AH153-'Input Data'!$BG$5,IF(OR($G153="M (under 21)",$G153="Z (under 21 - deferment)"),'Input Data'!$BG$6,IF($G153="H (Apprentice under 25)",'Input Data'!$BG$7,'Input Data'!$BG$8))-'Input Data'!$BG$5),0)*VLOOKUP($G153,'Input Data'!$BI$3:$BL$10,3,FALSE),MAX((AH153-IF(OR($G153="M (under 21)",$G153="Z (under 21 - deferment)"),'Input Data'!$BG$6,IF($G153="H (Apprentice under 25)",'Input Data'!$BG$7,'Input Data'!$BG$8))),0)*VLOOKUP($G153,'Input Data'!$BI$3:$BL$10,4,FALSE))))</f>
        <v>0</v>
      </c>
      <c r="AQ153" s="56">
        <f>IF($G153="",0,IF(NOT(OR($G153="A - All employees not in groups B, C, J, H, M or Z",$G153="B - Married women and widows entitled to reduced NI",$G153="C - Over the State Pension age",$G153="H - Apprentice under 25",$G153="J – Deferment",$G153="M - Under 21",$G153="Z - Deferment (Under 21)",$G153="Please Enter The NI Cont. in ££££")),$G153,SUM(MAX(MIN(AI153-'Input Data'!$BG$3,'Input Data'!$BG$5-'Input Data'!$BG$3),0)*VLOOKUP($G153,'Input Data'!$BI$3:$BL$10,2,FALSE),MAX(MIN(AI153-'Input Data'!$BG$5,IF(OR($G153="M (under 21)",$G153="Z (under 21 - deferment)"),'Input Data'!$BG$6,IF($G153="H (Apprentice under 25)",'Input Data'!$BG$7,'Input Data'!$BG$8))-'Input Data'!$BG$5),0)*VLOOKUP($G153,'Input Data'!$BI$3:$BL$10,3,FALSE),MAX((AI153-IF(OR($G153="M (under 21)",$G153="Z (under 21 - deferment)"),'Input Data'!$BG$6,IF($G153="H (Apprentice under 25)",'Input Data'!$BG$7,'Input Data'!$BG$8))),0)*VLOOKUP($G153,'Input Data'!$BI$3:$BL$10,4,FALSE))))</f>
        <v>0</v>
      </c>
      <c r="AR153" s="56">
        <f>IF($G153="",0,IF(NOT(OR($G153="A - All employees not in groups B, C, J, H, M or Z",$G153="B - Married women and widows entitled to reduced NI",$G153="C - Over the State Pension age",$G153="H - Apprentice under 25",$G153="J – Deferment",$G153="M - Under 21",$G153="Z - Deferment (Under 21)",$G153="Please Enter The NI Cont. in ££££")),$G153,SUM(MAX(MIN(AJ153-'Input Data'!$BG$3,'Input Data'!$BG$5-'Input Data'!$BG$3),0)*VLOOKUP($G153,'Input Data'!$BI$3:$BL$10,2,FALSE),MAX(MIN(AJ153-'Input Data'!$BG$5,IF(OR($G153="M (under 21)",$G153="Z (under 21 - deferment)"),'Input Data'!$BG$6,IF($G153="H (Apprentice under 25)",'Input Data'!$BG$7,'Input Data'!$BG$8))-'Input Data'!$BG$5),0)*VLOOKUP($G153,'Input Data'!$BI$3:$BL$10,3,FALSE),MAX((AJ153-IF(OR($G153="M (under 21)",$G153="Z (under 21 - deferment)"),'Input Data'!$BG$6,IF($G153="H (Apprentice under 25)",'Input Data'!$BG$7,'Input Data'!$BG$8))),0)*VLOOKUP($G153,'Input Data'!$BI$3:$BL$10,4,FALSE))))</f>
        <v>0</v>
      </c>
      <c r="AS153" s="56">
        <f>AC153*$F153</f>
        <v>0</v>
      </c>
      <c r="AT153" s="56">
        <f>AD153*$F153</f>
        <v>0</v>
      </c>
      <c r="AU153" s="56">
        <f>AE153*$F153</f>
        <v>0</v>
      </c>
      <c r="AV153" s="56">
        <f>AF153*$F153</f>
        <v>0</v>
      </c>
      <c r="AW153" s="56">
        <f>AG153*$F153</f>
        <v>0</v>
      </c>
      <c r="AX153" s="56">
        <f>AH153*$F153</f>
        <v>0</v>
      </c>
      <c r="AY153" s="56">
        <f>AI153*$F153</f>
        <v>0</v>
      </c>
      <c r="AZ153" s="56">
        <f>AJ153*$F153</f>
        <v>0</v>
      </c>
    </row>
    <row r="154" spans="2:52" ht="25.5">
      <c r="B154" s="60"/>
      <c r="C154" s="57" t="s">
        <v>71</v>
      </c>
      <c r="D154" s="58"/>
      <c r="E154" s="58"/>
      <c r="F154" s="535"/>
      <c r="G154" s="693" t="s">
        <v>1149</v>
      </c>
      <c r="H154" s="65"/>
      <c r="I154" s="65"/>
      <c r="J154" s="65"/>
      <c r="K154" s="65"/>
      <c r="L154" s="65"/>
      <c r="M154" s="65"/>
      <c r="N154" s="65"/>
      <c r="O154" s="65"/>
      <c r="P154" s="29"/>
      <c r="Q154" s="597"/>
      <c r="R154" s="61"/>
      <c r="T154" s="43">
        <f>SUM(AC154,AK154,AS154)</f>
        <v>0</v>
      </c>
      <c r="U154" s="43">
        <f>SUM(AD154,AL154,AT154)</f>
        <v>0</v>
      </c>
      <c r="V154" s="43">
        <f>SUM(AE154,AM154,AU154)</f>
        <v>0</v>
      </c>
      <c r="W154" s="43">
        <f>SUM(AF154,AN154,AV154)</f>
        <v>0</v>
      </c>
      <c r="X154" s="43">
        <f>SUM(AG154,AO154,AW154)</f>
        <v>0</v>
      </c>
      <c r="Y154" s="43">
        <f>SUM(AH154,AP154,AX154)</f>
        <v>0</v>
      </c>
      <c r="Z154" s="43">
        <f>SUM(AI154,AQ154,AY154)</f>
        <v>0</v>
      </c>
      <c r="AA154" s="43">
        <f>SUM(AJ154,AR154,AZ154)</f>
        <v>0</v>
      </c>
      <c r="AC154" s="631">
        <f>SUM($D154:$E154)*H154</f>
        <v>0</v>
      </c>
      <c r="AD154" s="631">
        <f>SUM($D154:$E154)*I154</f>
        <v>0</v>
      </c>
      <c r="AE154" s="631">
        <f>SUM($D154:$E154)*J154</f>
        <v>0</v>
      </c>
      <c r="AF154" s="631">
        <f>SUM($D154:$E154)*K154</f>
        <v>0</v>
      </c>
      <c r="AG154" s="631">
        <f>SUM($D154:$E154)*L154</f>
        <v>0</v>
      </c>
      <c r="AH154" s="631">
        <f>SUM($D154:$E154)*M154</f>
        <v>0</v>
      </c>
      <c r="AI154" s="631">
        <f>SUM($D154:$E154)*N154</f>
        <v>0</v>
      </c>
      <c r="AJ154" s="631">
        <f>SUM($D154:$E154)*O154</f>
        <v>0</v>
      </c>
      <c r="AK154" s="56">
        <f>IF($G154="",0,IF(NOT(OR($G154="A - All employees not in groups B, C, J, H, M or Z",$G154="B - Married women and widows entitled to reduced NI",$G154="C - Over the State Pension age",$G154="H - Apprentice under 25",$G154="J – Deferment",$G154="M - Under 21",$G154="Z - Deferment (Under 21)",$G154="Please Enter The NI Cont. in ££££")),$G154,SUM(MAX(MIN(AC154-'Input Data'!$BG$3,'Input Data'!$BG$5-'Input Data'!$BG$3),0)*VLOOKUP($G154,'Input Data'!$BI$3:$BL$10,2,FALSE),MAX(MIN(AC154-'Input Data'!$BG$5,IF(OR($G154="M (under 21)",$G154="Z (under 21 - deferment)"),'Input Data'!$BG$6,IF($G154="H (Apprentice under 25)",'Input Data'!$BG$7,'Input Data'!$BG$8))-'Input Data'!$BG$5),0)*VLOOKUP($G154,'Input Data'!$BI$3:$BL$10,3,FALSE),MAX((AC154-IF(OR($G154="M (under 21)",$G154="Z (under 21 - deferment)"),'Input Data'!$BG$6,IF($G154="H (Apprentice under 25)",'Input Data'!$BG$7,'Input Data'!$BG$8))),0)*VLOOKUP($G154,'Input Data'!$BI$3:$BL$10,4,FALSE))))</f>
        <v>0</v>
      </c>
      <c r="AL154" s="56">
        <f>IF($G154="",0,IF(NOT(OR($G154="A - All employees not in groups B, C, J, H, M or Z",$G154="B - Married women and widows entitled to reduced NI",$G154="C - Over the State Pension age",$G154="H - Apprentice under 25",$G154="J – Deferment",$G154="M - Under 21",$G154="Z - Deferment (Under 21)",$G154="Please Enter The NI Cont. in ££££")),$G154,SUM(MAX(MIN(AD154-'Input Data'!$BG$3,'Input Data'!$BG$5-'Input Data'!$BG$3),0)*VLOOKUP($G154,'Input Data'!$BI$3:$BL$10,2,FALSE),MAX(MIN(AD154-'Input Data'!$BG$5,IF(OR($G154="M (under 21)",$G154="Z (under 21 - deferment)"),'Input Data'!$BG$6,IF($G154="H (Apprentice under 25)",'Input Data'!$BG$7,'Input Data'!$BG$8))-'Input Data'!$BG$5),0)*VLOOKUP($G154,'Input Data'!$BI$3:$BL$10,3,FALSE),MAX((AD154-IF(OR($G154="M (under 21)",$G154="Z (under 21 - deferment)"),'Input Data'!$BG$6,IF($G154="H (Apprentice under 25)",'Input Data'!$BG$7,'Input Data'!$BG$8))),0)*VLOOKUP($G154,'Input Data'!$BI$3:$BL$10,4,FALSE))))</f>
        <v>0</v>
      </c>
      <c r="AM154" s="56">
        <f>IF($G154="",0,IF(NOT(OR($G154="A - All employees not in groups B, C, J, H, M or Z",$G154="B - Married women and widows entitled to reduced NI",$G154="C - Over the State Pension age",$G154="H - Apprentice under 25",$G154="J – Deferment",$G154="M - Under 21",$G154="Z - Deferment (Under 21)",$G154="Please Enter The NI Cont. in ££££")),$G154,SUM(MAX(MIN(AE154-'Input Data'!$BG$3,'Input Data'!$BG$5-'Input Data'!$BG$3),0)*VLOOKUP($G154,'Input Data'!$BI$3:$BL$10,2,FALSE),MAX(MIN(AE154-'Input Data'!$BG$5,IF(OR($G154="M (under 21)",$G154="Z (under 21 - deferment)"),'Input Data'!$BG$6,IF($G154="H (Apprentice under 25)",'Input Data'!$BG$7,'Input Data'!$BG$8))-'Input Data'!$BG$5),0)*VLOOKUP($G154,'Input Data'!$BI$3:$BL$10,3,FALSE),MAX((AE154-IF(OR($G154="M (under 21)",$G154="Z (under 21 - deferment)"),'Input Data'!$BG$6,IF($G154="H (Apprentice under 25)",'Input Data'!$BG$7,'Input Data'!$BG$8))),0)*VLOOKUP($G154,'Input Data'!$BI$3:$BL$10,4,FALSE))))</f>
        <v>0</v>
      </c>
      <c r="AN154" s="56">
        <f>IF($G154="",0,IF(NOT(OR($G154="A - All employees not in groups B, C, J, H, M or Z",$G154="B - Married women and widows entitled to reduced NI",$G154="C - Over the State Pension age",$G154="H - Apprentice under 25",$G154="J – Deferment",$G154="M - Under 21",$G154="Z - Deferment (Under 21)",$G154="Please Enter The NI Cont. in ££££")),$G154,SUM(MAX(MIN(AF154-'Input Data'!$BG$3,'Input Data'!$BG$5-'Input Data'!$BG$3),0)*VLOOKUP($G154,'Input Data'!$BI$3:$BL$10,2,FALSE),MAX(MIN(AF154-'Input Data'!$BG$5,IF(OR($G154="M (under 21)",$G154="Z (under 21 - deferment)"),'Input Data'!$BG$6,IF($G154="H (Apprentice under 25)",'Input Data'!$BG$7,'Input Data'!$BG$8))-'Input Data'!$BG$5),0)*VLOOKUP($G154,'Input Data'!$BI$3:$BL$10,3,FALSE),MAX((AF154-IF(OR($G154="M (under 21)",$G154="Z (under 21 - deferment)"),'Input Data'!$BG$6,IF($G154="H (Apprentice under 25)",'Input Data'!$BG$7,'Input Data'!$BG$8))),0)*VLOOKUP($G154,'Input Data'!$BI$3:$BL$10,4,FALSE))))</f>
        <v>0</v>
      </c>
      <c r="AO154" s="56">
        <f>IF($G154="",0,IF(NOT(OR($G154="A - All employees not in groups B, C, J, H, M or Z",$G154="B - Married women and widows entitled to reduced NI",$G154="C - Over the State Pension age",$G154="H - Apprentice under 25",$G154="J – Deferment",$G154="M - Under 21",$G154="Z - Deferment (Under 21)",$G154="Please Enter The NI Cont. in ££££")),$G154,SUM(MAX(MIN(AG154-'Input Data'!$BG$3,'Input Data'!$BG$5-'Input Data'!$BG$3),0)*VLOOKUP($G154,'Input Data'!$BI$3:$BL$10,2,FALSE),MAX(MIN(AG154-'Input Data'!$BG$5,IF(OR($G154="M (under 21)",$G154="Z (under 21 - deferment)"),'Input Data'!$BG$6,IF($G154="H (Apprentice under 25)",'Input Data'!$BG$7,'Input Data'!$BG$8))-'Input Data'!$BG$5),0)*VLOOKUP($G154,'Input Data'!$BI$3:$BL$10,3,FALSE),MAX((AG154-IF(OR($G154="M (under 21)",$G154="Z (under 21 - deferment)"),'Input Data'!$BG$6,IF($G154="H (Apprentice under 25)",'Input Data'!$BG$7,'Input Data'!$BG$8))),0)*VLOOKUP($G154,'Input Data'!$BI$3:$BL$10,4,FALSE))))</f>
        <v>0</v>
      </c>
      <c r="AP154" s="56">
        <f>IF($G154="",0,IF(NOT(OR($G154="A - All employees not in groups B, C, J, H, M or Z",$G154="B - Married women and widows entitled to reduced NI",$G154="C - Over the State Pension age",$G154="H - Apprentice under 25",$G154="J – Deferment",$G154="M - Under 21",$G154="Z - Deferment (Under 21)",$G154="Please Enter The NI Cont. in ££££")),$G154,SUM(MAX(MIN(AH154-'Input Data'!$BG$3,'Input Data'!$BG$5-'Input Data'!$BG$3),0)*VLOOKUP($G154,'Input Data'!$BI$3:$BL$10,2,FALSE),MAX(MIN(AH154-'Input Data'!$BG$5,IF(OR($G154="M (under 21)",$G154="Z (under 21 - deferment)"),'Input Data'!$BG$6,IF($G154="H (Apprentice under 25)",'Input Data'!$BG$7,'Input Data'!$BG$8))-'Input Data'!$BG$5),0)*VLOOKUP($G154,'Input Data'!$BI$3:$BL$10,3,FALSE),MAX((AH154-IF(OR($G154="M (under 21)",$G154="Z (under 21 - deferment)"),'Input Data'!$BG$6,IF($G154="H (Apprentice under 25)",'Input Data'!$BG$7,'Input Data'!$BG$8))),0)*VLOOKUP($G154,'Input Data'!$BI$3:$BL$10,4,FALSE))))</f>
        <v>0</v>
      </c>
      <c r="AQ154" s="56">
        <f>IF($G154="",0,IF(NOT(OR($G154="A - All employees not in groups B, C, J, H, M or Z",$G154="B - Married women and widows entitled to reduced NI",$G154="C - Over the State Pension age",$G154="H - Apprentice under 25",$G154="J – Deferment",$G154="M - Under 21",$G154="Z - Deferment (Under 21)",$G154="Please Enter The NI Cont. in ££££")),$G154,SUM(MAX(MIN(AI154-'Input Data'!$BG$3,'Input Data'!$BG$5-'Input Data'!$BG$3),0)*VLOOKUP($G154,'Input Data'!$BI$3:$BL$10,2,FALSE),MAX(MIN(AI154-'Input Data'!$BG$5,IF(OR($G154="M (under 21)",$G154="Z (under 21 - deferment)"),'Input Data'!$BG$6,IF($G154="H (Apprentice under 25)",'Input Data'!$BG$7,'Input Data'!$BG$8))-'Input Data'!$BG$5),0)*VLOOKUP($G154,'Input Data'!$BI$3:$BL$10,3,FALSE),MAX((AI154-IF(OR($G154="M (under 21)",$G154="Z (under 21 - deferment)"),'Input Data'!$BG$6,IF($G154="H (Apprentice under 25)",'Input Data'!$BG$7,'Input Data'!$BG$8))),0)*VLOOKUP($G154,'Input Data'!$BI$3:$BL$10,4,FALSE))))</f>
        <v>0</v>
      </c>
      <c r="AR154" s="56">
        <f>IF($G154="",0,IF(NOT(OR($G154="A - All employees not in groups B, C, J, H, M or Z",$G154="B - Married women and widows entitled to reduced NI",$G154="C - Over the State Pension age",$G154="H - Apprentice under 25",$G154="J – Deferment",$G154="M - Under 21",$G154="Z - Deferment (Under 21)",$G154="Please Enter The NI Cont. in ££££")),$G154,SUM(MAX(MIN(AJ154-'Input Data'!$BG$3,'Input Data'!$BG$5-'Input Data'!$BG$3),0)*VLOOKUP($G154,'Input Data'!$BI$3:$BL$10,2,FALSE),MAX(MIN(AJ154-'Input Data'!$BG$5,IF(OR($G154="M (under 21)",$G154="Z (under 21 - deferment)"),'Input Data'!$BG$6,IF($G154="H (Apprentice under 25)",'Input Data'!$BG$7,'Input Data'!$BG$8))-'Input Data'!$BG$5),0)*VLOOKUP($G154,'Input Data'!$BI$3:$BL$10,3,FALSE),MAX((AJ154-IF(OR($G154="M (under 21)",$G154="Z (under 21 - deferment)"),'Input Data'!$BG$6,IF($G154="H (Apprentice under 25)",'Input Data'!$BG$7,'Input Data'!$BG$8))),0)*VLOOKUP($G154,'Input Data'!$BI$3:$BL$10,4,FALSE))))</f>
        <v>0</v>
      </c>
      <c r="AS154" s="56">
        <f>AC154*$F154</f>
        <v>0</v>
      </c>
      <c r="AT154" s="56">
        <f>AD154*$F154</f>
        <v>0</v>
      </c>
      <c r="AU154" s="56">
        <f>AE154*$F154</f>
        <v>0</v>
      </c>
      <c r="AV154" s="56">
        <f>AF154*$F154</f>
        <v>0</v>
      </c>
      <c r="AW154" s="56">
        <f>AG154*$F154</f>
        <v>0</v>
      </c>
      <c r="AX154" s="56">
        <f>AH154*$F154</f>
        <v>0</v>
      </c>
      <c r="AY154" s="56">
        <f>AI154*$F154</f>
        <v>0</v>
      </c>
      <c r="AZ154" s="56">
        <f>AJ154*$F154</f>
        <v>0</v>
      </c>
    </row>
    <row r="155" spans="2:52" ht="25.5">
      <c r="B155" s="60"/>
      <c r="C155" s="57" t="s">
        <v>72</v>
      </c>
      <c r="D155" s="58"/>
      <c r="E155" s="58"/>
      <c r="F155" s="535"/>
      <c r="G155" s="693" t="s">
        <v>1149</v>
      </c>
      <c r="H155" s="65"/>
      <c r="I155" s="65"/>
      <c r="J155" s="65"/>
      <c r="K155" s="65"/>
      <c r="L155" s="65"/>
      <c r="M155" s="65"/>
      <c r="N155" s="65"/>
      <c r="O155" s="65"/>
      <c r="P155" s="29"/>
      <c r="Q155" s="597"/>
      <c r="R155" s="61"/>
      <c r="T155" s="43">
        <f>SUM(AC155,AK155,AS155)</f>
        <v>0</v>
      </c>
      <c r="U155" s="43">
        <f>SUM(AD155,AL155,AT155)</f>
        <v>0</v>
      </c>
      <c r="V155" s="43">
        <f>SUM(AE155,AM155,AU155)</f>
        <v>0</v>
      </c>
      <c r="W155" s="43">
        <f>SUM(AF155,AN155,AV155)</f>
        <v>0</v>
      </c>
      <c r="X155" s="43">
        <f>SUM(AG155,AO155,AW155)</f>
        <v>0</v>
      </c>
      <c r="Y155" s="43">
        <f>SUM(AH155,AP155,AX155)</f>
        <v>0</v>
      </c>
      <c r="Z155" s="43">
        <f>SUM(AI155,AQ155,AY155)</f>
        <v>0</v>
      </c>
      <c r="AA155" s="43">
        <f>SUM(AJ155,AR155,AZ155)</f>
        <v>0</v>
      </c>
      <c r="AC155" s="631">
        <f>SUM($D155:$E155)*H155</f>
        <v>0</v>
      </c>
      <c r="AD155" s="631">
        <f>SUM($D155:$E155)*I155</f>
        <v>0</v>
      </c>
      <c r="AE155" s="631">
        <f>SUM($D155:$E155)*J155</f>
        <v>0</v>
      </c>
      <c r="AF155" s="631">
        <f>SUM($D155:$E155)*K155</f>
        <v>0</v>
      </c>
      <c r="AG155" s="631">
        <f>SUM($D155:$E155)*L155</f>
        <v>0</v>
      </c>
      <c r="AH155" s="631">
        <f>SUM($D155:$E155)*M155</f>
        <v>0</v>
      </c>
      <c r="AI155" s="631">
        <f>SUM($D155:$E155)*N155</f>
        <v>0</v>
      </c>
      <c r="AJ155" s="631">
        <f>SUM($D155:$E155)*O155</f>
        <v>0</v>
      </c>
      <c r="AK155" s="56">
        <f>IF($G155="",0,IF(NOT(OR($G155="A - All employees not in groups B, C, J, H, M or Z",$G155="B - Married women and widows entitled to reduced NI",$G155="C - Over the State Pension age",$G155="H - Apprentice under 25",$G155="J – Deferment",$G155="M - Under 21",$G155="Z - Deferment (Under 21)",$G155="Please Enter The NI Cont. in ££££")),$G155,SUM(MAX(MIN(AC155-'Input Data'!$BG$3,'Input Data'!$BG$5-'Input Data'!$BG$3),0)*VLOOKUP($G155,'Input Data'!$BI$3:$BL$10,2,FALSE),MAX(MIN(AC155-'Input Data'!$BG$5,IF(OR($G155="M (under 21)",$G155="Z (under 21 - deferment)"),'Input Data'!$BG$6,IF($G155="H (Apprentice under 25)",'Input Data'!$BG$7,'Input Data'!$BG$8))-'Input Data'!$BG$5),0)*VLOOKUP($G155,'Input Data'!$BI$3:$BL$10,3,FALSE),MAX((AC155-IF(OR($G155="M (under 21)",$G155="Z (under 21 - deferment)"),'Input Data'!$BG$6,IF($G155="H (Apprentice under 25)",'Input Data'!$BG$7,'Input Data'!$BG$8))),0)*VLOOKUP($G155,'Input Data'!$BI$3:$BL$10,4,FALSE))))</f>
        <v>0</v>
      </c>
      <c r="AL155" s="56">
        <f>IF($G155="",0,IF(NOT(OR($G155="A - All employees not in groups B, C, J, H, M or Z",$G155="B - Married women and widows entitled to reduced NI",$G155="C - Over the State Pension age",$G155="H - Apprentice under 25",$G155="J – Deferment",$G155="M - Under 21",$G155="Z - Deferment (Under 21)",$G155="Please Enter The NI Cont. in ££££")),$G155,SUM(MAX(MIN(AD155-'Input Data'!$BG$3,'Input Data'!$BG$5-'Input Data'!$BG$3),0)*VLOOKUP($G155,'Input Data'!$BI$3:$BL$10,2,FALSE),MAX(MIN(AD155-'Input Data'!$BG$5,IF(OR($G155="M (under 21)",$G155="Z (under 21 - deferment)"),'Input Data'!$BG$6,IF($G155="H (Apprentice under 25)",'Input Data'!$BG$7,'Input Data'!$BG$8))-'Input Data'!$BG$5),0)*VLOOKUP($G155,'Input Data'!$BI$3:$BL$10,3,FALSE),MAX((AD155-IF(OR($G155="M (under 21)",$G155="Z (under 21 - deferment)"),'Input Data'!$BG$6,IF($G155="H (Apprentice under 25)",'Input Data'!$BG$7,'Input Data'!$BG$8))),0)*VLOOKUP($G155,'Input Data'!$BI$3:$BL$10,4,FALSE))))</f>
        <v>0</v>
      </c>
      <c r="AM155" s="56">
        <f>IF($G155="",0,IF(NOT(OR($G155="A - All employees not in groups B, C, J, H, M or Z",$G155="B - Married women and widows entitled to reduced NI",$G155="C - Over the State Pension age",$G155="H - Apprentice under 25",$G155="J – Deferment",$G155="M - Under 21",$G155="Z - Deferment (Under 21)",$G155="Please Enter The NI Cont. in ££££")),$G155,SUM(MAX(MIN(AE155-'Input Data'!$BG$3,'Input Data'!$BG$5-'Input Data'!$BG$3),0)*VLOOKUP($G155,'Input Data'!$BI$3:$BL$10,2,FALSE),MAX(MIN(AE155-'Input Data'!$BG$5,IF(OR($G155="M (under 21)",$G155="Z (under 21 - deferment)"),'Input Data'!$BG$6,IF($G155="H (Apprentice under 25)",'Input Data'!$BG$7,'Input Data'!$BG$8))-'Input Data'!$BG$5),0)*VLOOKUP($G155,'Input Data'!$BI$3:$BL$10,3,FALSE),MAX((AE155-IF(OR($G155="M (under 21)",$G155="Z (under 21 - deferment)"),'Input Data'!$BG$6,IF($G155="H (Apprentice under 25)",'Input Data'!$BG$7,'Input Data'!$BG$8))),0)*VLOOKUP($G155,'Input Data'!$BI$3:$BL$10,4,FALSE))))</f>
        <v>0</v>
      </c>
      <c r="AN155" s="56">
        <f>IF($G155="",0,IF(NOT(OR($G155="A - All employees not in groups B, C, J, H, M or Z",$G155="B - Married women and widows entitled to reduced NI",$G155="C - Over the State Pension age",$G155="H - Apprentice under 25",$G155="J – Deferment",$G155="M - Under 21",$G155="Z - Deferment (Under 21)",$G155="Please Enter The NI Cont. in ££££")),$G155,SUM(MAX(MIN(AF155-'Input Data'!$BG$3,'Input Data'!$BG$5-'Input Data'!$BG$3),0)*VLOOKUP($G155,'Input Data'!$BI$3:$BL$10,2,FALSE),MAX(MIN(AF155-'Input Data'!$BG$5,IF(OR($G155="M (under 21)",$G155="Z (under 21 - deferment)"),'Input Data'!$BG$6,IF($G155="H (Apprentice under 25)",'Input Data'!$BG$7,'Input Data'!$BG$8))-'Input Data'!$BG$5),0)*VLOOKUP($G155,'Input Data'!$BI$3:$BL$10,3,FALSE),MAX((AF155-IF(OR($G155="M (under 21)",$G155="Z (under 21 - deferment)"),'Input Data'!$BG$6,IF($G155="H (Apprentice under 25)",'Input Data'!$BG$7,'Input Data'!$BG$8))),0)*VLOOKUP($G155,'Input Data'!$BI$3:$BL$10,4,FALSE))))</f>
        <v>0</v>
      </c>
      <c r="AO155" s="56">
        <f>IF($G155="",0,IF(NOT(OR($G155="A - All employees not in groups B, C, J, H, M or Z",$G155="B - Married women and widows entitled to reduced NI",$G155="C - Over the State Pension age",$G155="H - Apprentice under 25",$G155="J – Deferment",$G155="M - Under 21",$G155="Z - Deferment (Under 21)",$G155="Please Enter The NI Cont. in ££££")),$G155,SUM(MAX(MIN(AG155-'Input Data'!$BG$3,'Input Data'!$BG$5-'Input Data'!$BG$3),0)*VLOOKUP($G155,'Input Data'!$BI$3:$BL$10,2,FALSE),MAX(MIN(AG155-'Input Data'!$BG$5,IF(OR($G155="M (under 21)",$G155="Z (under 21 - deferment)"),'Input Data'!$BG$6,IF($G155="H (Apprentice under 25)",'Input Data'!$BG$7,'Input Data'!$BG$8))-'Input Data'!$BG$5),0)*VLOOKUP($G155,'Input Data'!$BI$3:$BL$10,3,FALSE),MAX((AG155-IF(OR($G155="M (under 21)",$G155="Z (under 21 - deferment)"),'Input Data'!$BG$6,IF($G155="H (Apprentice under 25)",'Input Data'!$BG$7,'Input Data'!$BG$8))),0)*VLOOKUP($G155,'Input Data'!$BI$3:$BL$10,4,FALSE))))</f>
        <v>0</v>
      </c>
      <c r="AP155" s="56">
        <f>IF($G155="",0,IF(NOT(OR($G155="A - All employees not in groups B, C, J, H, M or Z",$G155="B - Married women and widows entitled to reduced NI",$G155="C - Over the State Pension age",$G155="H - Apprentice under 25",$G155="J – Deferment",$G155="M - Under 21",$G155="Z - Deferment (Under 21)",$G155="Please Enter The NI Cont. in ££££")),$G155,SUM(MAX(MIN(AH155-'Input Data'!$BG$3,'Input Data'!$BG$5-'Input Data'!$BG$3),0)*VLOOKUP($G155,'Input Data'!$BI$3:$BL$10,2,FALSE),MAX(MIN(AH155-'Input Data'!$BG$5,IF(OR($G155="M (under 21)",$G155="Z (under 21 - deferment)"),'Input Data'!$BG$6,IF($G155="H (Apprentice under 25)",'Input Data'!$BG$7,'Input Data'!$BG$8))-'Input Data'!$BG$5),0)*VLOOKUP($G155,'Input Data'!$BI$3:$BL$10,3,FALSE),MAX((AH155-IF(OR($G155="M (under 21)",$G155="Z (under 21 - deferment)"),'Input Data'!$BG$6,IF($G155="H (Apprentice under 25)",'Input Data'!$BG$7,'Input Data'!$BG$8))),0)*VLOOKUP($G155,'Input Data'!$BI$3:$BL$10,4,FALSE))))</f>
        <v>0</v>
      </c>
      <c r="AQ155" s="56">
        <f>IF($G155="",0,IF(NOT(OR($G155="A - All employees not in groups B, C, J, H, M or Z",$G155="B - Married women and widows entitled to reduced NI",$G155="C - Over the State Pension age",$G155="H - Apprentice under 25",$G155="J – Deferment",$G155="M - Under 21",$G155="Z - Deferment (Under 21)",$G155="Please Enter The NI Cont. in ££££")),$G155,SUM(MAX(MIN(AI155-'Input Data'!$BG$3,'Input Data'!$BG$5-'Input Data'!$BG$3),0)*VLOOKUP($G155,'Input Data'!$BI$3:$BL$10,2,FALSE),MAX(MIN(AI155-'Input Data'!$BG$5,IF(OR($G155="M (under 21)",$G155="Z (under 21 - deferment)"),'Input Data'!$BG$6,IF($G155="H (Apprentice under 25)",'Input Data'!$BG$7,'Input Data'!$BG$8))-'Input Data'!$BG$5),0)*VLOOKUP($G155,'Input Data'!$BI$3:$BL$10,3,FALSE),MAX((AI155-IF(OR($G155="M (under 21)",$G155="Z (under 21 - deferment)"),'Input Data'!$BG$6,IF($G155="H (Apprentice under 25)",'Input Data'!$BG$7,'Input Data'!$BG$8))),0)*VLOOKUP($G155,'Input Data'!$BI$3:$BL$10,4,FALSE))))</f>
        <v>0</v>
      </c>
      <c r="AR155" s="56">
        <f>IF($G155="",0,IF(NOT(OR($G155="A - All employees not in groups B, C, J, H, M or Z",$G155="B - Married women and widows entitled to reduced NI",$G155="C - Over the State Pension age",$G155="H - Apprentice under 25",$G155="J – Deferment",$G155="M - Under 21",$G155="Z - Deferment (Under 21)",$G155="Please Enter The NI Cont. in ££££")),$G155,SUM(MAX(MIN(AJ155-'Input Data'!$BG$3,'Input Data'!$BG$5-'Input Data'!$BG$3),0)*VLOOKUP($G155,'Input Data'!$BI$3:$BL$10,2,FALSE),MAX(MIN(AJ155-'Input Data'!$BG$5,IF(OR($G155="M (under 21)",$G155="Z (under 21 - deferment)"),'Input Data'!$BG$6,IF($G155="H (Apprentice under 25)",'Input Data'!$BG$7,'Input Data'!$BG$8))-'Input Data'!$BG$5),0)*VLOOKUP($G155,'Input Data'!$BI$3:$BL$10,3,FALSE),MAX((AJ155-IF(OR($G155="M (under 21)",$G155="Z (under 21 - deferment)"),'Input Data'!$BG$6,IF($G155="H (Apprentice under 25)",'Input Data'!$BG$7,'Input Data'!$BG$8))),0)*VLOOKUP($G155,'Input Data'!$BI$3:$BL$10,4,FALSE))))</f>
        <v>0</v>
      </c>
      <c r="AS155" s="56">
        <f>AC155*$F155</f>
        <v>0</v>
      </c>
      <c r="AT155" s="56">
        <f>AD155*$F155</f>
        <v>0</v>
      </c>
      <c r="AU155" s="56">
        <f>AE155*$F155</f>
        <v>0</v>
      </c>
      <c r="AV155" s="56">
        <f>AF155*$F155</f>
        <v>0</v>
      </c>
      <c r="AW155" s="56">
        <f>AG155*$F155</f>
        <v>0</v>
      </c>
      <c r="AX155" s="56">
        <f>AH155*$F155</f>
        <v>0</v>
      </c>
      <c r="AY155" s="56">
        <f>AI155*$F155</f>
        <v>0</v>
      </c>
      <c r="AZ155" s="56">
        <f>AJ155*$F155</f>
        <v>0</v>
      </c>
    </row>
    <row r="156" spans="2:52" ht="25.5">
      <c r="B156" s="60"/>
      <c r="C156" s="57" t="s">
        <v>73</v>
      </c>
      <c r="D156" s="58"/>
      <c r="E156" s="58"/>
      <c r="F156" s="535"/>
      <c r="G156" s="693" t="s">
        <v>1149</v>
      </c>
      <c r="H156" s="65"/>
      <c r="I156" s="65"/>
      <c r="J156" s="65"/>
      <c r="K156" s="65"/>
      <c r="L156" s="65"/>
      <c r="M156" s="65"/>
      <c r="N156" s="65"/>
      <c r="O156" s="65"/>
      <c r="P156" s="29"/>
      <c r="Q156" s="597"/>
      <c r="R156" s="61"/>
      <c r="T156" s="43">
        <f>SUM(AC156,AK156,AS156)</f>
        <v>0</v>
      </c>
      <c r="U156" s="43">
        <f>SUM(AD156,AL156,AT156)</f>
        <v>0</v>
      </c>
      <c r="V156" s="43">
        <f>SUM(AE156,AM156,AU156)</f>
        <v>0</v>
      </c>
      <c r="W156" s="43">
        <f>SUM(AF156,AN156,AV156)</f>
        <v>0</v>
      </c>
      <c r="X156" s="43">
        <f>SUM(AG156,AO156,AW156)</f>
        <v>0</v>
      </c>
      <c r="Y156" s="43">
        <f>SUM(AH156,AP156,AX156)</f>
        <v>0</v>
      </c>
      <c r="Z156" s="43">
        <f>SUM(AI156,AQ156,AY156)</f>
        <v>0</v>
      </c>
      <c r="AA156" s="43">
        <f>SUM(AJ156,AR156,AZ156)</f>
        <v>0</v>
      </c>
      <c r="AC156" s="631">
        <f>SUM($D156:$E156)*H156</f>
        <v>0</v>
      </c>
      <c r="AD156" s="631">
        <f>SUM($D156:$E156)*I156</f>
        <v>0</v>
      </c>
      <c r="AE156" s="631">
        <f>SUM($D156:$E156)*J156</f>
        <v>0</v>
      </c>
      <c r="AF156" s="631">
        <f>SUM($D156:$E156)*K156</f>
        <v>0</v>
      </c>
      <c r="AG156" s="631">
        <f>SUM($D156:$E156)*L156</f>
        <v>0</v>
      </c>
      <c r="AH156" s="631">
        <f>SUM($D156:$E156)*M156</f>
        <v>0</v>
      </c>
      <c r="AI156" s="631">
        <f>SUM($D156:$E156)*N156</f>
        <v>0</v>
      </c>
      <c r="AJ156" s="631">
        <f>SUM($D156:$E156)*O156</f>
        <v>0</v>
      </c>
      <c r="AK156" s="56">
        <f>IF($G156="",0,IF(NOT(OR($G156="A - All employees not in groups B, C, J, H, M or Z",$G156="B - Married women and widows entitled to reduced NI",$G156="C - Over the State Pension age",$G156="H - Apprentice under 25",$G156="J – Deferment",$G156="M - Under 21",$G156="Z - Deferment (Under 21)",$G156="Please Enter The NI Cont. in ££££")),$G156,SUM(MAX(MIN(AC156-'Input Data'!$BG$3,'Input Data'!$BG$5-'Input Data'!$BG$3),0)*VLOOKUP($G156,'Input Data'!$BI$3:$BL$10,2,FALSE),MAX(MIN(AC156-'Input Data'!$BG$5,IF(OR($G156="M (under 21)",$G156="Z (under 21 - deferment)"),'Input Data'!$BG$6,IF($G156="H (Apprentice under 25)",'Input Data'!$BG$7,'Input Data'!$BG$8))-'Input Data'!$BG$5),0)*VLOOKUP($G156,'Input Data'!$BI$3:$BL$10,3,FALSE),MAX((AC156-IF(OR($G156="M (under 21)",$G156="Z (under 21 - deferment)"),'Input Data'!$BG$6,IF($G156="H (Apprentice under 25)",'Input Data'!$BG$7,'Input Data'!$BG$8))),0)*VLOOKUP($G156,'Input Data'!$BI$3:$BL$10,4,FALSE))))</f>
        <v>0</v>
      </c>
      <c r="AL156" s="56">
        <f>IF($G156="",0,IF(NOT(OR($G156="A - All employees not in groups B, C, J, H, M or Z",$G156="B - Married women and widows entitled to reduced NI",$G156="C - Over the State Pension age",$G156="H - Apprentice under 25",$G156="J – Deferment",$G156="M - Under 21",$G156="Z - Deferment (Under 21)",$G156="Please Enter The NI Cont. in ££££")),$G156,SUM(MAX(MIN(AD156-'Input Data'!$BG$3,'Input Data'!$BG$5-'Input Data'!$BG$3),0)*VLOOKUP($G156,'Input Data'!$BI$3:$BL$10,2,FALSE),MAX(MIN(AD156-'Input Data'!$BG$5,IF(OR($G156="M (under 21)",$G156="Z (under 21 - deferment)"),'Input Data'!$BG$6,IF($G156="H (Apprentice under 25)",'Input Data'!$BG$7,'Input Data'!$BG$8))-'Input Data'!$BG$5),0)*VLOOKUP($G156,'Input Data'!$BI$3:$BL$10,3,FALSE),MAX((AD156-IF(OR($G156="M (under 21)",$G156="Z (under 21 - deferment)"),'Input Data'!$BG$6,IF($G156="H (Apprentice under 25)",'Input Data'!$BG$7,'Input Data'!$BG$8))),0)*VLOOKUP($G156,'Input Data'!$BI$3:$BL$10,4,FALSE))))</f>
        <v>0</v>
      </c>
      <c r="AM156" s="56">
        <f>IF($G156="",0,IF(NOT(OR($G156="A - All employees not in groups B, C, J, H, M or Z",$G156="B - Married women and widows entitled to reduced NI",$G156="C - Over the State Pension age",$G156="H - Apprentice under 25",$G156="J – Deferment",$G156="M - Under 21",$G156="Z - Deferment (Under 21)",$G156="Please Enter The NI Cont. in ££££")),$G156,SUM(MAX(MIN(AE156-'Input Data'!$BG$3,'Input Data'!$BG$5-'Input Data'!$BG$3),0)*VLOOKUP($G156,'Input Data'!$BI$3:$BL$10,2,FALSE),MAX(MIN(AE156-'Input Data'!$BG$5,IF(OR($G156="M (under 21)",$G156="Z (under 21 - deferment)"),'Input Data'!$BG$6,IF($G156="H (Apprentice under 25)",'Input Data'!$BG$7,'Input Data'!$BG$8))-'Input Data'!$BG$5),0)*VLOOKUP($G156,'Input Data'!$BI$3:$BL$10,3,FALSE),MAX((AE156-IF(OR($G156="M (under 21)",$G156="Z (under 21 - deferment)"),'Input Data'!$BG$6,IF($G156="H (Apprentice under 25)",'Input Data'!$BG$7,'Input Data'!$BG$8))),0)*VLOOKUP($G156,'Input Data'!$BI$3:$BL$10,4,FALSE))))</f>
        <v>0</v>
      </c>
      <c r="AN156" s="56">
        <f>IF($G156="",0,IF(NOT(OR($G156="A - All employees not in groups B, C, J, H, M or Z",$G156="B - Married women and widows entitled to reduced NI",$G156="C - Over the State Pension age",$G156="H - Apprentice under 25",$G156="J – Deferment",$G156="M - Under 21",$G156="Z - Deferment (Under 21)",$G156="Please Enter The NI Cont. in ££££")),$G156,SUM(MAX(MIN(AF156-'Input Data'!$BG$3,'Input Data'!$BG$5-'Input Data'!$BG$3),0)*VLOOKUP($G156,'Input Data'!$BI$3:$BL$10,2,FALSE),MAX(MIN(AF156-'Input Data'!$BG$5,IF(OR($G156="M (under 21)",$G156="Z (under 21 - deferment)"),'Input Data'!$BG$6,IF($G156="H (Apprentice under 25)",'Input Data'!$BG$7,'Input Data'!$BG$8))-'Input Data'!$BG$5),0)*VLOOKUP($G156,'Input Data'!$BI$3:$BL$10,3,FALSE),MAX((AF156-IF(OR($G156="M (under 21)",$G156="Z (under 21 - deferment)"),'Input Data'!$BG$6,IF($G156="H (Apprentice under 25)",'Input Data'!$BG$7,'Input Data'!$BG$8))),0)*VLOOKUP($G156,'Input Data'!$BI$3:$BL$10,4,FALSE))))</f>
        <v>0</v>
      </c>
      <c r="AO156" s="56">
        <f>IF($G156="",0,IF(NOT(OR($G156="A - All employees not in groups B, C, J, H, M or Z",$G156="B - Married women and widows entitled to reduced NI",$G156="C - Over the State Pension age",$G156="H - Apprentice under 25",$G156="J – Deferment",$G156="M - Under 21",$G156="Z - Deferment (Under 21)",$G156="Please Enter The NI Cont. in ££££")),$G156,SUM(MAX(MIN(AG156-'Input Data'!$BG$3,'Input Data'!$BG$5-'Input Data'!$BG$3),0)*VLOOKUP($G156,'Input Data'!$BI$3:$BL$10,2,FALSE),MAX(MIN(AG156-'Input Data'!$BG$5,IF(OR($G156="M (under 21)",$G156="Z (under 21 - deferment)"),'Input Data'!$BG$6,IF($G156="H (Apprentice under 25)",'Input Data'!$BG$7,'Input Data'!$BG$8))-'Input Data'!$BG$5),0)*VLOOKUP($G156,'Input Data'!$BI$3:$BL$10,3,FALSE),MAX((AG156-IF(OR($G156="M (under 21)",$G156="Z (under 21 - deferment)"),'Input Data'!$BG$6,IF($G156="H (Apprentice under 25)",'Input Data'!$BG$7,'Input Data'!$BG$8))),0)*VLOOKUP($G156,'Input Data'!$BI$3:$BL$10,4,FALSE))))</f>
        <v>0</v>
      </c>
      <c r="AP156" s="56">
        <f>IF($G156="",0,IF(NOT(OR($G156="A - All employees not in groups B, C, J, H, M or Z",$G156="B - Married women and widows entitled to reduced NI",$G156="C - Over the State Pension age",$G156="H - Apprentice under 25",$G156="J – Deferment",$G156="M - Under 21",$G156="Z - Deferment (Under 21)",$G156="Please Enter The NI Cont. in ££££")),$G156,SUM(MAX(MIN(AH156-'Input Data'!$BG$3,'Input Data'!$BG$5-'Input Data'!$BG$3),0)*VLOOKUP($G156,'Input Data'!$BI$3:$BL$10,2,FALSE),MAX(MIN(AH156-'Input Data'!$BG$5,IF(OR($G156="M (under 21)",$G156="Z (under 21 - deferment)"),'Input Data'!$BG$6,IF($G156="H (Apprentice under 25)",'Input Data'!$BG$7,'Input Data'!$BG$8))-'Input Data'!$BG$5),0)*VLOOKUP($G156,'Input Data'!$BI$3:$BL$10,3,FALSE),MAX((AH156-IF(OR($G156="M (under 21)",$G156="Z (under 21 - deferment)"),'Input Data'!$BG$6,IF($G156="H (Apprentice under 25)",'Input Data'!$BG$7,'Input Data'!$BG$8))),0)*VLOOKUP($G156,'Input Data'!$BI$3:$BL$10,4,FALSE))))</f>
        <v>0</v>
      </c>
      <c r="AQ156" s="56">
        <f>IF($G156="",0,IF(NOT(OR($G156="A - All employees not in groups B, C, J, H, M or Z",$G156="B - Married women and widows entitled to reduced NI",$G156="C - Over the State Pension age",$G156="H - Apprentice under 25",$G156="J – Deferment",$G156="M - Under 21",$G156="Z - Deferment (Under 21)",$G156="Please Enter The NI Cont. in ££££")),$G156,SUM(MAX(MIN(AI156-'Input Data'!$BG$3,'Input Data'!$BG$5-'Input Data'!$BG$3),0)*VLOOKUP($G156,'Input Data'!$BI$3:$BL$10,2,FALSE),MAX(MIN(AI156-'Input Data'!$BG$5,IF(OR($G156="M (under 21)",$G156="Z (under 21 - deferment)"),'Input Data'!$BG$6,IF($G156="H (Apprentice under 25)",'Input Data'!$BG$7,'Input Data'!$BG$8))-'Input Data'!$BG$5),0)*VLOOKUP($G156,'Input Data'!$BI$3:$BL$10,3,FALSE),MAX((AI156-IF(OR($G156="M (under 21)",$G156="Z (under 21 - deferment)"),'Input Data'!$BG$6,IF($G156="H (Apprentice under 25)",'Input Data'!$BG$7,'Input Data'!$BG$8))),0)*VLOOKUP($G156,'Input Data'!$BI$3:$BL$10,4,FALSE))))</f>
        <v>0</v>
      </c>
      <c r="AR156" s="56">
        <f>IF($G156="",0,IF(NOT(OR($G156="A - All employees not in groups B, C, J, H, M or Z",$G156="B - Married women and widows entitled to reduced NI",$G156="C - Over the State Pension age",$G156="H - Apprentice under 25",$G156="J – Deferment",$G156="M - Under 21",$G156="Z - Deferment (Under 21)",$G156="Please Enter The NI Cont. in ££££")),$G156,SUM(MAX(MIN(AJ156-'Input Data'!$BG$3,'Input Data'!$BG$5-'Input Data'!$BG$3),0)*VLOOKUP($G156,'Input Data'!$BI$3:$BL$10,2,FALSE),MAX(MIN(AJ156-'Input Data'!$BG$5,IF(OR($G156="M (under 21)",$G156="Z (under 21 - deferment)"),'Input Data'!$BG$6,IF($G156="H (Apprentice under 25)",'Input Data'!$BG$7,'Input Data'!$BG$8))-'Input Data'!$BG$5),0)*VLOOKUP($G156,'Input Data'!$BI$3:$BL$10,3,FALSE),MAX((AJ156-IF(OR($G156="M (under 21)",$G156="Z (under 21 - deferment)"),'Input Data'!$BG$6,IF($G156="H (Apprentice under 25)",'Input Data'!$BG$7,'Input Data'!$BG$8))),0)*VLOOKUP($G156,'Input Data'!$BI$3:$BL$10,4,FALSE))))</f>
        <v>0</v>
      </c>
      <c r="AS156" s="56">
        <f>AC156*$F156</f>
        <v>0</v>
      </c>
      <c r="AT156" s="56">
        <f>AD156*$F156</f>
        <v>0</v>
      </c>
      <c r="AU156" s="56">
        <f>AE156*$F156</f>
        <v>0</v>
      </c>
      <c r="AV156" s="56">
        <f>AF156*$F156</f>
        <v>0</v>
      </c>
      <c r="AW156" s="56">
        <f>AG156*$F156</f>
        <v>0</v>
      </c>
      <c r="AX156" s="56">
        <f>AH156*$F156</f>
        <v>0</v>
      </c>
      <c r="AY156" s="56">
        <f>AI156*$F156</f>
        <v>0</v>
      </c>
      <c r="AZ156" s="56">
        <f>AJ156*$F156</f>
        <v>0</v>
      </c>
    </row>
    <row r="157" spans="2:52" ht="25.5">
      <c r="B157" s="60"/>
      <c r="C157" s="57" t="s">
        <v>74</v>
      </c>
      <c r="D157" s="58"/>
      <c r="E157" s="58"/>
      <c r="F157" s="535"/>
      <c r="G157" s="693" t="s">
        <v>1149</v>
      </c>
      <c r="H157" s="65"/>
      <c r="I157" s="65"/>
      <c r="J157" s="65"/>
      <c r="K157" s="65"/>
      <c r="L157" s="65"/>
      <c r="M157" s="65"/>
      <c r="N157" s="65"/>
      <c r="O157" s="65"/>
      <c r="P157" s="29"/>
      <c r="Q157" s="597"/>
      <c r="R157" s="61"/>
      <c r="T157" s="43">
        <f>SUM(AC157,AK157,AS157)</f>
        <v>0</v>
      </c>
      <c r="U157" s="43">
        <f>SUM(AD157,AL157,AT157)</f>
        <v>0</v>
      </c>
      <c r="V157" s="43">
        <f>SUM(AE157,AM157,AU157)</f>
        <v>0</v>
      </c>
      <c r="W157" s="43">
        <f>SUM(AF157,AN157,AV157)</f>
        <v>0</v>
      </c>
      <c r="X157" s="43">
        <f>SUM(AG157,AO157,AW157)</f>
        <v>0</v>
      </c>
      <c r="Y157" s="43">
        <f>SUM(AH157,AP157,AX157)</f>
        <v>0</v>
      </c>
      <c r="Z157" s="43">
        <f>SUM(AI157,AQ157,AY157)</f>
        <v>0</v>
      </c>
      <c r="AA157" s="43">
        <f>SUM(AJ157,AR157,AZ157)</f>
        <v>0</v>
      </c>
      <c r="AC157" s="631">
        <f>SUM($D157:$E157)*H157</f>
        <v>0</v>
      </c>
      <c r="AD157" s="631">
        <f>SUM($D157:$E157)*I157</f>
        <v>0</v>
      </c>
      <c r="AE157" s="631">
        <f>SUM($D157:$E157)*J157</f>
        <v>0</v>
      </c>
      <c r="AF157" s="631">
        <f>SUM($D157:$E157)*K157</f>
        <v>0</v>
      </c>
      <c r="AG157" s="631">
        <f>SUM($D157:$E157)*L157</f>
        <v>0</v>
      </c>
      <c r="AH157" s="631">
        <f>SUM($D157:$E157)*M157</f>
        <v>0</v>
      </c>
      <c r="AI157" s="631">
        <f>SUM($D157:$E157)*N157</f>
        <v>0</v>
      </c>
      <c r="AJ157" s="631">
        <f>SUM($D157:$E157)*O157</f>
        <v>0</v>
      </c>
      <c r="AK157" s="56">
        <f>IF($G157="",0,IF(NOT(OR($G157="A - All employees not in groups B, C, J, H, M or Z",$G157="B - Married women and widows entitled to reduced NI",$G157="C - Over the State Pension age",$G157="H - Apprentice under 25",$G157="J – Deferment",$G157="M - Under 21",$G157="Z - Deferment (Under 21)",$G157="Please Enter The NI Cont. in ££££")),$G157,SUM(MAX(MIN(AC157-'Input Data'!$BG$3,'Input Data'!$BG$5-'Input Data'!$BG$3),0)*VLOOKUP($G157,'Input Data'!$BI$3:$BL$10,2,FALSE),MAX(MIN(AC157-'Input Data'!$BG$5,IF(OR($G157="M (under 21)",$G157="Z (under 21 - deferment)"),'Input Data'!$BG$6,IF($G157="H (Apprentice under 25)",'Input Data'!$BG$7,'Input Data'!$BG$8))-'Input Data'!$BG$5),0)*VLOOKUP($G157,'Input Data'!$BI$3:$BL$10,3,FALSE),MAX((AC157-IF(OR($G157="M (under 21)",$G157="Z (under 21 - deferment)"),'Input Data'!$BG$6,IF($G157="H (Apprentice under 25)",'Input Data'!$BG$7,'Input Data'!$BG$8))),0)*VLOOKUP($G157,'Input Data'!$BI$3:$BL$10,4,FALSE))))</f>
        <v>0</v>
      </c>
      <c r="AL157" s="56">
        <f>IF($G157="",0,IF(NOT(OR($G157="A - All employees not in groups B, C, J, H, M or Z",$G157="B - Married women and widows entitled to reduced NI",$G157="C - Over the State Pension age",$G157="H - Apprentice under 25",$G157="J – Deferment",$G157="M - Under 21",$G157="Z - Deferment (Under 21)",$G157="Please Enter The NI Cont. in ££££")),$G157,SUM(MAX(MIN(AD157-'Input Data'!$BG$3,'Input Data'!$BG$5-'Input Data'!$BG$3),0)*VLOOKUP($G157,'Input Data'!$BI$3:$BL$10,2,FALSE),MAX(MIN(AD157-'Input Data'!$BG$5,IF(OR($G157="M (under 21)",$G157="Z (under 21 - deferment)"),'Input Data'!$BG$6,IF($G157="H (Apprentice under 25)",'Input Data'!$BG$7,'Input Data'!$BG$8))-'Input Data'!$BG$5),0)*VLOOKUP($G157,'Input Data'!$BI$3:$BL$10,3,FALSE),MAX((AD157-IF(OR($G157="M (under 21)",$G157="Z (under 21 - deferment)"),'Input Data'!$BG$6,IF($G157="H (Apprentice under 25)",'Input Data'!$BG$7,'Input Data'!$BG$8))),0)*VLOOKUP($G157,'Input Data'!$BI$3:$BL$10,4,FALSE))))</f>
        <v>0</v>
      </c>
      <c r="AM157" s="56">
        <f>IF($G157="",0,IF(NOT(OR($G157="A - All employees not in groups B, C, J, H, M or Z",$G157="B - Married women and widows entitled to reduced NI",$G157="C - Over the State Pension age",$G157="H - Apprentice under 25",$G157="J – Deferment",$G157="M - Under 21",$G157="Z - Deferment (Under 21)",$G157="Please Enter The NI Cont. in ££££")),$G157,SUM(MAX(MIN(AE157-'Input Data'!$BG$3,'Input Data'!$BG$5-'Input Data'!$BG$3),0)*VLOOKUP($G157,'Input Data'!$BI$3:$BL$10,2,FALSE),MAX(MIN(AE157-'Input Data'!$BG$5,IF(OR($G157="M (under 21)",$G157="Z (under 21 - deferment)"),'Input Data'!$BG$6,IF($G157="H (Apprentice under 25)",'Input Data'!$BG$7,'Input Data'!$BG$8))-'Input Data'!$BG$5),0)*VLOOKUP($G157,'Input Data'!$BI$3:$BL$10,3,FALSE),MAX((AE157-IF(OR($G157="M (under 21)",$G157="Z (under 21 - deferment)"),'Input Data'!$BG$6,IF($G157="H (Apprentice under 25)",'Input Data'!$BG$7,'Input Data'!$BG$8))),0)*VLOOKUP($G157,'Input Data'!$BI$3:$BL$10,4,FALSE))))</f>
        <v>0</v>
      </c>
      <c r="AN157" s="56">
        <f>IF($G157="",0,IF(NOT(OR($G157="A - All employees not in groups B, C, J, H, M or Z",$G157="B - Married women and widows entitled to reduced NI",$G157="C - Over the State Pension age",$G157="H - Apprentice under 25",$G157="J – Deferment",$G157="M - Under 21",$G157="Z - Deferment (Under 21)",$G157="Please Enter The NI Cont. in ££££")),$G157,SUM(MAX(MIN(AF157-'Input Data'!$BG$3,'Input Data'!$BG$5-'Input Data'!$BG$3),0)*VLOOKUP($G157,'Input Data'!$BI$3:$BL$10,2,FALSE),MAX(MIN(AF157-'Input Data'!$BG$5,IF(OR($G157="M (under 21)",$G157="Z (under 21 - deferment)"),'Input Data'!$BG$6,IF($G157="H (Apprentice under 25)",'Input Data'!$BG$7,'Input Data'!$BG$8))-'Input Data'!$BG$5),0)*VLOOKUP($G157,'Input Data'!$BI$3:$BL$10,3,FALSE),MAX((AF157-IF(OR($G157="M (under 21)",$G157="Z (under 21 - deferment)"),'Input Data'!$BG$6,IF($G157="H (Apprentice under 25)",'Input Data'!$BG$7,'Input Data'!$BG$8))),0)*VLOOKUP($G157,'Input Data'!$BI$3:$BL$10,4,FALSE))))</f>
        <v>0</v>
      </c>
      <c r="AO157" s="56">
        <f>IF($G157="",0,IF(NOT(OR($G157="A - All employees not in groups B, C, J, H, M or Z",$G157="B - Married women and widows entitled to reduced NI",$G157="C - Over the State Pension age",$G157="H - Apprentice under 25",$G157="J – Deferment",$G157="M - Under 21",$G157="Z - Deferment (Under 21)",$G157="Please Enter The NI Cont. in ££££")),$G157,SUM(MAX(MIN(AG157-'Input Data'!$BG$3,'Input Data'!$BG$5-'Input Data'!$BG$3),0)*VLOOKUP($G157,'Input Data'!$BI$3:$BL$10,2,FALSE),MAX(MIN(AG157-'Input Data'!$BG$5,IF(OR($G157="M (under 21)",$G157="Z (under 21 - deferment)"),'Input Data'!$BG$6,IF($G157="H (Apprentice under 25)",'Input Data'!$BG$7,'Input Data'!$BG$8))-'Input Data'!$BG$5),0)*VLOOKUP($G157,'Input Data'!$BI$3:$BL$10,3,FALSE),MAX((AG157-IF(OR($G157="M (under 21)",$G157="Z (under 21 - deferment)"),'Input Data'!$BG$6,IF($G157="H (Apprentice under 25)",'Input Data'!$BG$7,'Input Data'!$BG$8))),0)*VLOOKUP($G157,'Input Data'!$BI$3:$BL$10,4,FALSE))))</f>
        <v>0</v>
      </c>
      <c r="AP157" s="56">
        <f>IF($G157="",0,IF(NOT(OR($G157="A - All employees not in groups B, C, J, H, M or Z",$G157="B - Married women and widows entitled to reduced NI",$G157="C - Over the State Pension age",$G157="H - Apprentice under 25",$G157="J – Deferment",$G157="M - Under 21",$G157="Z - Deferment (Under 21)",$G157="Please Enter The NI Cont. in ££££")),$G157,SUM(MAX(MIN(AH157-'Input Data'!$BG$3,'Input Data'!$BG$5-'Input Data'!$BG$3),0)*VLOOKUP($G157,'Input Data'!$BI$3:$BL$10,2,FALSE),MAX(MIN(AH157-'Input Data'!$BG$5,IF(OR($G157="M (under 21)",$G157="Z (under 21 - deferment)"),'Input Data'!$BG$6,IF($G157="H (Apprentice under 25)",'Input Data'!$BG$7,'Input Data'!$BG$8))-'Input Data'!$BG$5),0)*VLOOKUP($G157,'Input Data'!$BI$3:$BL$10,3,FALSE),MAX((AH157-IF(OR($G157="M (under 21)",$G157="Z (under 21 - deferment)"),'Input Data'!$BG$6,IF($G157="H (Apprentice under 25)",'Input Data'!$BG$7,'Input Data'!$BG$8))),0)*VLOOKUP($G157,'Input Data'!$BI$3:$BL$10,4,FALSE))))</f>
        <v>0</v>
      </c>
      <c r="AQ157" s="56">
        <f>IF($G157="",0,IF(NOT(OR($G157="A - All employees not in groups B, C, J, H, M or Z",$G157="B - Married women and widows entitled to reduced NI",$G157="C - Over the State Pension age",$G157="H - Apprentice under 25",$G157="J – Deferment",$G157="M - Under 21",$G157="Z - Deferment (Under 21)",$G157="Please Enter The NI Cont. in ££££")),$G157,SUM(MAX(MIN(AI157-'Input Data'!$BG$3,'Input Data'!$BG$5-'Input Data'!$BG$3),0)*VLOOKUP($G157,'Input Data'!$BI$3:$BL$10,2,FALSE),MAX(MIN(AI157-'Input Data'!$BG$5,IF(OR($G157="M (under 21)",$G157="Z (under 21 - deferment)"),'Input Data'!$BG$6,IF($G157="H (Apprentice under 25)",'Input Data'!$BG$7,'Input Data'!$BG$8))-'Input Data'!$BG$5),0)*VLOOKUP($G157,'Input Data'!$BI$3:$BL$10,3,FALSE),MAX((AI157-IF(OR($G157="M (under 21)",$G157="Z (under 21 - deferment)"),'Input Data'!$BG$6,IF($G157="H (Apprentice under 25)",'Input Data'!$BG$7,'Input Data'!$BG$8))),0)*VLOOKUP($G157,'Input Data'!$BI$3:$BL$10,4,FALSE))))</f>
        <v>0</v>
      </c>
      <c r="AR157" s="56">
        <f>IF($G157="",0,IF(NOT(OR($G157="A - All employees not in groups B, C, J, H, M or Z",$G157="B - Married women and widows entitled to reduced NI",$G157="C - Over the State Pension age",$G157="H - Apprentice under 25",$G157="J – Deferment",$G157="M - Under 21",$G157="Z - Deferment (Under 21)",$G157="Please Enter The NI Cont. in ££££")),$G157,SUM(MAX(MIN(AJ157-'Input Data'!$BG$3,'Input Data'!$BG$5-'Input Data'!$BG$3),0)*VLOOKUP($G157,'Input Data'!$BI$3:$BL$10,2,FALSE),MAX(MIN(AJ157-'Input Data'!$BG$5,IF(OR($G157="M (under 21)",$G157="Z (under 21 - deferment)"),'Input Data'!$BG$6,IF($G157="H (Apprentice under 25)",'Input Data'!$BG$7,'Input Data'!$BG$8))-'Input Data'!$BG$5),0)*VLOOKUP($G157,'Input Data'!$BI$3:$BL$10,3,FALSE),MAX((AJ157-IF(OR($G157="M (under 21)",$G157="Z (under 21 - deferment)"),'Input Data'!$BG$6,IF($G157="H (Apprentice under 25)",'Input Data'!$BG$7,'Input Data'!$BG$8))),0)*VLOOKUP($G157,'Input Data'!$BI$3:$BL$10,4,FALSE))))</f>
        <v>0</v>
      </c>
      <c r="AS157" s="56">
        <f>AC157*$F157</f>
        <v>0</v>
      </c>
      <c r="AT157" s="56">
        <f>AD157*$F157</f>
        <v>0</v>
      </c>
      <c r="AU157" s="56">
        <f>AE157*$F157</f>
        <v>0</v>
      </c>
      <c r="AV157" s="56">
        <f>AF157*$F157</f>
        <v>0</v>
      </c>
      <c r="AW157" s="56">
        <f>AG157*$F157</f>
        <v>0</v>
      </c>
      <c r="AX157" s="56">
        <f>AH157*$F157</f>
        <v>0</v>
      </c>
      <c r="AY157" s="56">
        <f>AI157*$F157</f>
        <v>0</v>
      </c>
      <c r="AZ157" s="56">
        <f>AJ157*$F157</f>
        <v>0</v>
      </c>
    </row>
    <row r="158" spans="2:52" ht="25.5">
      <c r="B158" s="60"/>
      <c r="C158" s="57" t="s">
        <v>75</v>
      </c>
      <c r="D158" s="58"/>
      <c r="E158" s="58"/>
      <c r="F158" s="535"/>
      <c r="G158" s="693" t="s">
        <v>1149</v>
      </c>
      <c r="H158" s="65"/>
      <c r="I158" s="65"/>
      <c r="J158" s="65"/>
      <c r="K158" s="65"/>
      <c r="L158" s="65"/>
      <c r="M158" s="65"/>
      <c r="N158" s="65"/>
      <c r="O158" s="65"/>
      <c r="P158" s="29"/>
      <c r="Q158" s="597"/>
      <c r="R158" s="61"/>
      <c r="T158" s="43">
        <f>SUM(AC158,AK158,AS158)</f>
        <v>0</v>
      </c>
      <c r="U158" s="43">
        <f>SUM(AD158,AL158,AT158)</f>
        <v>0</v>
      </c>
      <c r="V158" s="43">
        <f>SUM(AE158,AM158,AU158)</f>
        <v>0</v>
      </c>
      <c r="W158" s="43">
        <f>SUM(AF158,AN158,AV158)</f>
        <v>0</v>
      </c>
      <c r="X158" s="43">
        <f>SUM(AG158,AO158,AW158)</f>
        <v>0</v>
      </c>
      <c r="Y158" s="43">
        <f>SUM(AH158,AP158,AX158)</f>
        <v>0</v>
      </c>
      <c r="Z158" s="43">
        <f>SUM(AI158,AQ158,AY158)</f>
        <v>0</v>
      </c>
      <c r="AA158" s="43">
        <f>SUM(AJ158,AR158,AZ158)</f>
        <v>0</v>
      </c>
      <c r="AC158" s="631">
        <f>SUM($D158:$E158)*H158</f>
        <v>0</v>
      </c>
      <c r="AD158" s="631">
        <f>SUM($D158:$E158)*I158</f>
        <v>0</v>
      </c>
      <c r="AE158" s="631">
        <f>SUM($D158:$E158)*J158</f>
        <v>0</v>
      </c>
      <c r="AF158" s="631">
        <f>SUM($D158:$E158)*K158</f>
        <v>0</v>
      </c>
      <c r="AG158" s="631">
        <f>SUM($D158:$E158)*L158</f>
        <v>0</v>
      </c>
      <c r="AH158" s="631">
        <f>SUM($D158:$E158)*M158</f>
        <v>0</v>
      </c>
      <c r="AI158" s="631">
        <f>SUM($D158:$E158)*N158</f>
        <v>0</v>
      </c>
      <c r="AJ158" s="631">
        <f>SUM($D158:$E158)*O158</f>
        <v>0</v>
      </c>
      <c r="AK158" s="56">
        <f>IF($G158="",0,IF(NOT(OR($G158="A - All employees not in groups B, C, J, H, M or Z",$G158="B - Married women and widows entitled to reduced NI",$G158="C - Over the State Pension age",$G158="H - Apprentice under 25",$G158="J – Deferment",$G158="M - Under 21",$G158="Z - Deferment (Under 21)",$G158="Please Enter The NI Cont. in ££££")),$G158,SUM(MAX(MIN(AC158-'Input Data'!$BG$3,'Input Data'!$BG$5-'Input Data'!$BG$3),0)*VLOOKUP($G158,'Input Data'!$BI$3:$BL$10,2,FALSE),MAX(MIN(AC158-'Input Data'!$BG$5,IF(OR($G158="M (under 21)",$G158="Z (under 21 - deferment)"),'Input Data'!$BG$6,IF($G158="H (Apprentice under 25)",'Input Data'!$BG$7,'Input Data'!$BG$8))-'Input Data'!$BG$5),0)*VLOOKUP($G158,'Input Data'!$BI$3:$BL$10,3,FALSE),MAX((AC158-IF(OR($G158="M (under 21)",$G158="Z (under 21 - deferment)"),'Input Data'!$BG$6,IF($G158="H (Apprentice under 25)",'Input Data'!$BG$7,'Input Data'!$BG$8))),0)*VLOOKUP($G158,'Input Data'!$BI$3:$BL$10,4,FALSE))))</f>
        <v>0</v>
      </c>
      <c r="AL158" s="56">
        <f>IF($G158="",0,IF(NOT(OR($G158="A - All employees not in groups B, C, J, H, M or Z",$G158="B - Married women and widows entitled to reduced NI",$G158="C - Over the State Pension age",$G158="H - Apprentice under 25",$G158="J – Deferment",$G158="M - Under 21",$G158="Z - Deferment (Under 21)",$G158="Please Enter The NI Cont. in ££££")),$G158,SUM(MAX(MIN(AD158-'Input Data'!$BG$3,'Input Data'!$BG$5-'Input Data'!$BG$3),0)*VLOOKUP($G158,'Input Data'!$BI$3:$BL$10,2,FALSE),MAX(MIN(AD158-'Input Data'!$BG$5,IF(OR($G158="M (under 21)",$G158="Z (under 21 - deferment)"),'Input Data'!$BG$6,IF($G158="H (Apprentice under 25)",'Input Data'!$BG$7,'Input Data'!$BG$8))-'Input Data'!$BG$5),0)*VLOOKUP($G158,'Input Data'!$BI$3:$BL$10,3,FALSE),MAX((AD158-IF(OR($G158="M (under 21)",$G158="Z (under 21 - deferment)"),'Input Data'!$BG$6,IF($G158="H (Apprentice under 25)",'Input Data'!$BG$7,'Input Data'!$BG$8))),0)*VLOOKUP($G158,'Input Data'!$BI$3:$BL$10,4,FALSE))))</f>
        <v>0</v>
      </c>
      <c r="AM158" s="56">
        <f>IF($G158="",0,IF(NOT(OR($G158="A - All employees not in groups B, C, J, H, M or Z",$G158="B - Married women and widows entitled to reduced NI",$G158="C - Over the State Pension age",$G158="H - Apprentice under 25",$G158="J – Deferment",$G158="M - Under 21",$G158="Z - Deferment (Under 21)",$G158="Please Enter The NI Cont. in ££££")),$G158,SUM(MAX(MIN(AE158-'Input Data'!$BG$3,'Input Data'!$BG$5-'Input Data'!$BG$3),0)*VLOOKUP($G158,'Input Data'!$BI$3:$BL$10,2,FALSE),MAX(MIN(AE158-'Input Data'!$BG$5,IF(OR($G158="M (under 21)",$G158="Z (under 21 - deferment)"),'Input Data'!$BG$6,IF($G158="H (Apprentice under 25)",'Input Data'!$BG$7,'Input Data'!$BG$8))-'Input Data'!$BG$5),0)*VLOOKUP($G158,'Input Data'!$BI$3:$BL$10,3,FALSE),MAX((AE158-IF(OR($G158="M (under 21)",$G158="Z (under 21 - deferment)"),'Input Data'!$BG$6,IF($G158="H (Apprentice under 25)",'Input Data'!$BG$7,'Input Data'!$BG$8))),0)*VLOOKUP($G158,'Input Data'!$BI$3:$BL$10,4,FALSE))))</f>
        <v>0</v>
      </c>
      <c r="AN158" s="56">
        <f>IF($G158="",0,IF(NOT(OR($G158="A - All employees not in groups B, C, J, H, M or Z",$G158="B - Married women and widows entitled to reduced NI",$G158="C - Over the State Pension age",$G158="H - Apprentice under 25",$G158="J – Deferment",$G158="M - Under 21",$G158="Z - Deferment (Under 21)",$G158="Please Enter The NI Cont. in ££££")),$G158,SUM(MAX(MIN(AF158-'Input Data'!$BG$3,'Input Data'!$BG$5-'Input Data'!$BG$3),0)*VLOOKUP($G158,'Input Data'!$BI$3:$BL$10,2,FALSE),MAX(MIN(AF158-'Input Data'!$BG$5,IF(OR($G158="M (under 21)",$G158="Z (under 21 - deferment)"),'Input Data'!$BG$6,IF($G158="H (Apprentice under 25)",'Input Data'!$BG$7,'Input Data'!$BG$8))-'Input Data'!$BG$5),0)*VLOOKUP($G158,'Input Data'!$BI$3:$BL$10,3,FALSE),MAX((AF158-IF(OR($G158="M (under 21)",$G158="Z (under 21 - deferment)"),'Input Data'!$BG$6,IF($G158="H (Apprentice under 25)",'Input Data'!$BG$7,'Input Data'!$BG$8))),0)*VLOOKUP($G158,'Input Data'!$BI$3:$BL$10,4,FALSE))))</f>
        <v>0</v>
      </c>
      <c r="AO158" s="56">
        <f>IF($G158="",0,IF(NOT(OR($G158="A - All employees not in groups B, C, J, H, M or Z",$G158="B - Married women and widows entitled to reduced NI",$G158="C - Over the State Pension age",$G158="H - Apprentice under 25",$G158="J – Deferment",$G158="M - Under 21",$G158="Z - Deferment (Under 21)",$G158="Please Enter The NI Cont. in ££££")),$G158,SUM(MAX(MIN(AG158-'Input Data'!$BG$3,'Input Data'!$BG$5-'Input Data'!$BG$3),0)*VLOOKUP($G158,'Input Data'!$BI$3:$BL$10,2,FALSE),MAX(MIN(AG158-'Input Data'!$BG$5,IF(OR($G158="M (under 21)",$G158="Z (under 21 - deferment)"),'Input Data'!$BG$6,IF($G158="H (Apprentice under 25)",'Input Data'!$BG$7,'Input Data'!$BG$8))-'Input Data'!$BG$5),0)*VLOOKUP($G158,'Input Data'!$BI$3:$BL$10,3,FALSE),MAX((AG158-IF(OR($G158="M (under 21)",$G158="Z (under 21 - deferment)"),'Input Data'!$BG$6,IF($G158="H (Apprentice under 25)",'Input Data'!$BG$7,'Input Data'!$BG$8))),0)*VLOOKUP($G158,'Input Data'!$BI$3:$BL$10,4,FALSE))))</f>
        <v>0</v>
      </c>
      <c r="AP158" s="56">
        <f>IF($G158="",0,IF(NOT(OR($G158="A - All employees not in groups B, C, J, H, M or Z",$G158="B - Married women and widows entitled to reduced NI",$G158="C - Over the State Pension age",$G158="H - Apprentice under 25",$G158="J – Deferment",$G158="M - Under 21",$G158="Z - Deferment (Under 21)",$G158="Please Enter The NI Cont. in ££££")),$G158,SUM(MAX(MIN(AH158-'Input Data'!$BG$3,'Input Data'!$BG$5-'Input Data'!$BG$3),0)*VLOOKUP($G158,'Input Data'!$BI$3:$BL$10,2,FALSE),MAX(MIN(AH158-'Input Data'!$BG$5,IF(OR($G158="M (under 21)",$G158="Z (under 21 - deferment)"),'Input Data'!$BG$6,IF($G158="H (Apprentice under 25)",'Input Data'!$BG$7,'Input Data'!$BG$8))-'Input Data'!$BG$5),0)*VLOOKUP($G158,'Input Data'!$BI$3:$BL$10,3,FALSE),MAX((AH158-IF(OR($G158="M (under 21)",$G158="Z (under 21 - deferment)"),'Input Data'!$BG$6,IF($G158="H (Apprentice under 25)",'Input Data'!$BG$7,'Input Data'!$BG$8))),0)*VLOOKUP($G158,'Input Data'!$BI$3:$BL$10,4,FALSE))))</f>
        <v>0</v>
      </c>
      <c r="AQ158" s="56">
        <f>IF($G158="",0,IF(NOT(OR($G158="A - All employees not in groups B, C, J, H, M or Z",$G158="B - Married women and widows entitled to reduced NI",$G158="C - Over the State Pension age",$G158="H - Apprentice under 25",$G158="J – Deferment",$G158="M - Under 21",$G158="Z - Deferment (Under 21)",$G158="Please Enter The NI Cont. in ££££")),$G158,SUM(MAX(MIN(AI158-'Input Data'!$BG$3,'Input Data'!$BG$5-'Input Data'!$BG$3),0)*VLOOKUP($G158,'Input Data'!$BI$3:$BL$10,2,FALSE),MAX(MIN(AI158-'Input Data'!$BG$5,IF(OR($G158="M (under 21)",$G158="Z (under 21 - deferment)"),'Input Data'!$BG$6,IF($G158="H (Apprentice under 25)",'Input Data'!$BG$7,'Input Data'!$BG$8))-'Input Data'!$BG$5),0)*VLOOKUP($G158,'Input Data'!$BI$3:$BL$10,3,FALSE),MAX((AI158-IF(OR($G158="M (under 21)",$G158="Z (under 21 - deferment)"),'Input Data'!$BG$6,IF($G158="H (Apprentice under 25)",'Input Data'!$BG$7,'Input Data'!$BG$8))),0)*VLOOKUP($G158,'Input Data'!$BI$3:$BL$10,4,FALSE))))</f>
        <v>0</v>
      </c>
      <c r="AR158" s="56">
        <f>IF($G158="",0,IF(NOT(OR($G158="A - All employees not in groups B, C, J, H, M or Z",$G158="B - Married women and widows entitled to reduced NI",$G158="C - Over the State Pension age",$G158="H - Apprentice under 25",$G158="J – Deferment",$G158="M - Under 21",$G158="Z - Deferment (Under 21)",$G158="Please Enter The NI Cont. in ££££")),$G158,SUM(MAX(MIN(AJ158-'Input Data'!$BG$3,'Input Data'!$BG$5-'Input Data'!$BG$3),0)*VLOOKUP($G158,'Input Data'!$BI$3:$BL$10,2,FALSE),MAX(MIN(AJ158-'Input Data'!$BG$5,IF(OR($G158="M (under 21)",$G158="Z (under 21 - deferment)"),'Input Data'!$BG$6,IF($G158="H (Apprentice under 25)",'Input Data'!$BG$7,'Input Data'!$BG$8))-'Input Data'!$BG$5),0)*VLOOKUP($G158,'Input Data'!$BI$3:$BL$10,3,FALSE),MAX((AJ158-IF(OR($G158="M (under 21)",$G158="Z (under 21 - deferment)"),'Input Data'!$BG$6,IF($G158="H (Apprentice under 25)",'Input Data'!$BG$7,'Input Data'!$BG$8))),0)*VLOOKUP($G158,'Input Data'!$BI$3:$BL$10,4,FALSE))))</f>
        <v>0</v>
      </c>
      <c r="AS158" s="56">
        <f>AC158*$F158</f>
        <v>0</v>
      </c>
      <c r="AT158" s="56">
        <f>AD158*$F158</f>
        <v>0</v>
      </c>
      <c r="AU158" s="56">
        <f>AE158*$F158</f>
        <v>0</v>
      </c>
      <c r="AV158" s="56">
        <f>AF158*$F158</f>
        <v>0</v>
      </c>
      <c r="AW158" s="56">
        <f>AG158*$F158</f>
        <v>0</v>
      </c>
      <c r="AX158" s="56">
        <f>AH158*$F158</f>
        <v>0</v>
      </c>
      <c r="AY158" s="56">
        <f>AI158*$F158</f>
        <v>0</v>
      </c>
      <c r="AZ158" s="56">
        <f>AJ158*$F158</f>
        <v>0</v>
      </c>
    </row>
    <row r="159" spans="2:52" ht="25.5">
      <c r="B159" s="60"/>
      <c r="C159" s="57" t="s">
        <v>76</v>
      </c>
      <c r="D159" s="58"/>
      <c r="E159" s="58"/>
      <c r="F159" s="535"/>
      <c r="G159" s="693" t="s">
        <v>1149</v>
      </c>
      <c r="H159" s="65"/>
      <c r="I159" s="65"/>
      <c r="J159" s="65"/>
      <c r="K159" s="65"/>
      <c r="L159" s="65"/>
      <c r="M159" s="65"/>
      <c r="N159" s="65"/>
      <c r="O159" s="65"/>
      <c r="P159" s="29"/>
      <c r="Q159" s="597"/>
      <c r="R159" s="61"/>
      <c r="T159" s="43">
        <f>SUM(AC159,AK159,AS159)</f>
        <v>0</v>
      </c>
      <c r="U159" s="43">
        <f>SUM(AD159,AL159,AT159)</f>
        <v>0</v>
      </c>
      <c r="V159" s="43">
        <f>SUM(AE159,AM159,AU159)</f>
        <v>0</v>
      </c>
      <c r="W159" s="43">
        <f>SUM(AF159,AN159,AV159)</f>
        <v>0</v>
      </c>
      <c r="X159" s="43">
        <f>SUM(AG159,AO159,AW159)</f>
        <v>0</v>
      </c>
      <c r="Y159" s="43">
        <f>SUM(AH159,AP159,AX159)</f>
        <v>0</v>
      </c>
      <c r="Z159" s="43">
        <f>SUM(AI159,AQ159,AY159)</f>
        <v>0</v>
      </c>
      <c r="AA159" s="43">
        <f>SUM(AJ159,AR159,AZ159)</f>
        <v>0</v>
      </c>
      <c r="AC159" s="631">
        <f>SUM($D159:$E159)*H159</f>
        <v>0</v>
      </c>
      <c r="AD159" s="631">
        <f>SUM($D159:$E159)*I159</f>
        <v>0</v>
      </c>
      <c r="AE159" s="631">
        <f>SUM($D159:$E159)*J159</f>
        <v>0</v>
      </c>
      <c r="AF159" s="631">
        <f>SUM($D159:$E159)*K159</f>
        <v>0</v>
      </c>
      <c r="AG159" s="631">
        <f>SUM($D159:$E159)*L159</f>
        <v>0</v>
      </c>
      <c r="AH159" s="631">
        <f>SUM($D159:$E159)*M159</f>
        <v>0</v>
      </c>
      <c r="AI159" s="631">
        <f>SUM($D159:$E159)*N159</f>
        <v>0</v>
      </c>
      <c r="AJ159" s="631">
        <f>SUM($D159:$E159)*O159</f>
        <v>0</v>
      </c>
      <c r="AK159" s="56">
        <f>IF($G159="",0,IF(NOT(OR($G159="A - All employees not in groups B, C, J, H, M or Z",$G159="B - Married women and widows entitled to reduced NI",$G159="C - Over the State Pension age",$G159="H - Apprentice under 25",$G159="J – Deferment",$G159="M - Under 21",$G159="Z - Deferment (Under 21)",$G159="Please Enter The NI Cont. in ££££")),$G159,SUM(MAX(MIN(AC159-'Input Data'!$BG$3,'Input Data'!$BG$5-'Input Data'!$BG$3),0)*VLOOKUP($G159,'Input Data'!$BI$3:$BL$10,2,FALSE),MAX(MIN(AC159-'Input Data'!$BG$5,IF(OR($G159="M (under 21)",$G159="Z (under 21 - deferment)"),'Input Data'!$BG$6,IF($G159="H (Apprentice under 25)",'Input Data'!$BG$7,'Input Data'!$BG$8))-'Input Data'!$BG$5),0)*VLOOKUP($G159,'Input Data'!$BI$3:$BL$10,3,FALSE),MAX((AC159-IF(OR($G159="M (under 21)",$G159="Z (under 21 - deferment)"),'Input Data'!$BG$6,IF($G159="H (Apprentice under 25)",'Input Data'!$BG$7,'Input Data'!$BG$8))),0)*VLOOKUP($G159,'Input Data'!$BI$3:$BL$10,4,FALSE))))</f>
        <v>0</v>
      </c>
      <c r="AL159" s="56">
        <f>IF($G159="",0,IF(NOT(OR($G159="A - All employees not in groups B, C, J, H, M or Z",$G159="B - Married women and widows entitled to reduced NI",$G159="C - Over the State Pension age",$G159="H - Apprentice under 25",$G159="J – Deferment",$G159="M - Under 21",$G159="Z - Deferment (Under 21)",$G159="Please Enter The NI Cont. in ££££")),$G159,SUM(MAX(MIN(AD159-'Input Data'!$BG$3,'Input Data'!$BG$5-'Input Data'!$BG$3),0)*VLOOKUP($G159,'Input Data'!$BI$3:$BL$10,2,FALSE),MAX(MIN(AD159-'Input Data'!$BG$5,IF(OR($G159="M (under 21)",$G159="Z (under 21 - deferment)"),'Input Data'!$BG$6,IF($G159="H (Apprentice under 25)",'Input Data'!$BG$7,'Input Data'!$BG$8))-'Input Data'!$BG$5),0)*VLOOKUP($G159,'Input Data'!$BI$3:$BL$10,3,FALSE),MAX((AD159-IF(OR($G159="M (under 21)",$G159="Z (under 21 - deferment)"),'Input Data'!$BG$6,IF($G159="H (Apprentice under 25)",'Input Data'!$BG$7,'Input Data'!$BG$8))),0)*VLOOKUP($G159,'Input Data'!$BI$3:$BL$10,4,FALSE))))</f>
        <v>0</v>
      </c>
      <c r="AM159" s="56">
        <f>IF($G159="",0,IF(NOT(OR($G159="A - All employees not in groups B, C, J, H, M or Z",$G159="B - Married women and widows entitled to reduced NI",$G159="C - Over the State Pension age",$G159="H - Apprentice under 25",$G159="J – Deferment",$G159="M - Under 21",$G159="Z - Deferment (Under 21)",$G159="Please Enter The NI Cont. in ££££")),$G159,SUM(MAX(MIN(AE159-'Input Data'!$BG$3,'Input Data'!$BG$5-'Input Data'!$BG$3),0)*VLOOKUP($G159,'Input Data'!$BI$3:$BL$10,2,FALSE),MAX(MIN(AE159-'Input Data'!$BG$5,IF(OR($G159="M (under 21)",$G159="Z (under 21 - deferment)"),'Input Data'!$BG$6,IF($G159="H (Apprentice under 25)",'Input Data'!$BG$7,'Input Data'!$BG$8))-'Input Data'!$BG$5),0)*VLOOKUP($G159,'Input Data'!$BI$3:$BL$10,3,FALSE),MAX((AE159-IF(OR($G159="M (under 21)",$G159="Z (under 21 - deferment)"),'Input Data'!$BG$6,IF($G159="H (Apprentice under 25)",'Input Data'!$BG$7,'Input Data'!$BG$8))),0)*VLOOKUP($G159,'Input Data'!$BI$3:$BL$10,4,FALSE))))</f>
        <v>0</v>
      </c>
      <c r="AN159" s="56">
        <f>IF($G159="",0,IF(NOT(OR($G159="A - All employees not in groups B, C, J, H, M or Z",$G159="B - Married women and widows entitled to reduced NI",$G159="C - Over the State Pension age",$G159="H - Apprentice under 25",$G159="J – Deferment",$G159="M - Under 21",$G159="Z - Deferment (Under 21)",$G159="Please Enter The NI Cont. in ££££")),$G159,SUM(MAX(MIN(AF159-'Input Data'!$BG$3,'Input Data'!$BG$5-'Input Data'!$BG$3),0)*VLOOKUP($G159,'Input Data'!$BI$3:$BL$10,2,FALSE),MAX(MIN(AF159-'Input Data'!$BG$5,IF(OR($G159="M (under 21)",$G159="Z (under 21 - deferment)"),'Input Data'!$BG$6,IF($G159="H (Apprentice under 25)",'Input Data'!$BG$7,'Input Data'!$BG$8))-'Input Data'!$BG$5),0)*VLOOKUP($G159,'Input Data'!$BI$3:$BL$10,3,FALSE),MAX((AF159-IF(OR($G159="M (under 21)",$G159="Z (under 21 - deferment)"),'Input Data'!$BG$6,IF($G159="H (Apprentice under 25)",'Input Data'!$BG$7,'Input Data'!$BG$8))),0)*VLOOKUP($G159,'Input Data'!$BI$3:$BL$10,4,FALSE))))</f>
        <v>0</v>
      </c>
      <c r="AO159" s="56">
        <f>IF($G159="",0,IF(NOT(OR($G159="A - All employees not in groups B, C, J, H, M or Z",$G159="B - Married women and widows entitled to reduced NI",$G159="C - Over the State Pension age",$G159="H - Apprentice under 25",$G159="J – Deferment",$G159="M - Under 21",$G159="Z - Deferment (Under 21)",$G159="Please Enter The NI Cont. in ££££")),$G159,SUM(MAX(MIN(AG159-'Input Data'!$BG$3,'Input Data'!$BG$5-'Input Data'!$BG$3),0)*VLOOKUP($G159,'Input Data'!$BI$3:$BL$10,2,FALSE),MAX(MIN(AG159-'Input Data'!$BG$5,IF(OR($G159="M (under 21)",$G159="Z (under 21 - deferment)"),'Input Data'!$BG$6,IF($G159="H (Apprentice under 25)",'Input Data'!$BG$7,'Input Data'!$BG$8))-'Input Data'!$BG$5),0)*VLOOKUP($G159,'Input Data'!$BI$3:$BL$10,3,FALSE),MAX((AG159-IF(OR($G159="M (under 21)",$G159="Z (under 21 - deferment)"),'Input Data'!$BG$6,IF($G159="H (Apprentice under 25)",'Input Data'!$BG$7,'Input Data'!$BG$8))),0)*VLOOKUP($G159,'Input Data'!$BI$3:$BL$10,4,FALSE))))</f>
        <v>0</v>
      </c>
      <c r="AP159" s="56">
        <f>IF($G159="",0,IF(NOT(OR($G159="A - All employees not in groups B, C, J, H, M or Z",$G159="B - Married women and widows entitled to reduced NI",$G159="C - Over the State Pension age",$G159="H - Apprentice under 25",$G159="J – Deferment",$G159="M - Under 21",$G159="Z - Deferment (Under 21)",$G159="Please Enter The NI Cont. in ££££")),$G159,SUM(MAX(MIN(AH159-'Input Data'!$BG$3,'Input Data'!$BG$5-'Input Data'!$BG$3),0)*VLOOKUP($G159,'Input Data'!$BI$3:$BL$10,2,FALSE),MAX(MIN(AH159-'Input Data'!$BG$5,IF(OR($G159="M (under 21)",$G159="Z (under 21 - deferment)"),'Input Data'!$BG$6,IF($G159="H (Apprentice under 25)",'Input Data'!$BG$7,'Input Data'!$BG$8))-'Input Data'!$BG$5),0)*VLOOKUP($G159,'Input Data'!$BI$3:$BL$10,3,FALSE),MAX((AH159-IF(OR($G159="M (under 21)",$G159="Z (under 21 - deferment)"),'Input Data'!$BG$6,IF($G159="H (Apprentice under 25)",'Input Data'!$BG$7,'Input Data'!$BG$8))),0)*VLOOKUP($G159,'Input Data'!$BI$3:$BL$10,4,FALSE))))</f>
        <v>0</v>
      </c>
      <c r="AQ159" s="56">
        <f>IF($G159="",0,IF(NOT(OR($G159="A - All employees not in groups B, C, J, H, M or Z",$G159="B - Married women and widows entitled to reduced NI",$G159="C - Over the State Pension age",$G159="H - Apprentice under 25",$G159="J – Deferment",$G159="M - Under 21",$G159="Z - Deferment (Under 21)",$G159="Please Enter The NI Cont. in ££££")),$G159,SUM(MAX(MIN(AI159-'Input Data'!$BG$3,'Input Data'!$BG$5-'Input Data'!$BG$3),0)*VLOOKUP($G159,'Input Data'!$BI$3:$BL$10,2,FALSE),MAX(MIN(AI159-'Input Data'!$BG$5,IF(OR($G159="M (under 21)",$G159="Z (under 21 - deferment)"),'Input Data'!$BG$6,IF($G159="H (Apprentice under 25)",'Input Data'!$BG$7,'Input Data'!$BG$8))-'Input Data'!$BG$5),0)*VLOOKUP($G159,'Input Data'!$BI$3:$BL$10,3,FALSE),MAX((AI159-IF(OR($G159="M (under 21)",$G159="Z (under 21 - deferment)"),'Input Data'!$BG$6,IF($G159="H (Apprentice under 25)",'Input Data'!$BG$7,'Input Data'!$BG$8))),0)*VLOOKUP($G159,'Input Data'!$BI$3:$BL$10,4,FALSE))))</f>
        <v>0</v>
      </c>
      <c r="AR159" s="56">
        <f>IF($G159="",0,IF(NOT(OR($G159="A - All employees not in groups B, C, J, H, M or Z",$G159="B - Married women and widows entitled to reduced NI",$G159="C - Over the State Pension age",$G159="H - Apprentice under 25",$G159="J – Deferment",$G159="M - Under 21",$G159="Z - Deferment (Under 21)",$G159="Please Enter The NI Cont. in ££££")),$G159,SUM(MAX(MIN(AJ159-'Input Data'!$BG$3,'Input Data'!$BG$5-'Input Data'!$BG$3),0)*VLOOKUP($G159,'Input Data'!$BI$3:$BL$10,2,FALSE),MAX(MIN(AJ159-'Input Data'!$BG$5,IF(OR($G159="M (under 21)",$G159="Z (under 21 - deferment)"),'Input Data'!$BG$6,IF($G159="H (Apprentice under 25)",'Input Data'!$BG$7,'Input Data'!$BG$8))-'Input Data'!$BG$5),0)*VLOOKUP($G159,'Input Data'!$BI$3:$BL$10,3,FALSE),MAX((AJ159-IF(OR($G159="M (under 21)",$G159="Z (under 21 - deferment)"),'Input Data'!$BG$6,IF($G159="H (Apprentice under 25)",'Input Data'!$BG$7,'Input Data'!$BG$8))),0)*VLOOKUP($G159,'Input Data'!$BI$3:$BL$10,4,FALSE))))</f>
        <v>0</v>
      </c>
      <c r="AS159" s="56">
        <f>AC159*$F159</f>
        <v>0</v>
      </c>
      <c r="AT159" s="56">
        <f>AD159*$F159</f>
        <v>0</v>
      </c>
      <c r="AU159" s="56">
        <f>AE159*$F159</f>
        <v>0</v>
      </c>
      <c r="AV159" s="56">
        <f>AF159*$F159</f>
        <v>0</v>
      </c>
      <c r="AW159" s="56">
        <f>AG159*$F159</f>
        <v>0</v>
      </c>
      <c r="AX159" s="56">
        <f>AH159*$F159</f>
        <v>0</v>
      </c>
      <c r="AY159" s="56">
        <f>AI159*$F159</f>
        <v>0</v>
      </c>
      <c r="AZ159" s="56">
        <f>AJ159*$F159</f>
        <v>0</v>
      </c>
    </row>
    <row r="160" spans="2:52" ht="25.5">
      <c r="B160" s="60"/>
      <c r="C160" s="57" t="s">
        <v>77</v>
      </c>
      <c r="D160" s="58"/>
      <c r="E160" s="58"/>
      <c r="F160" s="535"/>
      <c r="G160" s="693" t="s">
        <v>1149</v>
      </c>
      <c r="H160" s="65"/>
      <c r="I160" s="65"/>
      <c r="J160" s="65"/>
      <c r="K160" s="65"/>
      <c r="L160" s="65"/>
      <c r="M160" s="65"/>
      <c r="N160" s="65"/>
      <c r="O160" s="65"/>
      <c r="P160" s="29"/>
      <c r="Q160" s="597"/>
      <c r="R160" s="61"/>
      <c r="T160" s="43">
        <f>SUM(AC160,AK160,AS160)</f>
        <v>0</v>
      </c>
      <c r="U160" s="43">
        <f>SUM(AD160,AL160,AT160)</f>
        <v>0</v>
      </c>
      <c r="V160" s="43">
        <f>SUM(AE160,AM160,AU160)</f>
        <v>0</v>
      </c>
      <c r="W160" s="43">
        <f>SUM(AF160,AN160,AV160)</f>
        <v>0</v>
      </c>
      <c r="X160" s="43">
        <f>SUM(AG160,AO160,AW160)</f>
        <v>0</v>
      </c>
      <c r="Y160" s="43">
        <f>SUM(AH160,AP160,AX160)</f>
        <v>0</v>
      </c>
      <c r="Z160" s="43">
        <f>SUM(AI160,AQ160,AY160)</f>
        <v>0</v>
      </c>
      <c r="AA160" s="43">
        <f>SUM(AJ160,AR160,AZ160)</f>
        <v>0</v>
      </c>
      <c r="AC160" s="631">
        <f>SUM($D160:$E160)*H160</f>
        <v>0</v>
      </c>
      <c r="AD160" s="631">
        <f>SUM($D160:$E160)*I160</f>
        <v>0</v>
      </c>
      <c r="AE160" s="631">
        <f>SUM($D160:$E160)*J160</f>
        <v>0</v>
      </c>
      <c r="AF160" s="631">
        <f>SUM($D160:$E160)*K160</f>
        <v>0</v>
      </c>
      <c r="AG160" s="631">
        <f>SUM($D160:$E160)*L160</f>
        <v>0</v>
      </c>
      <c r="AH160" s="631">
        <f>SUM($D160:$E160)*M160</f>
        <v>0</v>
      </c>
      <c r="AI160" s="631">
        <f>SUM($D160:$E160)*N160</f>
        <v>0</v>
      </c>
      <c r="AJ160" s="631">
        <f>SUM($D160:$E160)*O160</f>
        <v>0</v>
      </c>
      <c r="AK160" s="56">
        <f>IF($G160="",0,IF(NOT(OR($G160="A - All employees not in groups B, C, J, H, M or Z",$G160="B - Married women and widows entitled to reduced NI",$G160="C - Over the State Pension age",$G160="H - Apprentice under 25",$G160="J – Deferment",$G160="M - Under 21",$G160="Z - Deferment (Under 21)",$G160="Please Enter The NI Cont. in ££££")),$G160,SUM(MAX(MIN(AC160-'Input Data'!$BG$3,'Input Data'!$BG$5-'Input Data'!$BG$3),0)*VLOOKUP($G160,'Input Data'!$BI$3:$BL$10,2,FALSE),MAX(MIN(AC160-'Input Data'!$BG$5,IF(OR($G160="M (under 21)",$G160="Z (under 21 - deferment)"),'Input Data'!$BG$6,IF($G160="H (Apprentice under 25)",'Input Data'!$BG$7,'Input Data'!$BG$8))-'Input Data'!$BG$5),0)*VLOOKUP($G160,'Input Data'!$BI$3:$BL$10,3,FALSE),MAX((AC160-IF(OR($G160="M (under 21)",$G160="Z (under 21 - deferment)"),'Input Data'!$BG$6,IF($G160="H (Apprentice under 25)",'Input Data'!$BG$7,'Input Data'!$BG$8))),0)*VLOOKUP($G160,'Input Data'!$BI$3:$BL$10,4,FALSE))))</f>
        <v>0</v>
      </c>
      <c r="AL160" s="56">
        <f>IF($G160="",0,IF(NOT(OR($G160="A - All employees not in groups B, C, J, H, M or Z",$G160="B - Married women and widows entitled to reduced NI",$G160="C - Over the State Pension age",$G160="H - Apprentice under 25",$G160="J – Deferment",$G160="M - Under 21",$G160="Z - Deferment (Under 21)",$G160="Please Enter The NI Cont. in ££££")),$G160,SUM(MAX(MIN(AD160-'Input Data'!$BG$3,'Input Data'!$BG$5-'Input Data'!$BG$3),0)*VLOOKUP($G160,'Input Data'!$BI$3:$BL$10,2,FALSE),MAX(MIN(AD160-'Input Data'!$BG$5,IF(OR($G160="M (under 21)",$G160="Z (under 21 - deferment)"),'Input Data'!$BG$6,IF($G160="H (Apprentice under 25)",'Input Data'!$BG$7,'Input Data'!$BG$8))-'Input Data'!$BG$5),0)*VLOOKUP($G160,'Input Data'!$BI$3:$BL$10,3,FALSE),MAX((AD160-IF(OR($G160="M (under 21)",$G160="Z (under 21 - deferment)"),'Input Data'!$BG$6,IF($G160="H (Apprentice under 25)",'Input Data'!$BG$7,'Input Data'!$BG$8))),0)*VLOOKUP($G160,'Input Data'!$BI$3:$BL$10,4,FALSE))))</f>
        <v>0</v>
      </c>
      <c r="AM160" s="56">
        <f>IF($G160="",0,IF(NOT(OR($G160="A - All employees not in groups B, C, J, H, M or Z",$G160="B - Married women and widows entitled to reduced NI",$G160="C - Over the State Pension age",$G160="H - Apprentice under 25",$G160="J – Deferment",$G160="M - Under 21",$G160="Z - Deferment (Under 21)",$G160="Please Enter The NI Cont. in ££££")),$G160,SUM(MAX(MIN(AE160-'Input Data'!$BG$3,'Input Data'!$BG$5-'Input Data'!$BG$3),0)*VLOOKUP($G160,'Input Data'!$BI$3:$BL$10,2,FALSE),MAX(MIN(AE160-'Input Data'!$BG$5,IF(OR($G160="M (under 21)",$G160="Z (under 21 - deferment)"),'Input Data'!$BG$6,IF($G160="H (Apprentice under 25)",'Input Data'!$BG$7,'Input Data'!$BG$8))-'Input Data'!$BG$5),0)*VLOOKUP($G160,'Input Data'!$BI$3:$BL$10,3,FALSE),MAX((AE160-IF(OR($G160="M (under 21)",$G160="Z (under 21 - deferment)"),'Input Data'!$BG$6,IF($G160="H (Apprentice under 25)",'Input Data'!$BG$7,'Input Data'!$BG$8))),0)*VLOOKUP($G160,'Input Data'!$BI$3:$BL$10,4,FALSE))))</f>
        <v>0</v>
      </c>
      <c r="AN160" s="56">
        <f>IF($G160="",0,IF(NOT(OR($G160="A - All employees not in groups B, C, J, H, M or Z",$G160="B - Married women and widows entitled to reduced NI",$G160="C - Over the State Pension age",$G160="H - Apprentice under 25",$G160="J – Deferment",$G160="M - Under 21",$G160="Z - Deferment (Under 21)",$G160="Please Enter The NI Cont. in ££££")),$G160,SUM(MAX(MIN(AF160-'Input Data'!$BG$3,'Input Data'!$BG$5-'Input Data'!$BG$3),0)*VLOOKUP($G160,'Input Data'!$BI$3:$BL$10,2,FALSE),MAX(MIN(AF160-'Input Data'!$BG$5,IF(OR($G160="M (under 21)",$G160="Z (under 21 - deferment)"),'Input Data'!$BG$6,IF($G160="H (Apprentice under 25)",'Input Data'!$BG$7,'Input Data'!$BG$8))-'Input Data'!$BG$5),0)*VLOOKUP($G160,'Input Data'!$BI$3:$BL$10,3,FALSE),MAX((AF160-IF(OR($G160="M (under 21)",$G160="Z (under 21 - deferment)"),'Input Data'!$BG$6,IF($G160="H (Apprentice under 25)",'Input Data'!$BG$7,'Input Data'!$BG$8))),0)*VLOOKUP($G160,'Input Data'!$BI$3:$BL$10,4,FALSE))))</f>
        <v>0</v>
      </c>
      <c r="AO160" s="56">
        <f>IF($G160="",0,IF(NOT(OR($G160="A - All employees not in groups B, C, J, H, M or Z",$G160="B - Married women and widows entitled to reduced NI",$G160="C - Over the State Pension age",$G160="H - Apprentice under 25",$G160="J – Deferment",$G160="M - Under 21",$G160="Z - Deferment (Under 21)",$G160="Please Enter The NI Cont. in ££££")),$G160,SUM(MAX(MIN(AG160-'Input Data'!$BG$3,'Input Data'!$BG$5-'Input Data'!$BG$3),0)*VLOOKUP($G160,'Input Data'!$BI$3:$BL$10,2,FALSE),MAX(MIN(AG160-'Input Data'!$BG$5,IF(OR($G160="M (under 21)",$G160="Z (under 21 - deferment)"),'Input Data'!$BG$6,IF($G160="H (Apprentice under 25)",'Input Data'!$BG$7,'Input Data'!$BG$8))-'Input Data'!$BG$5),0)*VLOOKUP($G160,'Input Data'!$BI$3:$BL$10,3,FALSE),MAX((AG160-IF(OR($G160="M (under 21)",$G160="Z (under 21 - deferment)"),'Input Data'!$BG$6,IF($G160="H (Apprentice under 25)",'Input Data'!$BG$7,'Input Data'!$BG$8))),0)*VLOOKUP($G160,'Input Data'!$BI$3:$BL$10,4,FALSE))))</f>
        <v>0</v>
      </c>
      <c r="AP160" s="56">
        <f>IF($G160="",0,IF(NOT(OR($G160="A - All employees not in groups B, C, J, H, M or Z",$G160="B - Married women and widows entitled to reduced NI",$G160="C - Over the State Pension age",$G160="H - Apprentice under 25",$G160="J – Deferment",$G160="M - Under 21",$G160="Z - Deferment (Under 21)",$G160="Please Enter The NI Cont. in ££££")),$G160,SUM(MAX(MIN(AH160-'Input Data'!$BG$3,'Input Data'!$BG$5-'Input Data'!$BG$3),0)*VLOOKUP($G160,'Input Data'!$BI$3:$BL$10,2,FALSE),MAX(MIN(AH160-'Input Data'!$BG$5,IF(OR($G160="M (under 21)",$G160="Z (under 21 - deferment)"),'Input Data'!$BG$6,IF($G160="H (Apprentice under 25)",'Input Data'!$BG$7,'Input Data'!$BG$8))-'Input Data'!$BG$5),0)*VLOOKUP($G160,'Input Data'!$BI$3:$BL$10,3,FALSE),MAX((AH160-IF(OR($G160="M (under 21)",$G160="Z (under 21 - deferment)"),'Input Data'!$BG$6,IF($G160="H (Apprentice under 25)",'Input Data'!$BG$7,'Input Data'!$BG$8))),0)*VLOOKUP($G160,'Input Data'!$BI$3:$BL$10,4,FALSE))))</f>
        <v>0</v>
      </c>
      <c r="AQ160" s="56">
        <f>IF($G160="",0,IF(NOT(OR($G160="A - All employees not in groups B, C, J, H, M or Z",$G160="B - Married women and widows entitled to reduced NI",$G160="C - Over the State Pension age",$G160="H - Apprentice under 25",$G160="J – Deferment",$G160="M - Under 21",$G160="Z - Deferment (Under 21)",$G160="Please Enter The NI Cont. in ££££")),$G160,SUM(MAX(MIN(AI160-'Input Data'!$BG$3,'Input Data'!$BG$5-'Input Data'!$BG$3),0)*VLOOKUP($G160,'Input Data'!$BI$3:$BL$10,2,FALSE),MAX(MIN(AI160-'Input Data'!$BG$5,IF(OR($G160="M (under 21)",$G160="Z (under 21 - deferment)"),'Input Data'!$BG$6,IF($G160="H (Apprentice under 25)",'Input Data'!$BG$7,'Input Data'!$BG$8))-'Input Data'!$BG$5),0)*VLOOKUP($G160,'Input Data'!$BI$3:$BL$10,3,FALSE),MAX((AI160-IF(OR($G160="M (under 21)",$G160="Z (under 21 - deferment)"),'Input Data'!$BG$6,IF($G160="H (Apprentice under 25)",'Input Data'!$BG$7,'Input Data'!$BG$8))),0)*VLOOKUP($G160,'Input Data'!$BI$3:$BL$10,4,FALSE))))</f>
        <v>0</v>
      </c>
      <c r="AR160" s="56">
        <f>IF($G160="",0,IF(NOT(OR($G160="A - All employees not in groups B, C, J, H, M or Z",$G160="B - Married women and widows entitled to reduced NI",$G160="C - Over the State Pension age",$G160="H - Apprentice under 25",$G160="J – Deferment",$G160="M - Under 21",$G160="Z - Deferment (Under 21)",$G160="Please Enter The NI Cont. in ££££")),$G160,SUM(MAX(MIN(AJ160-'Input Data'!$BG$3,'Input Data'!$BG$5-'Input Data'!$BG$3),0)*VLOOKUP($G160,'Input Data'!$BI$3:$BL$10,2,FALSE),MAX(MIN(AJ160-'Input Data'!$BG$5,IF(OR($G160="M (under 21)",$G160="Z (under 21 - deferment)"),'Input Data'!$BG$6,IF($G160="H (Apprentice under 25)",'Input Data'!$BG$7,'Input Data'!$BG$8))-'Input Data'!$BG$5),0)*VLOOKUP($G160,'Input Data'!$BI$3:$BL$10,3,FALSE),MAX((AJ160-IF(OR($G160="M (under 21)",$G160="Z (under 21 - deferment)"),'Input Data'!$BG$6,IF($G160="H (Apprentice under 25)",'Input Data'!$BG$7,'Input Data'!$BG$8))),0)*VLOOKUP($G160,'Input Data'!$BI$3:$BL$10,4,FALSE))))</f>
        <v>0</v>
      </c>
      <c r="AS160" s="56">
        <f>AC160*$F160</f>
        <v>0</v>
      </c>
      <c r="AT160" s="56">
        <f>AD160*$F160</f>
        <v>0</v>
      </c>
      <c r="AU160" s="56">
        <f>AE160*$F160</f>
        <v>0</v>
      </c>
      <c r="AV160" s="56">
        <f>AF160*$F160</f>
        <v>0</v>
      </c>
      <c r="AW160" s="56">
        <f>AG160*$F160</f>
        <v>0</v>
      </c>
      <c r="AX160" s="56">
        <f>AH160*$F160</f>
        <v>0</v>
      </c>
      <c r="AY160" s="56">
        <f>AI160*$F160</f>
        <v>0</v>
      </c>
      <c r="AZ160" s="56">
        <f>AJ160*$F160</f>
        <v>0</v>
      </c>
    </row>
    <row r="161" spans="2:52" ht="25.5">
      <c r="B161" s="60"/>
      <c r="C161" s="57" t="s">
        <v>78</v>
      </c>
      <c r="D161" s="58"/>
      <c r="E161" s="58"/>
      <c r="F161" s="535"/>
      <c r="G161" s="693" t="s">
        <v>1149</v>
      </c>
      <c r="H161" s="65"/>
      <c r="I161" s="65"/>
      <c r="J161" s="65"/>
      <c r="K161" s="65"/>
      <c r="L161" s="65"/>
      <c r="M161" s="65"/>
      <c r="N161" s="65"/>
      <c r="O161" s="65"/>
      <c r="P161" s="29"/>
      <c r="Q161" s="597"/>
      <c r="R161" s="61"/>
      <c r="T161" s="43">
        <f>SUM(AC161,AK161,AS161)</f>
        <v>0</v>
      </c>
      <c r="U161" s="43">
        <f>SUM(AD161,AL161,AT161)</f>
        <v>0</v>
      </c>
      <c r="V161" s="43">
        <f>SUM(AE161,AM161,AU161)</f>
        <v>0</v>
      </c>
      <c r="W161" s="43">
        <f>SUM(AF161,AN161,AV161)</f>
        <v>0</v>
      </c>
      <c r="X161" s="43">
        <f>SUM(AG161,AO161,AW161)</f>
        <v>0</v>
      </c>
      <c r="Y161" s="43">
        <f>SUM(AH161,AP161,AX161)</f>
        <v>0</v>
      </c>
      <c r="Z161" s="43">
        <f>SUM(AI161,AQ161,AY161)</f>
        <v>0</v>
      </c>
      <c r="AA161" s="43">
        <f>SUM(AJ161,AR161,AZ161)</f>
        <v>0</v>
      </c>
      <c r="AC161" s="631">
        <f>SUM($D161:$E161)*H161</f>
        <v>0</v>
      </c>
      <c r="AD161" s="631">
        <f>SUM($D161:$E161)*I161</f>
        <v>0</v>
      </c>
      <c r="AE161" s="631">
        <f>SUM($D161:$E161)*J161</f>
        <v>0</v>
      </c>
      <c r="AF161" s="631">
        <f>SUM($D161:$E161)*K161</f>
        <v>0</v>
      </c>
      <c r="AG161" s="631">
        <f>SUM($D161:$E161)*L161</f>
        <v>0</v>
      </c>
      <c r="AH161" s="631">
        <f>SUM($D161:$E161)*M161</f>
        <v>0</v>
      </c>
      <c r="AI161" s="631">
        <f>SUM($D161:$E161)*N161</f>
        <v>0</v>
      </c>
      <c r="AJ161" s="631">
        <f>SUM($D161:$E161)*O161</f>
        <v>0</v>
      </c>
      <c r="AK161" s="56">
        <f>IF($G161="",0,IF(NOT(OR($G161="A - All employees not in groups B, C, J, H, M or Z",$G161="B - Married women and widows entitled to reduced NI",$G161="C - Over the State Pension age",$G161="H - Apprentice under 25",$G161="J – Deferment",$G161="M - Under 21",$G161="Z - Deferment (Under 21)",$G161="Please Enter The NI Cont. in ££££")),$G161,SUM(MAX(MIN(AC161-'Input Data'!$BG$3,'Input Data'!$BG$5-'Input Data'!$BG$3),0)*VLOOKUP($G161,'Input Data'!$BI$3:$BL$10,2,FALSE),MAX(MIN(AC161-'Input Data'!$BG$5,IF(OR($G161="M (under 21)",$G161="Z (under 21 - deferment)"),'Input Data'!$BG$6,IF($G161="H (Apprentice under 25)",'Input Data'!$BG$7,'Input Data'!$BG$8))-'Input Data'!$BG$5),0)*VLOOKUP($G161,'Input Data'!$BI$3:$BL$10,3,FALSE),MAX((AC161-IF(OR($G161="M (under 21)",$G161="Z (under 21 - deferment)"),'Input Data'!$BG$6,IF($G161="H (Apprentice under 25)",'Input Data'!$BG$7,'Input Data'!$BG$8))),0)*VLOOKUP($G161,'Input Data'!$BI$3:$BL$10,4,FALSE))))</f>
        <v>0</v>
      </c>
      <c r="AL161" s="56">
        <f>IF($G161="",0,IF(NOT(OR($G161="A - All employees not in groups B, C, J, H, M or Z",$G161="B - Married women and widows entitled to reduced NI",$G161="C - Over the State Pension age",$G161="H - Apprentice under 25",$G161="J – Deferment",$G161="M - Under 21",$G161="Z - Deferment (Under 21)",$G161="Please Enter The NI Cont. in ££££")),$G161,SUM(MAX(MIN(AD161-'Input Data'!$BG$3,'Input Data'!$BG$5-'Input Data'!$BG$3),0)*VLOOKUP($G161,'Input Data'!$BI$3:$BL$10,2,FALSE),MAX(MIN(AD161-'Input Data'!$BG$5,IF(OR($G161="M (under 21)",$G161="Z (under 21 - deferment)"),'Input Data'!$BG$6,IF($G161="H (Apprentice under 25)",'Input Data'!$BG$7,'Input Data'!$BG$8))-'Input Data'!$BG$5),0)*VLOOKUP($G161,'Input Data'!$BI$3:$BL$10,3,FALSE),MAX((AD161-IF(OR($G161="M (under 21)",$G161="Z (under 21 - deferment)"),'Input Data'!$BG$6,IF($G161="H (Apprentice under 25)",'Input Data'!$BG$7,'Input Data'!$BG$8))),0)*VLOOKUP($G161,'Input Data'!$BI$3:$BL$10,4,FALSE))))</f>
        <v>0</v>
      </c>
      <c r="AM161" s="56">
        <f>IF($G161="",0,IF(NOT(OR($G161="A - All employees not in groups B, C, J, H, M or Z",$G161="B - Married women and widows entitled to reduced NI",$G161="C - Over the State Pension age",$G161="H - Apprentice under 25",$G161="J – Deferment",$G161="M - Under 21",$G161="Z - Deferment (Under 21)",$G161="Please Enter The NI Cont. in ££££")),$G161,SUM(MAX(MIN(AE161-'Input Data'!$BG$3,'Input Data'!$BG$5-'Input Data'!$BG$3),0)*VLOOKUP($G161,'Input Data'!$BI$3:$BL$10,2,FALSE),MAX(MIN(AE161-'Input Data'!$BG$5,IF(OR($G161="M (under 21)",$G161="Z (under 21 - deferment)"),'Input Data'!$BG$6,IF($G161="H (Apprentice under 25)",'Input Data'!$BG$7,'Input Data'!$BG$8))-'Input Data'!$BG$5),0)*VLOOKUP($G161,'Input Data'!$BI$3:$BL$10,3,FALSE),MAX((AE161-IF(OR($G161="M (under 21)",$G161="Z (under 21 - deferment)"),'Input Data'!$BG$6,IF($G161="H (Apprentice under 25)",'Input Data'!$BG$7,'Input Data'!$BG$8))),0)*VLOOKUP($G161,'Input Data'!$BI$3:$BL$10,4,FALSE))))</f>
        <v>0</v>
      </c>
      <c r="AN161" s="56">
        <f>IF($G161="",0,IF(NOT(OR($G161="A - All employees not in groups B, C, J, H, M or Z",$G161="B - Married women and widows entitled to reduced NI",$G161="C - Over the State Pension age",$G161="H - Apprentice under 25",$G161="J – Deferment",$G161="M - Under 21",$G161="Z - Deferment (Under 21)",$G161="Please Enter The NI Cont. in ££££")),$G161,SUM(MAX(MIN(AF161-'Input Data'!$BG$3,'Input Data'!$BG$5-'Input Data'!$BG$3),0)*VLOOKUP($G161,'Input Data'!$BI$3:$BL$10,2,FALSE),MAX(MIN(AF161-'Input Data'!$BG$5,IF(OR($G161="M (under 21)",$G161="Z (under 21 - deferment)"),'Input Data'!$BG$6,IF($G161="H (Apprentice under 25)",'Input Data'!$BG$7,'Input Data'!$BG$8))-'Input Data'!$BG$5),0)*VLOOKUP($G161,'Input Data'!$BI$3:$BL$10,3,FALSE),MAX((AF161-IF(OR($G161="M (under 21)",$G161="Z (under 21 - deferment)"),'Input Data'!$BG$6,IF($G161="H (Apprentice under 25)",'Input Data'!$BG$7,'Input Data'!$BG$8))),0)*VLOOKUP($G161,'Input Data'!$BI$3:$BL$10,4,FALSE))))</f>
        <v>0</v>
      </c>
      <c r="AO161" s="56">
        <f>IF($G161="",0,IF(NOT(OR($G161="A - All employees not in groups B, C, J, H, M or Z",$G161="B - Married women and widows entitled to reduced NI",$G161="C - Over the State Pension age",$G161="H - Apprentice under 25",$G161="J – Deferment",$G161="M - Under 21",$G161="Z - Deferment (Under 21)",$G161="Please Enter The NI Cont. in ££££")),$G161,SUM(MAX(MIN(AG161-'Input Data'!$BG$3,'Input Data'!$BG$5-'Input Data'!$BG$3),0)*VLOOKUP($G161,'Input Data'!$BI$3:$BL$10,2,FALSE),MAX(MIN(AG161-'Input Data'!$BG$5,IF(OR($G161="M (under 21)",$G161="Z (under 21 - deferment)"),'Input Data'!$BG$6,IF($G161="H (Apprentice under 25)",'Input Data'!$BG$7,'Input Data'!$BG$8))-'Input Data'!$BG$5),0)*VLOOKUP($G161,'Input Data'!$BI$3:$BL$10,3,FALSE),MAX((AG161-IF(OR($G161="M (under 21)",$G161="Z (under 21 - deferment)"),'Input Data'!$BG$6,IF($G161="H (Apprentice under 25)",'Input Data'!$BG$7,'Input Data'!$BG$8))),0)*VLOOKUP($G161,'Input Data'!$BI$3:$BL$10,4,FALSE))))</f>
        <v>0</v>
      </c>
      <c r="AP161" s="56">
        <f>IF($G161="",0,IF(NOT(OR($G161="A - All employees not in groups B, C, J, H, M or Z",$G161="B - Married women and widows entitled to reduced NI",$G161="C - Over the State Pension age",$G161="H - Apprentice under 25",$G161="J – Deferment",$G161="M - Under 21",$G161="Z - Deferment (Under 21)",$G161="Please Enter The NI Cont. in ££££")),$G161,SUM(MAX(MIN(AH161-'Input Data'!$BG$3,'Input Data'!$BG$5-'Input Data'!$BG$3),0)*VLOOKUP($G161,'Input Data'!$BI$3:$BL$10,2,FALSE),MAX(MIN(AH161-'Input Data'!$BG$5,IF(OR($G161="M (under 21)",$G161="Z (under 21 - deferment)"),'Input Data'!$BG$6,IF($G161="H (Apprentice under 25)",'Input Data'!$BG$7,'Input Data'!$BG$8))-'Input Data'!$BG$5),0)*VLOOKUP($G161,'Input Data'!$BI$3:$BL$10,3,FALSE),MAX((AH161-IF(OR($G161="M (under 21)",$G161="Z (under 21 - deferment)"),'Input Data'!$BG$6,IF($G161="H (Apprentice under 25)",'Input Data'!$BG$7,'Input Data'!$BG$8))),0)*VLOOKUP($G161,'Input Data'!$BI$3:$BL$10,4,FALSE))))</f>
        <v>0</v>
      </c>
      <c r="AQ161" s="56">
        <f>IF($G161="",0,IF(NOT(OR($G161="A - All employees not in groups B, C, J, H, M or Z",$G161="B - Married women and widows entitled to reduced NI",$G161="C - Over the State Pension age",$G161="H - Apprentice under 25",$G161="J – Deferment",$G161="M - Under 21",$G161="Z - Deferment (Under 21)",$G161="Please Enter The NI Cont. in ££££")),$G161,SUM(MAX(MIN(AI161-'Input Data'!$BG$3,'Input Data'!$BG$5-'Input Data'!$BG$3),0)*VLOOKUP($G161,'Input Data'!$BI$3:$BL$10,2,FALSE),MAX(MIN(AI161-'Input Data'!$BG$5,IF(OR($G161="M (under 21)",$G161="Z (under 21 - deferment)"),'Input Data'!$BG$6,IF($G161="H (Apprentice under 25)",'Input Data'!$BG$7,'Input Data'!$BG$8))-'Input Data'!$BG$5),0)*VLOOKUP($G161,'Input Data'!$BI$3:$BL$10,3,FALSE),MAX((AI161-IF(OR($G161="M (under 21)",$G161="Z (under 21 - deferment)"),'Input Data'!$BG$6,IF($G161="H (Apprentice under 25)",'Input Data'!$BG$7,'Input Data'!$BG$8))),0)*VLOOKUP($G161,'Input Data'!$BI$3:$BL$10,4,FALSE))))</f>
        <v>0</v>
      </c>
      <c r="AR161" s="56">
        <f>IF($G161="",0,IF(NOT(OR($G161="A - All employees not in groups B, C, J, H, M or Z",$G161="B - Married women and widows entitled to reduced NI",$G161="C - Over the State Pension age",$G161="H - Apprentice under 25",$G161="J – Deferment",$G161="M - Under 21",$G161="Z - Deferment (Under 21)",$G161="Please Enter The NI Cont. in ££££")),$G161,SUM(MAX(MIN(AJ161-'Input Data'!$BG$3,'Input Data'!$BG$5-'Input Data'!$BG$3),0)*VLOOKUP($G161,'Input Data'!$BI$3:$BL$10,2,FALSE),MAX(MIN(AJ161-'Input Data'!$BG$5,IF(OR($G161="M (under 21)",$G161="Z (under 21 - deferment)"),'Input Data'!$BG$6,IF($G161="H (Apprentice under 25)",'Input Data'!$BG$7,'Input Data'!$BG$8))-'Input Data'!$BG$5),0)*VLOOKUP($G161,'Input Data'!$BI$3:$BL$10,3,FALSE),MAX((AJ161-IF(OR($G161="M (under 21)",$G161="Z (under 21 - deferment)"),'Input Data'!$BG$6,IF($G161="H (Apprentice under 25)",'Input Data'!$BG$7,'Input Data'!$BG$8))),0)*VLOOKUP($G161,'Input Data'!$BI$3:$BL$10,4,FALSE))))</f>
        <v>0</v>
      </c>
      <c r="AS161" s="56">
        <f>AC161*$F161</f>
        <v>0</v>
      </c>
      <c r="AT161" s="56">
        <f>AD161*$F161</f>
        <v>0</v>
      </c>
      <c r="AU161" s="56">
        <f>AE161*$F161</f>
        <v>0</v>
      </c>
      <c r="AV161" s="56">
        <f>AF161*$F161</f>
        <v>0</v>
      </c>
      <c r="AW161" s="56">
        <f>AG161*$F161</f>
        <v>0</v>
      </c>
      <c r="AX161" s="56">
        <f>AH161*$F161</f>
        <v>0</v>
      </c>
      <c r="AY161" s="56">
        <f>AI161*$F161</f>
        <v>0</v>
      </c>
      <c r="AZ161" s="56">
        <f>AJ161*$F161</f>
        <v>0</v>
      </c>
    </row>
    <row r="162" spans="2:52" ht="25.5">
      <c r="B162" s="60"/>
      <c r="C162" s="57" t="s">
        <v>79</v>
      </c>
      <c r="D162" s="58"/>
      <c r="E162" s="58"/>
      <c r="F162" s="535"/>
      <c r="G162" s="693" t="s">
        <v>1149</v>
      </c>
      <c r="H162" s="65"/>
      <c r="I162" s="65"/>
      <c r="J162" s="65"/>
      <c r="K162" s="65"/>
      <c r="L162" s="65"/>
      <c r="M162" s="65"/>
      <c r="N162" s="65"/>
      <c r="O162" s="65"/>
      <c r="P162" s="29"/>
      <c r="Q162" s="597"/>
      <c r="R162" s="61"/>
      <c r="T162" s="43">
        <f>SUM(AC162,AK162,AS162)</f>
        <v>0</v>
      </c>
      <c r="U162" s="43">
        <f>SUM(AD162,AL162,AT162)</f>
        <v>0</v>
      </c>
      <c r="V162" s="43">
        <f>SUM(AE162,AM162,AU162)</f>
        <v>0</v>
      </c>
      <c r="W162" s="43">
        <f>SUM(AF162,AN162,AV162)</f>
        <v>0</v>
      </c>
      <c r="X162" s="43">
        <f>SUM(AG162,AO162,AW162)</f>
        <v>0</v>
      </c>
      <c r="Y162" s="43">
        <f>SUM(AH162,AP162,AX162)</f>
        <v>0</v>
      </c>
      <c r="Z162" s="43">
        <f>SUM(AI162,AQ162,AY162)</f>
        <v>0</v>
      </c>
      <c r="AA162" s="43">
        <f>SUM(AJ162,AR162,AZ162)</f>
        <v>0</v>
      </c>
      <c r="AC162" s="631">
        <f>SUM($D162:$E162)*H162</f>
        <v>0</v>
      </c>
      <c r="AD162" s="631">
        <f>SUM($D162:$E162)*I162</f>
        <v>0</v>
      </c>
      <c r="AE162" s="631">
        <f>SUM($D162:$E162)*J162</f>
        <v>0</v>
      </c>
      <c r="AF162" s="631">
        <f>SUM($D162:$E162)*K162</f>
        <v>0</v>
      </c>
      <c r="AG162" s="631">
        <f>SUM($D162:$E162)*L162</f>
        <v>0</v>
      </c>
      <c r="AH162" s="631">
        <f>SUM($D162:$E162)*M162</f>
        <v>0</v>
      </c>
      <c r="AI162" s="631">
        <f>SUM($D162:$E162)*N162</f>
        <v>0</v>
      </c>
      <c r="AJ162" s="631">
        <f>SUM($D162:$E162)*O162</f>
        <v>0</v>
      </c>
      <c r="AK162" s="56">
        <f>IF($G162="",0,IF(NOT(OR($G162="A - All employees not in groups B, C, J, H, M or Z",$G162="B - Married women and widows entitled to reduced NI",$G162="C - Over the State Pension age",$G162="H - Apprentice under 25",$G162="J – Deferment",$G162="M - Under 21",$G162="Z - Deferment (Under 21)",$G162="Please Enter The NI Cont. in ££££")),$G162,SUM(MAX(MIN(AC162-'Input Data'!$BG$3,'Input Data'!$BG$5-'Input Data'!$BG$3),0)*VLOOKUP($G162,'Input Data'!$BI$3:$BL$10,2,FALSE),MAX(MIN(AC162-'Input Data'!$BG$5,IF(OR($G162="M (under 21)",$G162="Z (under 21 - deferment)"),'Input Data'!$BG$6,IF($G162="H (Apprentice under 25)",'Input Data'!$BG$7,'Input Data'!$BG$8))-'Input Data'!$BG$5),0)*VLOOKUP($G162,'Input Data'!$BI$3:$BL$10,3,FALSE),MAX((AC162-IF(OR($G162="M (under 21)",$G162="Z (under 21 - deferment)"),'Input Data'!$BG$6,IF($G162="H (Apprentice under 25)",'Input Data'!$BG$7,'Input Data'!$BG$8))),0)*VLOOKUP($G162,'Input Data'!$BI$3:$BL$10,4,FALSE))))</f>
        <v>0</v>
      </c>
      <c r="AL162" s="56">
        <f>IF($G162="",0,IF(NOT(OR($G162="A - All employees not in groups B, C, J, H, M or Z",$G162="B - Married women and widows entitled to reduced NI",$G162="C - Over the State Pension age",$G162="H - Apprentice under 25",$G162="J – Deferment",$G162="M - Under 21",$G162="Z - Deferment (Under 21)",$G162="Please Enter The NI Cont. in ££££")),$G162,SUM(MAX(MIN(AD162-'Input Data'!$BG$3,'Input Data'!$BG$5-'Input Data'!$BG$3),0)*VLOOKUP($G162,'Input Data'!$BI$3:$BL$10,2,FALSE),MAX(MIN(AD162-'Input Data'!$BG$5,IF(OR($G162="M (under 21)",$G162="Z (under 21 - deferment)"),'Input Data'!$BG$6,IF($G162="H (Apprentice under 25)",'Input Data'!$BG$7,'Input Data'!$BG$8))-'Input Data'!$BG$5),0)*VLOOKUP($G162,'Input Data'!$BI$3:$BL$10,3,FALSE),MAX((AD162-IF(OR($G162="M (under 21)",$G162="Z (under 21 - deferment)"),'Input Data'!$BG$6,IF($G162="H (Apprentice under 25)",'Input Data'!$BG$7,'Input Data'!$BG$8))),0)*VLOOKUP($G162,'Input Data'!$BI$3:$BL$10,4,FALSE))))</f>
        <v>0</v>
      </c>
      <c r="AM162" s="56">
        <f>IF($G162="",0,IF(NOT(OR($G162="A - All employees not in groups B, C, J, H, M or Z",$G162="B - Married women and widows entitled to reduced NI",$G162="C - Over the State Pension age",$G162="H - Apprentice under 25",$G162="J – Deferment",$G162="M - Under 21",$G162="Z - Deferment (Under 21)",$G162="Please Enter The NI Cont. in ££££")),$G162,SUM(MAX(MIN(AE162-'Input Data'!$BG$3,'Input Data'!$BG$5-'Input Data'!$BG$3),0)*VLOOKUP($G162,'Input Data'!$BI$3:$BL$10,2,FALSE),MAX(MIN(AE162-'Input Data'!$BG$5,IF(OR($G162="M (under 21)",$G162="Z (under 21 - deferment)"),'Input Data'!$BG$6,IF($G162="H (Apprentice under 25)",'Input Data'!$BG$7,'Input Data'!$BG$8))-'Input Data'!$BG$5),0)*VLOOKUP($G162,'Input Data'!$BI$3:$BL$10,3,FALSE),MAX((AE162-IF(OR($G162="M (under 21)",$G162="Z (under 21 - deferment)"),'Input Data'!$BG$6,IF($G162="H (Apprentice under 25)",'Input Data'!$BG$7,'Input Data'!$BG$8))),0)*VLOOKUP($G162,'Input Data'!$BI$3:$BL$10,4,FALSE))))</f>
        <v>0</v>
      </c>
      <c r="AN162" s="56">
        <f>IF($G162="",0,IF(NOT(OR($G162="A - All employees not in groups B, C, J, H, M or Z",$G162="B - Married women and widows entitled to reduced NI",$G162="C - Over the State Pension age",$G162="H - Apprentice under 25",$G162="J – Deferment",$G162="M - Under 21",$G162="Z - Deferment (Under 21)",$G162="Please Enter The NI Cont. in ££££")),$G162,SUM(MAX(MIN(AF162-'Input Data'!$BG$3,'Input Data'!$BG$5-'Input Data'!$BG$3),0)*VLOOKUP($G162,'Input Data'!$BI$3:$BL$10,2,FALSE),MAX(MIN(AF162-'Input Data'!$BG$5,IF(OR($G162="M (under 21)",$G162="Z (under 21 - deferment)"),'Input Data'!$BG$6,IF($G162="H (Apprentice under 25)",'Input Data'!$BG$7,'Input Data'!$BG$8))-'Input Data'!$BG$5),0)*VLOOKUP($G162,'Input Data'!$BI$3:$BL$10,3,FALSE),MAX((AF162-IF(OR($G162="M (under 21)",$G162="Z (under 21 - deferment)"),'Input Data'!$BG$6,IF($G162="H (Apprentice under 25)",'Input Data'!$BG$7,'Input Data'!$BG$8))),0)*VLOOKUP($G162,'Input Data'!$BI$3:$BL$10,4,FALSE))))</f>
        <v>0</v>
      </c>
      <c r="AO162" s="56">
        <f>IF($G162="",0,IF(NOT(OR($G162="A - All employees not in groups B, C, J, H, M or Z",$G162="B - Married women and widows entitled to reduced NI",$G162="C - Over the State Pension age",$G162="H - Apprentice under 25",$G162="J – Deferment",$G162="M - Under 21",$G162="Z - Deferment (Under 21)",$G162="Please Enter The NI Cont. in ££££")),$G162,SUM(MAX(MIN(AG162-'Input Data'!$BG$3,'Input Data'!$BG$5-'Input Data'!$BG$3),0)*VLOOKUP($G162,'Input Data'!$BI$3:$BL$10,2,FALSE),MAX(MIN(AG162-'Input Data'!$BG$5,IF(OR($G162="M (under 21)",$G162="Z (under 21 - deferment)"),'Input Data'!$BG$6,IF($G162="H (Apprentice under 25)",'Input Data'!$BG$7,'Input Data'!$BG$8))-'Input Data'!$BG$5),0)*VLOOKUP($G162,'Input Data'!$BI$3:$BL$10,3,FALSE),MAX((AG162-IF(OR($G162="M (under 21)",$G162="Z (under 21 - deferment)"),'Input Data'!$BG$6,IF($G162="H (Apprentice under 25)",'Input Data'!$BG$7,'Input Data'!$BG$8))),0)*VLOOKUP($G162,'Input Data'!$BI$3:$BL$10,4,FALSE))))</f>
        <v>0</v>
      </c>
      <c r="AP162" s="56">
        <f>IF($G162="",0,IF(NOT(OR($G162="A - All employees not in groups B, C, J, H, M or Z",$G162="B - Married women and widows entitled to reduced NI",$G162="C - Over the State Pension age",$G162="H - Apprentice under 25",$G162="J – Deferment",$G162="M - Under 21",$G162="Z - Deferment (Under 21)",$G162="Please Enter The NI Cont. in ££££")),$G162,SUM(MAX(MIN(AH162-'Input Data'!$BG$3,'Input Data'!$BG$5-'Input Data'!$BG$3),0)*VLOOKUP($G162,'Input Data'!$BI$3:$BL$10,2,FALSE),MAX(MIN(AH162-'Input Data'!$BG$5,IF(OR($G162="M (under 21)",$G162="Z (under 21 - deferment)"),'Input Data'!$BG$6,IF($G162="H (Apprentice under 25)",'Input Data'!$BG$7,'Input Data'!$BG$8))-'Input Data'!$BG$5),0)*VLOOKUP($G162,'Input Data'!$BI$3:$BL$10,3,FALSE),MAX((AH162-IF(OR($G162="M (under 21)",$G162="Z (under 21 - deferment)"),'Input Data'!$BG$6,IF($G162="H (Apprentice under 25)",'Input Data'!$BG$7,'Input Data'!$BG$8))),0)*VLOOKUP($G162,'Input Data'!$BI$3:$BL$10,4,FALSE))))</f>
        <v>0</v>
      </c>
      <c r="AQ162" s="56">
        <f>IF($G162="",0,IF(NOT(OR($G162="A - All employees not in groups B, C, J, H, M or Z",$G162="B - Married women and widows entitled to reduced NI",$G162="C - Over the State Pension age",$G162="H - Apprentice under 25",$G162="J – Deferment",$G162="M - Under 21",$G162="Z - Deferment (Under 21)",$G162="Please Enter The NI Cont. in ££££")),$G162,SUM(MAX(MIN(AI162-'Input Data'!$BG$3,'Input Data'!$BG$5-'Input Data'!$BG$3),0)*VLOOKUP($G162,'Input Data'!$BI$3:$BL$10,2,FALSE),MAX(MIN(AI162-'Input Data'!$BG$5,IF(OR($G162="M (under 21)",$G162="Z (under 21 - deferment)"),'Input Data'!$BG$6,IF($G162="H (Apprentice under 25)",'Input Data'!$BG$7,'Input Data'!$BG$8))-'Input Data'!$BG$5),0)*VLOOKUP($G162,'Input Data'!$BI$3:$BL$10,3,FALSE),MAX((AI162-IF(OR($G162="M (under 21)",$G162="Z (under 21 - deferment)"),'Input Data'!$BG$6,IF($G162="H (Apprentice under 25)",'Input Data'!$BG$7,'Input Data'!$BG$8))),0)*VLOOKUP($G162,'Input Data'!$BI$3:$BL$10,4,FALSE))))</f>
        <v>0</v>
      </c>
      <c r="AR162" s="56">
        <f>IF($G162="",0,IF(NOT(OR($G162="A - All employees not in groups B, C, J, H, M or Z",$G162="B - Married women and widows entitled to reduced NI",$G162="C - Over the State Pension age",$G162="H - Apprentice under 25",$G162="J – Deferment",$G162="M - Under 21",$G162="Z - Deferment (Under 21)",$G162="Please Enter The NI Cont. in ££££")),$G162,SUM(MAX(MIN(AJ162-'Input Data'!$BG$3,'Input Data'!$BG$5-'Input Data'!$BG$3),0)*VLOOKUP($G162,'Input Data'!$BI$3:$BL$10,2,FALSE),MAX(MIN(AJ162-'Input Data'!$BG$5,IF(OR($G162="M (under 21)",$G162="Z (under 21 - deferment)"),'Input Data'!$BG$6,IF($G162="H (Apprentice under 25)",'Input Data'!$BG$7,'Input Data'!$BG$8))-'Input Data'!$BG$5),0)*VLOOKUP($G162,'Input Data'!$BI$3:$BL$10,3,FALSE),MAX((AJ162-IF(OR($G162="M (under 21)",$G162="Z (under 21 - deferment)"),'Input Data'!$BG$6,IF($G162="H (Apprentice under 25)",'Input Data'!$BG$7,'Input Data'!$BG$8))),0)*VLOOKUP($G162,'Input Data'!$BI$3:$BL$10,4,FALSE))))</f>
        <v>0</v>
      </c>
      <c r="AS162" s="56">
        <f>AC162*$F162</f>
        <v>0</v>
      </c>
      <c r="AT162" s="56">
        <f>AD162*$F162</f>
        <v>0</v>
      </c>
      <c r="AU162" s="56">
        <f>AE162*$F162</f>
        <v>0</v>
      </c>
      <c r="AV162" s="56">
        <f>AF162*$F162</f>
        <v>0</v>
      </c>
      <c r="AW162" s="56">
        <f>AG162*$F162</f>
        <v>0</v>
      </c>
      <c r="AX162" s="56">
        <f>AH162*$F162</f>
        <v>0</v>
      </c>
      <c r="AY162" s="56">
        <f>AI162*$F162</f>
        <v>0</v>
      </c>
      <c r="AZ162" s="56">
        <f>AJ162*$F162</f>
        <v>0</v>
      </c>
    </row>
    <row r="163" spans="2:52" ht="25.5">
      <c r="B163" s="60"/>
      <c r="C163" s="57" t="s">
        <v>80</v>
      </c>
      <c r="D163" s="58"/>
      <c r="E163" s="58"/>
      <c r="F163" s="535"/>
      <c r="G163" s="693" t="s">
        <v>1149</v>
      </c>
      <c r="H163" s="65"/>
      <c r="I163" s="65"/>
      <c r="J163" s="65"/>
      <c r="K163" s="65"/>
      <c r="L163" s="65"/>
      <c r="M163" s="65"/>
      <c r="N163" s="65"/>
      <c r="O163" s="65"/>
      <c r="P163" s="29"/>
      <c r="Q163" s="597"/>
      <c r="R163" s="61"/>
      <c r="T163" s="43">
        <f>SUM(AC163,AK163,AS163)</f>
        <v>0</v>
      </c>
      <c r="U163" s="43">
        <f>SUM(AD163,AL163,AT163)</f>
        <v>0</v>
      </c>
      <c r="V163" s="43">
        <f>SUM(AE163,AM163,AU163)</f>
        <v>0</v>
      </c>
      <c r="W163" s="43">
        <f>SUM(AF163,AN163,AV163)</f>
        <v>0</v>
      </c>
      <c r="X163" s="43">
        <f>SUM(AG163,AO163,AW163)</f>
        <v>0</v>
      </c>
      <c r="Y163" s="43">
        <f>SUM(AH163,AP163,AX163)</f>
        <v>0</v>
      </c>
      <c r="Z163" s="43">
        <f>SUM(AI163,AQ163,AY163)</f>
        <v>0</v>
      </c>
      <c r="AA163" s="43">
        <f>SUM(AJ163,AR163,AZ163)</f>
        <v>0</v>
      </c>
      <c r="AC163" s="631">
        <f>SUM($D163:$E163)*H163</f>
        <v>0</v>
      </c>
      <c r="AD163" s="631">
        <f>SUM($D163:$E163)*I163</f>
        <v>0</v>
      </c>
      <c r="AE163" s="631">
        <f>SUM($D163:$E163)*J163</f>
        <v>0</v>
      </c>
      <c r="AF163" s="631">
        <f>SUM($D163:$E163)*K163</f>
        <v>0</v>
      </c>
      <c r="AG163" s="631">
        <f>SUM($D163:$E163)*L163</f>
        <v>0</v>
      </c>
      <c r="AH163" s="631">
        <f>SUM($D163:$E163)*M163</f>
        <v>0</v>
      </c>
      <c r="AI163" s="631">
        <f>SUM($D163:$E163)*N163</f>
        <v>0</v>
      </c>
      <c r="AJ163" s="631">
        <f>SUM($D163:$E163)*O163</f>
        <v>0</v>
      </c>
      <c r="AK163" s="56">
        <f>IF($G163="",0,IF(NOT(OR($G163="A - All employees not in groups B, C, J, H, M or Z",$G163="B - Married women and widows entitled to reduced NI",$G163="C - Over the State Pension age",$G163="H - Apprentice under 25",$G163="J – Deferment",$G163="M - Under 21",$G163="Z - Deferment (Under 21)",$G163="Please Enter The NI Cont. in ££££")),$G163,SUM(MAX(MIN(AC163-'Input Data'!$BG$3,'Input Data'!$BG$5-'Input Data'!$BG$3),0)*VLOOKUP($G163,'Input Data'!$BI$3:$BL$10,2,FALSE),MAX(MIN(AC163-'Input Data'!$BG$5,IF(OR($G163="M (under 21)",$G163="Z (under 21 - deferment)"),'Input Data'!$BG$6,IF($G163="H (Apprentice under 25)",'Input Data'!$BG$7,'Input Data'!$BG$8))-'Input Data'!$BG$5),0)*VLOOKUP($G163,'Input Data'!$BI$3:$BL$10,3,FALSE),MAX((AC163-IF(OR($G163="M (under 21)",$G163="Z (under 21 - deferment)"),'Input Data'!$BG$6,IF($G163="H (Apprentice under 25)",'Input Data'!$BG$7,'Input Data'!$BG$8))),0)*VLOOKUP($G163,'Input Data'!$BI$3:$BL$10,4,FALSE))))</f>
        <v>0</v>
      </c>
      <c r="AL163" s="56">
        <f>IF($G163="",0,IF(NOT(OR($G163="A - All employees not in groups B, C, J, H, M or Z",$G163="B - Married women and widows entitled to reduced NI",$G163="C - Over the State Pension age",$G163="H - Apprentice under 25",$G163="J – Deferment",$G163="M - Under 21",$G163="Z - Deferment (Under 21)",$G163="Please Enter The NI Cont. in ££££")),$G163,SUM(MAX(MIN(AD163-'Input Data'!$BG$3,'Input Data'!$BG$5-'Input Data'!$BG$3),0)*VLOOKUP($G163,'Input Data'!$BI$3:$BL$10,2,FALSE),MAX(MIN(AD163-'Input Data'!$BG$5,IF(OR($G163="M (under 21)",$G163="Z (under 21 - deferment)"),'Input Data'!$BG$6,IF($G163="H (Apprentice under 25)",'Input Data'!$BG$7,'Input Data'!$BG$8))-'Input Data'!$BG$5),0)*VLOOKUP($G163,'Input Data'!$BI$3:$BL$10,3,FALSE),MAX((AD163-IF(OR($G163="M (under 21)",$G163="Z (under 21 - deferment)"),'Input Data'!$BG$6,IF($G163="H (Apprentice under 25)",'Input Data'!$BG$7,'Input Data'!$BG$8))),0)*VLOOKUP($G163,'Input Data'!$BI$3:$BL$10,4,FALSE))))</f>
        <v>0</v>
      </c>
      <c r="AM163" s="56">
        <f>IF($G163="",0,IF(NOT(OR($G163="A - All employees not in groups B, C, J, H, M or Z",$G163="B - Married women and widows entitled to reduced NI",$G163="C - Over the State Pension age",$G163="H - Apprentice under 25",$G163="J – Deferment",$G163="M - Under 21",$G163="Z - Deferment (Under 21)",$G163="Please Enter The NI Cont. in ££££")),$G163,SUM(MAX(MIN(AE163-'Input Data'!$BG$3,'Input Data'!$BG$5-'Input Data'!$BG$3),0)*VLOOKUP($G163,'Input Data'!$BI$3:$BL$10,2,FALSE),MAX(MIN(AE163-'Input Data'!$BG$5,IF(OR($G163="M (under 21)",$G163="Z (under 21 - deferment)"),'Input Data'!$BG$6,IF($G163="H (Apprentice under 25)",'Input Data'!$BG$7,'Input Data'!$BG$8))-'Input Data'!$BG$5),0)*VLOOKUP($G163,'Input Data'!$BI$3:$BL$10,3,FALSE),MAX((AE163-IF(OR($G163="M (under 21)",$G163="Z (under 21 - deferment)"),'Input Data'!$BG$6,IF($G163="H (Apprentice under 25)",'Input Data'!$BG$7,'Input Data'!$BG$8))),0)*VLOOKUP($G163,'Input Data'!$BI$3:$BL$10,4,FALSE))))</f>
        <v>0</v>
      </c>
      <c r="AN163" s="56">
        <f>IF($G163="",0,IF(NOT(OR($G163="A - All employees not in groups B, C, J, H, M or Z",$G163="B - Married women and widows entitled to reduced NI",$G163="C - Over the State Pension age",$G163="H - Apprentice under 25",$G163="J – Deferment",$G163="M - Under 21",$G163="Z - Deferment (Under 21)",$G163="Please Enter The NI Cont. in ££££")),$G163,SUM(MAX(MIN(AF163-'Input Data'!$BG$3,'Input Data'!$BG$5-'Input Data'!$BG$3),0)*VLOOKUP($G163,'Input Data'!$BI$3:$BL$10,2,FALSE),MAX(MIN(AF163-'Input Data'!$BG$5,IF(OR($G163="M (under 21)",$G163="Z (under 21 - deferment)"),'Input Data'!$BG$6,IF($G163="H (Apprentice under 25)",'Input Data'!$BG$7,'Input Data'!$BG$8))-'Input Data'!$BG$5),0)*VLOOKUP($G163,'Input Data'!$BI$3:$BL$10,3,FALSE),MAX((AF163-IF(OR($G163="M (under 21)",$G163="Z (under 21 - deferment)"),'Input Data'!$BG$6,IF($G163="H (Apprentice under 25)",'Input Data'!$BG$7,'Input Data'!$BG$8))),0)*VLOOKUP($G163,'Input Data'!$BI$3:$BL$10,4,FALSE))))</f>
        <v>0</v>
      </c>
      <c r="AO163" s="56">
        <f>IF($G163="",0,IF(NOT(OR($G163="A - All employees not in groups B, C, J, H, M or Z",$G163="B - Married women and widows entitled to reduced NI",$G163="C - Over the State Pension age",$G163="H - Apprentice under 25",$G163="J – Deferment",$G163="M - Under 21",$G163="Z - Deferment (Under 21)",$G163="Please Enter The NI Cont. in ££££")),$G163,SUM(MAX(MIN(AG163-'Input Data'!$BG$3,'Input Data'!$BG$5-'Input Data'!$BG$3),0)*VLOOKUP($G163,'Input Data'!$BI$3:$BL$10,2,FALSE),MAX(MIN(AG163-'Input Data'!$BG$5,IF(OR($G163="M (under 21)",$G163="Z (under 21 - deferment)"),'Input Data'!$BG$6,IF($G163="H (Apprentice under 25)",'Input Data'!$BG$7,'Input Data'!$BG$8))-'Input Data'!$BG$5),0)*VLOOKUP($G163,'Input Data'!$BI$3:$BL$10,3,FALSE),MAX((AG163-IF(OR($G163="M (under 21)",$G163="Z (under 21 - deferment)"),'Input Data'!$BG$6,IF($G163="H (Apprentice under 25)",'Input Data'!$BG$7,'Input Data'!$BG$8))),0)*VLOOKUP($G163,'Input Data'!$BI$3:$BL$10,4,FALSE))))</f>
        <v>0</v>
      </c>
      <c r="AP163" s="56">
        <f>IF($G163="",0,IF(NOT(OR($G163="A - All employees not in groups B, C, J, H, M or Z",$G163="B - Married women and widows entitled to reduced NI",$G163="C - Over the State Pension age",$G163="H - Apprentice under 25",$G163="J – Deferment",$G163="M - Under 21",$G163="Z - Deferment (Under 21)",$G163="Please Enter The NI Cont. in ££££")),$G163,SUM(MAX(MIN(AH163-'Input Data'!$BG$3,'Input Data'!$BG$5-'Input Data'!$BG$3),0)*VLOOKUP($G163,'Input Data'!$BI$3:$BL$10,2,FALSE),MAX(MIN(AH163-'Input Data'!$BG$5,IF(OR($G163="M (under 21)",$G163="Z (under 21 - deferment)"),'Input Data'!$BG$6,IF($G163="H (Apprentice under 25)",'Input Data'!$BG$7,'Input Data'!$BG$8))-'Input Data'!$BG$5),0)*VLOOKUP($G163,'Input Data'!$BI$3:$BL$10,3,FALSE),MAX((AH163-IF(OR($G163="M (under 21)",$G163="Z (under 21 - deferment)"),'Input Data'!$BG$6,IF($G163="H (Apprentice under 25)",'Input Data'!$BG$7,'Input Data'!$BG$8))),0)*VLOOKUP($G163,'Input Data'!$BI$3:$BL$10,4,FALSE))))</f>
        <v>0</v>
      </c>
      <c r="AQ163" s="56">
        <f>IF($G163="",0,IF(NOT(OR($G163="A - All employees not in groups B, C, J, H, M or Z",$G163="B - Married women and widows entitled to reduced NI",$G163="C - Over the State Pension age",$G163="H - Apprentice under 25",$G163="J – Deferment",$G163="M - Under 21",$G163="Z - Deferment (Under 21)",$G163="Please Enter The NI Cont. in ££££")),$G163,SUM(MAX(MIN(AI163-'Input Data'!$BG$3,'Input Data'!$BG$5-'Input Data'!$BG$3),0)*VLOOKUP($G163,'Input Data'!$BI$3:$BL$10,2,FALSE),MAX(MIN(AI163-'Input Data'!$BG$5,IF(OR($G163="M (under 21)",$G163="Z (under 21 - deferment)"),'Input Data'!$BG$6,IF($G163="H (Apprentice under 25)",'Input Data'!$BG$7,'Input Data'!$BG$8))-'Input Data'!$BG$5),0)*VLOOKUP($G163,'Input Data'!$BI$3:$BL$10,3,FALSE),MAX((AI163-IF(OR($G163="M (under 21)",$G163="Z (under 21 - deferment)"),'Input Data'!$BG$6,IF($G163="H (Apprentice under 25)",'Input Data'!$BG$7,'Input Data'!$BG$8))),0)*VLOOKUP($G163,'Input Data'!$BI$3:$BL$10,4,FALSE))))</f>
        <v>0</v>
      </c>
      <c r="AR163" s="56">
        <f>IF($G163="",0,IF(NOT(OR($G163="A - All employees not in groups B, C, J, H, M or Z",$G163="B - Married women and widows entitled to reduced NI",$G163="C - Over the State Pension age",$G163="H - Apprentice under 25",$G163="J – Deferment",$G163="M - Under 21",$G163="Z - Deferment (Under 21)",$G163="Please Enter The NI Cont. in ££££")),$G163,SUM(MAX(MIN(AJ163-'Input Data'!$BG$3,'Input Data'!$BG$5-'Input Data'!$BG$3),0)*VLOOKUP($G163,'Input Data'!$BI$3:$BL$10,2,FALSE),MAX(MIN(AJ163-'Input Data'!$BG$5,IF(OR($G163="M (under 21)",$G163="Z (under 21 - deferment)"),'Input Data'!$BG$6,IF($G163="H (Apprentice under 25)",'Input Data'!$BG$7,'Input Data'!$BG$8))-'Input Data'!$BG$5),0)*VLOOKUP($G163,'Input Data'!$BI$3:$BL$10,3,FALSE),MAX((AJ163-IF(OR($G163="M (under 21)",$G163="Z (under 21 - deferment)"),'Input Data'!$BG$6,IF($G163="H (Apprentice under 25)",'Input Data'!$BG$7,'Input Data'!$BG$8))),0)*VLOOKUP($G163,'Input Data'!$BI$3:$BL$10,4,FALSE))))</f>
        <v>0</v>
      </c>
      <c r="AS163" s="56">
        <f>AC163*$F163</f>
        <v>0</v>
      </c>
      <c r="AT163" s="56">
        <f>AD163*$F163</f>
        <v>0</v>
      </c>
      <c r="AU163" s="56">
        <f>AE163*$F163</f>
        <v>0</v>
      </c>
      <c r="AV163" s="56">
        <f>AF163*$F163</f>
        <v>0</v>
      </c>
      <c r="AW163" s="56">
        <f>AG163*$F163</f>
        <v>0</v>
      </c>
      <c r="AX163" s="56">
        <f>AH163*$F163</f>
        <v>0</v>
      </c>
      <c r="AY163" s="56">
        <f>AI163*$F163</f>
        <v>0</v>
      </c>
      <c r="AZ163" s="56">
        <f>AJ163*$F163</f>
        <v>0</v>
      </c>
    </row>
    <row r="164" spans="2:52" ht="25.5">
      <c r="B164" s="60"/>
      <c r="C164" s="57" t="s">
        <v>81</v>
      </c>
      <c r="D164" s="58"/>
      <c r="E164" s="58"/>
      <c r="F164" s="535"/>
      <c r="G164" s="693" t="s">
        <v>1149</v>
      </c>
      <c r="H164" s="65"/>
      <c r="I164" s="65"/>
      <c r="J164" s="65"/>
      <c r="K164" s="65"/>
      <c r="L164" s="65"/>
      <c r="M164" s="65"/>
      <c r="N164" s="65"/>
      <c r="O164" s="65"/>
      <c r="P164" s="29"/>
      <c r="Q164" s="597"/>
      <c r="R164" s="61"/>
      <c r="T164" s="43">
        <f>SUM(AC164,AK164,AS164)</f>
        <v>0</v>
      </c>
      <c r="U164" s="43">
        <f>SUM(AD164,AL164,AT164)</f>
        <v>0</v>
      </c>
      <c r="V164" s="43">
        <f>SUM(AE164,AM164,AU164)</f>
        <v>0</v>
      </c>
      <c r="W164" s="43">
        <f>SUM(AF164,AN164,AV164)</f>
        <v>0</v>
      </c>
      <c r="X164" s="43">
        <f>SUM(AG164,AO164,AW164)</f>
        <v>0</v>
      </c>
      <c r="Y164" s="43">
        <f>SUM(AH164,AP164,AX164)</f>
        <v>0</v>
      </c>
      <c r="Z164" s="43">
        <f>SUM(AI164,AQ164,AY164)</f>
        <v>0</v>
      </c>
      <c r="AA164" s="43">
        <f>SUM(AJ164,AR164,AZ164)</f>
        <v>0</v>
      </c>
      <c r="AC164" s="631">
        <f>SUM($D164:$E164)*H164</f>
        <v>0</v>
      </c>
      <c r="AD164" s="631">
        <f>SUM($D164:$E164)*I164</f>
        <v>0</v>
      </c>
      <c r="AE164" s="631">
        <f>SUM($D164:$E164)*J164</f>
        <v>0</v>
      </c>
      <c r="AF164" s="631">
        <f>SUM($D164:$E164)*K164</f>
        <v>0</v>
      </c>
      <c r="AG164" s="631">
        <f>SUM($D164:$E164)*L164</f>
        <v>0</v>
      </c>
      <c r="AH164" s="631">
        <f>SUM($D164:$E164)*M164</f>
        <v>0</v>
      </c>
      <c r="AI164" s="631">
        <f>SUM($D164:$E164)*N164</f>
        <v>0</v>
      </c>
      <c r="AJ164" s="631">
        <f>SUM($D164:$E164)*O164</f>
        <v>0</v>
      </c>
      <c r="AK164" s="56">
        <f>IF($G164="",0,IF(NOT(OR($G164="A - All employees not in groups B, C, J, H, M or Z",$G164="B - Married women and widows entitled to reduced NI",$G164="C - Over the State Pension age",$G164="H - Apprentice under 25",$G164="J – Deferment",$G164="M - Under 21",$G164="Z - Deferment (Under 21)",$G164="Please Enter The NI Cont. in ££££")),$G164,SUM(MAX(MIN(AC164-'Input Data'!$BG$3,'Input Data'!$BG$5-'Input Data'!$BG$3),0)*VLOOKUP($G164,'Input Data'!$BI$3:$BL$10,2,FALSE),MAX(MIN(AC164-'Input Data'!$BG$5,IF(OR($G164="M (under 21)",$G164="Z (under 21 - deferment)"),'Input Data'!$BG$6,IF($G164="H (Apprentice under 25)",'Input Data'!$BG$7,'Input Data'!$BG$8))-'Input Data'!$BG$5),0)*VLOOKUP($G164,'Input Data'!$BI$3:$BL$10,3,FALSE),MAX((AC164-IF(OR($G164="M (under 21)",$G164="Z (under 21 - deferment)"),'Input Data'!$BG$6,IF($G164="H (Apprentice under 25)",'Input Data'!$BG$7,'Input Data'!$BG$8))),0)*VLOOKUP($G164,'Input Data'!$BI$3:$BL$10,4,FALSE))))</f>
        <v>0</v>
      </c>
      <c r="AL164" s="56">
        <f>IF($G164="",0,IF(NOT(OR($G164="A - All employees not in groups B, C, J, H, M or Z",$G164="B - Married women and widows entitled to reduced NI",$G164="C - Over the State Pension age",$G164="H - Apprentice under 25",$G164="J – Deferment",$G164="M - Under 21",$G164="Z - Deferment (Under 21)",$G164="Please Enter The NI Cont. in ££££")),$G164,SUM(MAX(MIN(AD164-'Input Data'!$BG$3,'Input Data'!$BG$5-'Input Data'!$BG$3),0)*VLOOKUP($G164,'Input Data'!$BI$3:$BL$10,2,FALSE),MAX(MIN(AD164-'Input Data'!$BG$5,IF(OR($G164="M (under 21)",$G164="Z (under 21 - deferment)"),'Input Data'!$BG$6,IF($G164="H (Apprentice under 25)",'Input Data'!$BG$7,'Input Data'!$BG$8))-'Input Data'!$BG$5),0)*VLOOKUP($G164,'Input Data'!$BI$3:$BL$10,3,FALSE),MAX((AD164-IF(OR($G164="M (under 21)",$G164="Z (under 21 - deferment)"),'Input Data'!$BG$6,IF($G164="H (Apprentice under 25)",'Input Data'!$BG$7,'Input Data'!$BG$8))),0)*VLOOKUP($G164,'Input Data'!$BI$3:$BL$10,4,FALSE))))</f>
        <v>0</v>
      </c>
      <c r="AM164" s="56">
        <f>IF($G164="",0,IF(NOT(OR($G164="A - All employees not in groups B, C, J, H, M or Z",$G164="B - Married women and widows entitled to reduced NI",$G164="C - Over the State Pension age",$G164="H - Apprentice under 25",$G164="J – Deferment",$G164="M - Under 21",$G164="Z - Deferment (Under 21)",$G164="Please Enter The NI Cont. in ££££")),$G164,SUM(MAX(MIN(AE164-'Input Data'!$BG$3,'Input Data'!$BG$5-'Input Data'!$BG$3),0)*VLOOKUP($G164,'Input Data'!$BI$3:$BL$10,2,FALSE),MAX(MIN(AE164-'Input Data'!$BG$5,IF(OR($G164="M (under 21)",$G164="Z (under 21 - deferment)"),'Input Data'!$BG$6,IF($G164="H (Apprentice under 25)",'Input Data'!$BG$7,'Input Data'!$BG$8))-'Input Data'!$BG$5),0)*VLOOKUP($G164,'Input Data'!$BI$3:$BL$10,3,FALSE),MAX((AE164-IF(OR($G164="M (under 21)",$G164="Z (under 21 - deferment)"),'Input Data'!$BG$6,IF($G164="H (Apprentice under 25)",'Input Data'!$BG$7,'Input Data'!$BG$8))),0)*VLOOKUP($G164,'Input Data'!$BI$3:$BL$10,4,FALSE))))</f>
        <v>0</v>
      </c>
      <c r="AN164" s="56">
        <f>IF($G164="",0,IF(NOT(OR($G164="A - All employees not in groups B, C, J, H, M or Z",$G164="B - Married women and widows entitled to reduced NI",$G164="C - Over the State Pension age",$G164="H - Apprentice under 25",$G164="J – Deferment",$G164="M - Under 21",$G164="Z - Deferment (Under 21)",$G164="Please Enter The NI Cont. in ££££")),$G164,SUM(MAX(MIN(AF164-'Input Data'!$BG$3,'Input Data'!$BG$5-'Input Data'!$BG$3),0)*VLOOKUP($G164,'Input Data'!$BI$3:$BL$10,2,FALSE),MAX(MIN(AF164-'Input Data'!$BG$5,IF(OR($G164="M (under 21)",$G164="Z (under 21 - deferment)"),'Input Data'!$BG$6,IF($G164="H (Apprentice under 25)",'Input Data'!$BG$7,'Input Data'!$BG$8))-'Input Data'!$BG$5),0)*VLOOKUP($G164,'Input Data'!$BI$3:$BL$10,3,FALSE),MAX((AF164-IF(OR($G164="M (under 21)",$G164="Z (under 21 - deferment)"),'Input Data'!$BG$6,IF($G164="H (Apprentice under 25)",'Input Data'!$BG$7,'Input Data'!$BG$8))),0)*VLOOKUP($G164,'Input Data'!$BI$3:$BL$10,4,FALSE))))</f>
        <v>0</v>
      </c>
      <c r="AO164" s="56">
        <f>IF($G164="",0,IF(NOT(OR($G164="A - All employees not in groups B, C, J, H, M or Z",$G164="B - Married women and widows entitled to reduced NI",$G164="C - Over the State Pension age",$G164="H - Apprentice under 25",$G164="J – Deferment",$G164="M - Under 21",$G164="Z - Deferment (Under 21)",$G164="Please Enter The NI Cont. in ££££")),$G164,SUM(MAX(MIN(AG164-'Input Data'!$BG$3,'Input Data'!$BG$5-'Input Data'!$BG$3),0)*VLOOKUP($G164,'Input Data'!$BI$3:$BL$10,2,FALSE),MAX(MIN(AG164-'Input Data'!$BG$5,IF(OR($G164="M (under 21)",$G164="Z (under 21 - deferment)"),'Input Data'!$BG$6,IF($G164="H (Apprentice under 25)",'Input Data'!$BG$7,'Input Data'!$BG$8))-'Input Data'!$BG$5),0)*VLOOKUP($G164,'Input Data'!$BI$3:$BL$10,3,FALSE),MAX((AG164-IF(OR($G164="M (under 21)",$G164="Z (under 21 - deferment)"),'Input Data'!$BG$6,IF($G164="H (Apprentice under 25)",'Input Data'!$BG$7,'Input Data'!$BG$8))),0)*VLOOKUP($G164,'Input Data'!$BI$3:$BL$10,4,FALSE))))</f>
        <v>0</v>
      </c>
      <c r="AP164" s="56">
        <f>IF($G164="",0,IF(NOT(OR($G164="A - All employees not in groups B, C, J, H, M or Z",$G164="B - Married women and widows entitled to reduced NI",$G164="C - Over the State Pension age",$G164="H - Apprentice under 25",$G164="J – Deferment",$G164="M - Under 21",$G164="Z - Deferment (Under 21)",$G164="Please Enter The NI Cont. in ££££")),$G164,SUM(MAX(MIN(AH164-'Input Data'!$BG$3,'Input Data'!$BG$5-'Input Data'!$BG$3),0)*VLOOKUP($G164,'Input Data'!$BI$3:$BL$10,2,FALSE),MAX(MIN(AH164-'Input Data'!$BG$5,IF(OR($G164="M (under 21)",$G164="Z (under 21 - deferment)"),'Input Data'!$BG$6,IF($G164="H (Apprentice under 25)",'Input Data'!$BG$7,'Input Data'!$BG$8))-'Input Data'!$BG$5),0)*VLOOKUP($G164,'Input Data'!$BI$3:$BL$10,3,FALSE),MAX((AH164-IF(OR($G164="M (under 21)",$G164="Z (under 21 - deferment)"),'Input Data'!$BG$6,IF($G164="H (Apprentice under 25)",'Input Data'!$BG$7,'Input Data'!$BG$8))),0)*VLOOKUP($G164,'Input Data'!$BI$3:$BL$10,4,FALSE))))</f>
        <v>0</v>
      </c>
      <c r="AQ164" s="56">
        <f>IF($G164="",0,IF(NOT(OR($G164="A - All employees not in groups B, C, J, H, M or Z",$G164="B - Married women and widows entitled to reduced NI",$G164="C - Over the State Pension age",$G164="H - Apprentice under 25",$G164="J – Deferment",$G164="M - Under 21",$G164="Z - Deferment (Under 21)",$G164="Please Enter The NI Cont. in ££££")),$G164,SUM(MAX(MIN(AI164-'Input Data'!$BG$3,'Input Data'!$BG$5-'Input Data'!$BG$3),0)*VLOOKUP($G164,'Input Data'!$BI$3:$BL$10,2,FALSE),MAX(MIN(AI164-'Input Data'!$BG$5,IF(OR($G164="M (under 21)",$G164="Z (under 21 - deferment)"),'Input Data'!$BG$6,IF($G164="H (Apprentice under 25)",'Input Data'!$BG$7,'Input Data'!$BG$8))-'Input Data'!$BG$5),0)*VLOOKUP($G164,'Input Data'!$BI$3:$BL$10,3,FALSE),MAX((AI164-IF(OR($G164="M (under 21)",$G164="Z (under 21 - deferment)"),'Input Data'!$BG$6,IF($G164="H (Apprentice under 25)",'Input Data'!$BG$7,'Input Data'!$BG$8))),0)*VLOOKUP($G164,'Input Data'!$BI$3:$BL$10,4,FALSE))))</f>
        <v>0</v>
      </c>
      <c r="AR164" s="56">
        <f>IF($G164="",0,IF(NOT(OR($G164="A - All employees not in groups B, C, J, H, M or Z",$G164="B - Married women and widows entitled to reduced NI",$G164="C - Over the State Pension age",$G164="H - Apprentice under 25",$G164="J – Deferment",$G164="M - Under 21",$G164="Z - Deferment (Under 21)",$G164="Please Enter The NI Cont. in ££££")),$G164,SUM(MAX(MIN(AJ164-'Input Data'!$BG$3,'Input Data'!$BG$5-'Input Data'!$BG$3),0)*VLOOKUP($G164,'Input Data'!$BI$3:$BL$10,2,FALSE),MAX(MIN(AJ164-'Input Data'!$BG$5,IF(OR($G164="M (under 21)",$G164="Z (under 21 - deferment)"),'Input Data'!$BG$6,IF($G164="H (Apprentice under 25)",'Input Data'!$BG$7,'Input Data'!$BG$8))-'Input Data'!$BG$5),0)*VLOOKUP($G164,'Input Data'!$BI$3:$BL$10,3,FALSE),MAX((AJ164-IF(OR($G164="M (under 21)",$G164="Z (under 21 - deferment)"),'Input Data'!$BG$6,IF($G164="H (Apprentice under 25)",'Input Data'!$BG$7,'Input Data'!$BG$8))),0)*VLOOKUP($G164,'Input Data'!$BI$3:$BL$10,4,FALSE))))</f>
        <v>0</v>
      </c>
      <c r="AS164" s="56">
        <f>AC164*$F164</f>
        <v>0</v>
      </c>
      <c r="AT164" s="56">
        <f>AD164*$F164</f>
        <v>0</v>
      </c>
      <c r="AU164" s="56">
        <f>AE164*$F164</f>
        <v>0</v>
      </c>
      <c r="AV164" s="56">
        <f>AF164*$F164</f>
        <v>0</v>
      </c>
      <c r="AW164" s="56">
        <f>AG164*$F164</f>
        <v>0</v>
      </c>
      <c r="AX164" s="56">
        <f>AH164*$F164</f>
        <v>0</v>
      </c>
      <c r="AY164" s="56">
        <f>AI164*$F164</f>
        <v>0</v>
      </c>
      <c r="AZ164" s="56">
        <f>AJ164*$F164</f>
        <v>0</v>
      </c>
    </row>
    <row r="165" spans="2:52" ht="25.5">
      <c r="B165" s="60"/>
      <c r="C165" s="57" t="s">
        <v>82</v>
      </c>
      <c r="D165" s="58"/>
      <c r="E165" s="58"/>
      <c r="F165" s="535"/>
      <c r="G165" s="693" t="s">
        <v>1149</v>
      </c>
      <c r="H165" s="65"/>
      <c r="I165" s="65"/>
      <c r="J165" s="65"/>
      <c r="K165" s="65"/>
      <c r="L165" s="65"/>
      <c r="M165" s="65"/>
      <c r="N165" s="65"/>
      <c r="O165" s="65"/>
      <c r="P165" s="29"/>
      <c r="Q165" s="597"/>
      <c r="R165" s="61"/>
      <c r="T165" s="43">
        <f>SUM(AC165,AK165,AS165)</f>
        <v>0</v>
      </c>
      <c r="U165" s="43">
        <f>SUM(AD165,AL165,AT165)</f>
        <v>0</v>
      </c>
      <c r="V165" s="43">
        <f>SUM(AE165,AM165,AU165)</f>
        <v>0</v>
      </c>
      <c r="W165" s="43">
        <f>SUM(AF165,AN165,AV165)</f>
        <v>0</v>
      </c>
      <c r="X165" s="43">
        <f>SUM(AG165,AO165,AW165)</f>
        <v>0</v>
      </c>
      <c r="Y165" s="43">
        <f>SUM(AH165,AP165,AX165)</f>
        <v>0</v>
      </c>
      <c r="Z165" s="43">
        <f>SUM(AI165,AQ165,AY165)</f>
        <v>0</v>
      </c>
      <c r="AA165" s="43">
        <f>SUM(AJ165,AR165,AZ165)</f>
        <v>0</v>
      </c>
      <c r="AC165" s="631">
        <f>SUM($D165:$E165)*H165</f>
        <v>0</v>
      </c>
      <c r="AD165" s="631">
        <f>SUM($D165:$E165)*I165</f>
        <v>0</v>
      </c>
      <c r="AE165" s="631">
        <f>SUM($D165:$E165)*J165</f>
        <v>0</v>
      </c>
      <c r="AF165" s="631">
        <f>SUM($D165:$E165)*K165</f>
        <v>0</v>
      </c>
      <c r="AG165" s="631">
        <f>SUM($D165:$E165)*L165</f>
        <v>0</v>
      </c>
      <c r="AH165" s="631">
        <f>SUM($D165:$E165)*M165</f>
        <v>0</v>
      </c>
      <c r="AI165" s="631">
        <f>SUM($D165:$E165)*N165</f>
        <v>0</v>
      </c>
      <c r="AJ165" s="631">
        <f>SUM($D165:$E165)*O165</f>
        <v>0</v>
      </c>
      <c r="AK165" s="56">
        <f>IF($G165="",0,IF(NOT(OR($G165="A - All employees not in groups B, C, J, H, M or Z",$G165="B - Married women and widows entitled to reduced NI",$G165="C - Over the State Pension age",$G165="H - Apprentice under 25",$G165="J – Deferment",$G165="M - Under 21",$G165="Z - Deferment (Under 21)",$G165="Please Enter The NI Cont. in ££££")),$G165,SUM(MAX(MIN(AC165-'Input Data'!$BG$3,'Input Data'!$BG$5-'Input Data'!$BG$3),0)*VLOOKUP($G165,'Input Data'!$BI$3:$BL$10,2,FALSE),MAX(MIN(AC165-'Input Data'!$BG$5,IF(OR($G165="M (under 21)",$G165="Z (under 21 - deferment)"),'Input Data'!$BG$6,IF($G165="H (Apprentice under 25)",'Input Data'!$BG$7,'Input Data'!$BG$8))-'Input Data'!$BG$5),0)*VLOOKUP($G165,'Input Data'!$BI$3:$BL$10,3,FALSE),MAX((AC165-IF(OR($G165="M (under 21)",$G165="Z (under 21 - deferment)"),'Input Data'!$BG$6,IF($G165="H (Apprentice under 25)",'Input Data'!$BG$7,'Input Data'!$BG$8))),0)*VLOOKUP($G165,'Input Data'!$BI$3:$BL$10,4,FALSE))))</f>
        <v>0</v>
      </c>
      <c r="AL165" s="56">
        <f>IF($G165="",0,IF(NOT(OR($G165="A - All employees not in groups B, C, J, H, M or Z",$G165="B - Married women and widows entitled to reduced NI",$G165="C - Over the State Pension age",$G165="H - Apprentice under 25",$G165="J – Deferment",$G165="M - Under 21",$G165="Z - Deferment (Under 21)",$G165="Please Enter The NI Cont. in ££££")),$G165,SUM(MAX(MIN(AD165-'Input Data'!$BG$3,'Input Data'!$BG$5-'Input Data'!$BG$3),0)*VLOOKUP($G165,'Input Data'!$BI$3:$BL$10,2,FALSE),MAX(MIN(AD165-'Input Data'!$BG$5,IF(OR($G165="M (under 21)",$G165="Z (under 21 - deferment)"),'Input Data'!$BG$6,IF($G165="H (Apprentice under 25)",'Input Data'!$BG$7,'Input Data'!$BG$8))-'Input Data'!$BG$5),0)*VLOOKUP($G165,'Input Data'!$BI$3:$BL$10,3,FALSE),MAX((AD165-IF(OR($G165="M (under 21)",$G165="Z (under 21 - deferment)"),'Input Data'!$BG$6,IF($G165="H (Apprentice under 25)",'Input Data'!$BG$7,'Input Data'!$BG$8))),0)*VLOOKUP($G165,'Input Data'!$BI$3:$BL$10,4,FALSE))))</f>
        <v>0</v>
      </c>
      <c r="AM165" s="56">
        <f>IF($G165="",0,IF(NOT(OR($G165="A - All employees not in groups B, C, J, H, M or Z",$G165="B - Married women and widows entitled to reduced NI",$G165="C - Over the State Pension age",$G165="H - Apprentice under 25",$G165="J – Deferment",$G165="M - Under 21",$G165="Z - Deferment (Under 21)",$G165="Please Enter The NI Cont. in ££££")),$G165,SUM(MAX(MIN(AE165-'Input Data'!$BG$3,'Input Data'!$BG$5-'Input Data'!$BG$3),0)*VLOOKUP($G165,'Input Data'!$BI$3:$BL$10,2,FALSE),MAX(MIN(AE165-'Input Data'!$BG$5,IF(OR($G165="M (under 21)",$G165="Z (under 21 - deferment)"),'Input Data'!$BG$6,IF($G165="H (Apprentice under 25)",'Input Data'!$BG$7,'Input Data'!$BG$8))-'Input Data'!$BG$5),0)*VLOOKUP($G165,'Input Data'!$BI$3:$BL$10,3,FALSE),MAX((AE165-IF(OR($G165="M (under 21)",$G165="Z (under 21 - deferment)"),'Input Data'!$BG$6,IF($G165="H (Apprentice under 25)",'Input Data'!$BG$7,'Input Data'!$BG$8))),0)*VLOOKUP($G165,'Input Data'!$BI$3:$BL$10,4,FALSE))))</f>
        <v>0</v>
      </c>
      <c r="AN165" s="56">
        <f>IF($G165="",0,IF(NOT(OR($G165="A - All employees not in groups B, C, J, H, M or Z",$G165="B - Married women and widows entitled to reduced NI",$G165="C - Over the State Pension age",$G165="H - Apprentice under 25",$G165="J – Deferment",$G165="M - Under 21",$G165="Z - Deferment (Under 21)",$G165="Please Enter The NI Cont. in ££££")),$G165,SUM(MAX(MIN(AF165-'Input Data'!$BG$3,'Input Data'!$BG$5-'Input Data'!$BG$3),0)*VLOOKUP($G165,'Input Data'!$BI$3:$BL$10,2,FALSE),MAX(MIN(AF165-'Input Data'!$BG$5,IF(OR($G165="M (under 21)",$G165="Z (under 21 - deferment)"),'Input Data'!$BG$6,IF($G165="H (Apprentice under 25)",'Input Data'!$BG$7,'Input Data'!$BG$8))-'Input Data'!$BG$5),0)*VLOOKUP($G165,'Input Data'!$BI$3:$BL$10,3,FALSE),MAX((AF165-IF(OR($G165="M (under 21)",$G165="Z (under 21 - deferment)"),'Input Data'!$BG$6,IF($G165="H (Apprentice under 25)",'Input Data'!$BG$7,'Input Data'!$BG$8))),0)*VLOOKUP($G165,'Input Data'!$BI$3:$BL$10,4,FALSE))))</f>
        <v>0</v>
      </c>
      <c r="AO165" s="56">
        <f>IF($G165="",0,IF(NOT(OR($G165="A - All employees not in groups B, C, J, H, M or Z",$G165="B - Married women and widows entitled to reduced NI",$G165="C - Over the State Pension age",$G165="H - Apprentice under 25",$G165="J – Deferment",$G165="M - Under 21",$G165="Z - Deferment (Under 21)",$G165="Please Enter The NI Cont. in ££££")),$G165,SUM(MAX(MIN(AG165-'Input Data'!$BG$3,'Input Data'!$BG$5-'Input Data'!$BG$3),0)*VLOOKUP($G165,'Input Data'!$BI$3:$BL$10,2,FALSE),MAX(MIN(AG165-'Input Data'!$BG$5,IF(OR($G165="M (under 21)",$G165="Z (under 21 - deferment)"),'Input Data'!$BG$6,IF($G165="H (Apprentice under 25)",'Input Data'!$BG$7,'Input Data'!$BG$8))-'Input Data'!$BG$5),0)*VLOOKUP($G165,'Input Data'!$BI$3:$BL$10,3,FALSE),MAX((AG165-IF(OR($G165="M (under 21)",$G165="Z (under 21 - deferment)"),'Input Data'!$BG$6,IF($G165="H (Apprentice under 25)",'Input Data'!$BG$7,'Input Data'!$BG$8))),0)*VLOOKUP($G165,'Input Data'!$BI$3:$BL$10,4,FALSE))))</f>
        <v>0</v>
      </c>
      <c r="AP165" s="56">
        <f>IF($G165="",0,IF(NOT(OR($G165="A - All employees not in groups B, C, J, H, M or Z",$G165="B - Married women and widows entitled to reduced NI",$G165="C - Over the State Pension age",$G165="H - Apprentice under 25",$G165="J – Deferment",$G165="M - Under 21",$G165="Z - Deferment (Under 21)",$G165="Please Enter The NI Cont. in ££££")),$G165,SUM(MAX(MIN(AH165-'Input Data'!$BG$3,'Input Data'!$BG$5-'Input Data'!$BG$3),0)*VLOOKUP($G165,'Input Data'!$BI$3:$BL$10,2,FALSE),MAX(MIN(AH165-'Input Data'!$BG$5,IF(OR($G165="M (under 21)",$G165="Z (under 21 - deferment)"),'Input Data'!$BG$6,IF($G165="H (Apprentice under 25)",'Input Data'!$BG$7,'Input Data'!$BG$8))-'Input Data'!$BG$5),0)*VLOOKUP($G165,'Input Data'!$BI$3:$BL$10,3,FALSE),MAX((AH165-IF(OR($G165="M (under 21)",$G165="Z (under 21 - deferment)"),'Input Data'!$BG$6,IF($G165="H (Apprentice under 25)",'Input Data'!$BG$7,'Input Data'!$BG$8))),0)*VLOOKUP($G165,'Input Data'!$BI$3:$BL$10,4,FALSE))))</f>
        <v>0</v>
      </c>
      <c r="AQ165" s="56">
        <f>IF($G165="",0,IF(NOT(OR($G165="A - All employees not in groups B, C, J, H, M or Z",$G165="B - Married women and widows entitled to reduced NI",$G165="C - Over the State Pension age",$G165="H - Apprentice under 25",$G165="J – Deferment",$G165="M - Under 21",$G165="Z - Deferment (Under 21)",$G165="Please Enter The NI Cont. in ££££")),$G165,SUM(MAX(MIN(AI165-'Input Data'!$BG$3,'Input Data'!$BG$5-'Input Data'!$BG$3),0)*VLOOKUP($G165,'Input Data'!$BI$3:$BL$10,2,FALSE),MAX(MIN(AI165-'Input Data'!$BG$5,IF(OR($G165="M (under 21)",$G165="Z (under 21 - deferment)"),'Input Data'!$BG$6,IF($G165="H (Apprentice under 25)",'Input Data'!$BG$7,'Input Data'!$BG$8))-'Input Data'!$BG$5),0)*VLOOKUP($G165,'Input Data'!$BI$3:$BL$10,3,FALSE),MAX((AI165-IF(OR($G165="M (under 21)",$G165="Z (under 21 - deferment)"),'Input Data'!$BG$6,IF($G165="H (Apprentice under 25)",'Input Data'!$BG$7,'Input Data'!$BG$8))),0)*VLOOKUP($G165,'Input Data'!$BI$3:$BL$10,4,FALSE))))</f>
        <v>0</v>
      </c>
      <c r="AR165" s="56">
        <f>IF($G165="",0,IF(NOT(OR($G165="A - All employees not in groups B, C, J, H, M or Z",$G165="B - Married women and widows entitled to reduced NI",$G165="C - Over the State Pension age",$G165="H - Apprentice under 25",$G165="J – Deferment",$G165="M - Under 21",$G165="Z - Deferment (Under 21)",$G165="Please Enter The NI Cont. in ££££")),$G165,SUM(MAX(MIN(AJ165-'Input Data'!$BG$3,'Input Data'!$BG$5-'Input Data'!$BG$3),0)*VLOOKUP($G165,'Input Data'!$BI$3:$BL$10,2,FALSE),MAX(MIN(AJ165-'Input Data'!$BG$5,IF(OR($G165="M (under 21)",$G165="Z (under 21 - deferment)"),'Input Data'!$BG$6,IF($G165="H (Apprentice under 25)",'Input Data'!$BG$7,'Input Data'!$BG$8))-'Input Data'!$BG$5),0)*VLOOKUP($G165,'Input Data'!$BI$3:$BL$10,3,FALSE),MAX((AJ165-IF(OR($G165="M (under 21)",$G165="Z (under 21 - deferment)"),'Input Data'!$BG$6,IF($G165="H (Apprentice under 25)",'Input Data'!$BG$7,'Input Data'!$BG$8))),0)*VLOOKUP($G165,'Input Data'!$BI$3:$BL$10,4,FALSE))))</f>
        <v>0</v>
      </c>
      <c r="AS165" s="56">
        <f>AC165*$F165</f>
        <v>0</v>
      </c>
      <c r="AT165" s="56">
        <f>AD165*$F165</f>
        <v>0</v>
      </c>
      <c r="AU165" s="56">
        <f>AE165*$F165</f>
        <v>0</v>
      </c>
      <c r="AV165" s="56">
        <f>AF165*$F165</f>
        <v>0</v>
      </c>
      <c r="AW165" s="56">
        <f>AG165*$F165</f>
        <v>0</v>
      </c>
      <c r="AX165" s="56">
        <f>AH165*$F165</f>
        <v>0</v>
      </c>
      <c r="AY165" s="56">
        <f>AI165*$F165</f>
        <v>0</v>
      </c>
      <c r="AZ165" s="56">
        <f>AJ165*$F165</f>
        <v>0</v>
      </c>
    </row>
    <row r="166" spans="2:52" ht="25.5">
      <c r="B166" s="60"/>
      <c r="C166" s="57" t="s">
        <v>83</v>
      </c>
      <c r="D166" s="58"/>
      <c r="E166" s="58"/>
      <c r="F166" s="535"/>
      <c r="G166" s="693" t="s">
        <v>1149</v>
      </c>
      <c r="H166" s="65"/>
      <c r="I166" s="65"/>
      <c r="J166" s="65"/>
      <c r="K166" s="65"/>
      <c r="L166" s="65"/>
      <c r="M166" s="65"/>
      <c r="N166" s="65"/>
      <c r="O166" s="65"/>
      <c r="P166" s="29"/>
      <c r="Q166" s="597"/>
      <c r="R166" s="61"/>
      <c r="T166" s="43">
        <f>SUM(AC166,AK166,AS166)</f>
        <v>0</v>
      </c>
      <c r="U166" s="43">
        <f>SUM(AD166,AL166,AT166)</f>
        <v>0</v>
      </c>
      <c r="V166" s="43">
        <f>SUM(AE166,AM166,AU166)</f>
        <v>0</v>
      </c>
      <c r="W166" s="43">
        <f>SUM(AF166,AN166,AV166)</f>
        <v>0</v>
      </c>
      <c r="X166" s="43">
        <f>SUM(AG166,AO166,AW166)</f>
        <v>0</v>
      </c>
      <c r="Y166" s="43">
        <f>SUM(AH166,AP166,AX166)</f>
        <v>0</v>
      </c>
      <c r="Z166" s="43">
        <f>SUM(AI166,AQ166,AY166)</f>
        <v>0</v>
      </c>
      <c r="AA166" s="43">
        <f>SUM(AJ166,AR166,AZ166)</f>
        <v>0</v>
      </c>
      <c r="AC166" s="631">
        <f>SUM($D166:$E166)*H166</f>
        <v>0</v>
      </c>
      <c r="AD166" s="631">
        <f>SUM($D166:$E166)*I166</f>
        <v>0</v>
      </c>
      <c r="AE166" s="631">
        <f>SUM($D166:$E166)*J166</f>
        <v>0</v>
      </c>
      <c r="AF166" s="631">
        <f>SUM($D166:$E166)*K166</f>
        <v>0</v>
      </c>
      <c r="AG166" s="631">
        <f>SUM($D166:$E166)*L166</f>
        <v>0</v>
      </c>
      <c r="AH166" s="631">
        <f>SUM($D166:$E166)*M166</f>
        <v>0</v>
      </c>
      <c r="AI166" s="631">
        <f>SUM($D166:$E166)*N166</f>
        <v>0</v>
      </c>
      <c r="AJ166" s="631">
        <f>SUM($D166:$E166)*O166</f>
        <v>0</v>
      </c>
      <c r="AK166" s="56">
        <f>IF($G166="",0,IF(NOT(OR($G166="A - All employees not in groups B, C, J, H, M or Z",$G166="B - Married women and widows entitled to reduced NI",$G166="C - Over the State Pension age",$G166="H - Apprentice under 25",$G166="J – Deferment",$G166="M - Under 21",$G166="Z - Deferment (Under 21)",$G166="Please Enter The NI Cont. in ££££")),$G166,SUM(MAX(MIN(AC166-'Input Data'!$BG$3,'Input Data'!$BG$5-'Input Data'!$BG$3),0)*VLOOKUP($G166,'Input Data'!$BI$3:$BL$10,2,FALSE),MAX(MIN(AC166-'Input Data'!$BG$5,IF(OR($G166="M (under 21)",$G166="Z (under 21 - deferment)"),'Input Data'!$BG$6,IF($G166="H (Apprentice under 25)",'Input Data'!$BG$7,'Input Data'!$BG$8))-'Input Data'!$BG$5),0)*VLOOKUP($G166,'Input Data'!$BI$3:$BL$10,3,FALSE),MAX((AC166-IF(OR($G166="M (under 21)",$G166="Z (under 21 - deferment)"),'Input Data'!$BG$6,IF($G166="H (Apprentice under 25)",'Input Data'!$BG$7,'Input Data'!$BG$8))),0)*VLOOKUP($G166,'Input Data'!$BI$3:$BL$10,4,FALSE))))</f>
        <v>0</v>
      </c>
      <c r="AL166" s="56">
        <f>IF($G166="",0,IF(NOT(OR($G166="A - All employees not in groups B, C, J, H, M or Z",$G166="B - Married women and widows entitled to reduced NI",$G166="C - Over the State Pension age",$G166="H - Apprentice under 25",$G166="J – Deferment",$G166="M - Under 21",$G166="Z - Deferment (Under 21)",$G166="Please Enter The NI Cont. in ££££")),$G166,SUM(MAX(MIN(AD166-'Input Data'!$BG$3,'Input Data'!$BG$5-'Input Data'!$BG$3),0)*VLOOKUP($G166,'Input Data'!$BI$3:$BL$10,2,FALSE),MAX(MIN(AD166-'Input Data'!$BG$5,IF(OR($G166="M (under 21)",$G166="Z (under 21 - deferment)"),'Input Data'!$BG$6,IF($G166="H (Apprentice under 25)",'Input Data'!$BG$7,'Input Data'!$BG$8))-'Input Data'!$BG$5),0)*VLOOKUP($G166,'Input Data'!$BI$3:$BL$10,3,FALSE),MAX((AD166-IF(OR($G166="M (under 21)",$G166="Z (under 21 - deferment)"),'Input Data'!$BG$6,IF($G166="H (Apprentice under 25)",'Input Data'!$BG$7,'Input Data'!$BG$8))),0)*VLOOKUP($G166,'Input Data'!$BI$3:$BL$10,4,FALSE))))</f>
        <v>0</v>
      </c>
      <c r="AM166" s="56">
        <f>IF($G166="",0,IF(NOT(OR($G166="A - All employees not in groups B, C, J, H, M or Z",$G166="B - Married women and widows entitled to reduced NI",$G166="C - Over the State Pension age",$G166="H - Apprentice under 25",$G166="J – Deferment",$G166="M - Under 21",$G166="Z - Deferment (Under 21)",$G166="Please Enter The NI Cont. in ££££")),$G166,SUM(MAX(MIN(AE166-'Input Data'!$BG$3,'Input Data'!$BG$5-'Input Data'!$BG$3),0)*VLOOKUP($G166,'Input Data'!$BI$3:$BL$10,2,FALSE),MAX(MIN(AE166-'Input Data'!$BG$5,IF(OR($G166="M (under 21)",$G166="Z (under 21 - deferment)"),'Input Data'!$BG$6,IF($G166="H (Apprentice under 25)",'Input Data'!$BG$7,'Input Data'!$BG$8))-'Input Data'!$BG$5),0)*VLOOKUP($G166,'Input Data'!$BI$3:$BL$10,3,FALSE),MAX((AE166-IF(OR($G166="M (under 21)",$G166="Z (under 21 - deferment)"),'Input Data'!$BG$6,IF($G166="H (Apprentice under 25)",'Input Data'!$BG$7,'Input Data'!$BG$8))),0)*VLOOKUP($G166,'Input Data'!$BI$3:$BL$10,4,FALSE))))</f>
        <v>0</v>
      </c>
      <c r="AN166" s="56">
        <f>IF($G166="",0,IF(NOT(OR($G166="A - All employees not in groups B, C, J, H, M or Z",$G166="B - Married women and widows entitled to reduced NI",$G166="C - Over the State Pension age",$G166="H - Apprentice under 25",$G166="J – Deferment",$G166="M - Under 21",$G166="Z - Deferment (Under 21)",$G166="Please Enter The NI Cont. in ££££")),$G166,SUM(MAX(MIN(AF166-'Input Data'!$BG$3,'Input Data'!$BG$5-'Input Data'!$BG$3),0)*VLOOKUP($G166,'Input Data'!$BI$3:$BL$10,2,FALSE),MAX(MIN(AF166-'Input Data'!$BG$5,IF(OR($G166="M (under 21)",$G166="Z (under 21 - deferment)"),'Input Data'!$BG$6,IF($G166="H (Apprentice under 25)",'Input Data'!$BG$7,'Input Data'!$BG$8))-'Input Data'!$BG$5),0)*VLOOKUP($G166,'Input Data'!$BI$3:$BL$10,3,FALSE),MAX((AF166-IF(OR($G166="M (under 21)",$G166="Z (under 21 - deferment)"),'Input Data'!$BG$6,IF($G166="H (Apprentice under 25)",'Input Data'!$BG$7,'Input Data'!$BG$8))),0)*VLOOKUP($G166,'Input Data'!$BI$3:$BL$10,4,FALSE))))</f>
        <v>0</v>
      </c>
      <c r="AO166" s="56">
        <f>IF($G166="",0,IF(NOT(OR($G166="A - All employees not in groups B, C, J, H, M or Z",$G166="B - Married women and widows entitled to reduced NI",$G166="C - Over the State Pension age",$G166="H - Apprentice under 25",$G166="J – Deferment",$G166="M - Under 21",$G166="Z - Deferment (Under 21)",$G166="Please Enter The NI Cont. in ££££")),$G166,SUM(MAX(MIN(AG166-'Input Data'!$BG$3,'Input Data'!$BG$5-'Input Data'!$BG$3),0)*VLOOKUP($G166,'Input Data'!$BI$3:$BL$10,2,FALSE),MAX(MIN(AG166-'Input Data'!$BG$5,IF(OR($G166="M (under 21)",$G166="Z (under 21 - deferment)"),'Input Data'!$BG$6,IF($G166="H (Apprentice under 25)",'Input Data'!$BG$7,'Input Data'!$BG$8))-'Input Data'!$BG$5),0)*VLOOKUP($G166,'Input Data'!$BI$3:$BL$10,3,FALSE),MAX((AG166-IF(OR($G166="M (under 21)",$G166="Z (under 21 - deferment)"),'Input Data'!$BG$6,IF($G166="H (Apprentice under 25)",'Input Data'!$BG$7,'Input Data'!$BG$8))),0)*VLOOKUP($G166,'Input Data'!$BI$3:$BL$10,4,FALSE))))</f>
        <v>0</v>
      </c>
      <c r="AP166" s="56">
        <f>IF($G166="",0,IF(NOT(OR($G166="A - All employees not in groups B, C, J, H, M or Z",$G166="B - Married women and widows entitled to reduced NI",$G166="C - Over the State Pension age",$G166="H - Apprentice under 25",$G166="J – Deferment",$G166="M - Under 21",$G166="Z - Deferment (Under 21)",$G166="Please Enter The NI Cont. in ££££")),$G166,SUM(MAX(MIN(AH166-'Input Data'!$BG$3,'Input Data'!$BG$5-'Input Data'!$BG$3),0)*VLOOKUP($G166,'Input Data'!$BI$3:$BL$10,2,FALSE),MAX(MIN(AH166-'Input Data'!$BG$5,IF(OR($G166="M (under 21)",$G166="Z (under 21 - deferment)"),'Input Data'!$BG$6,IF($G166="H (Apprentice under 25)",'Input Data'!$BG$7,'Input Data'!$BG$8))-'Input Data'!$BG$5),0)*VLOOKUP($G166,'Input Data'!$BI$3:$BL$10,3,FALSE),MAX((AH166-IF(OR($G166="M (under 21)",$G166="Z (under 21 - deferment)"),'Input Data'!$BG$6,IF($G166="H (Apprentice under 25)",'Input Data'!$BG$7,'Input Data'!$BG$8))),0)*VLOOKUP($G166,'Input Data'!$BI$3:$BL$10,4,FALSE))))</f>
        <v>0</v>
      </c>
      <c r="AQ166" s="56">
        <f>IF($G166="",0,IF(NOT(OR($G166="A - All employees not in groups B, C, J, H, M or Z",$G166="B - Married women and widows entitled to reduced NI",$G166="C - Over the State Pension age",$G166="H - Apprentice under 25",$G166="J – Deferment",$G166="M - Under 21",$G166="Z - Deferment (Under 21)",$G166="Please Enter The NI Cont. in ££££")),$G166,SUM(MAX(MIN(AI166-'Input Data'!$BG$3,'Input Data'!$BG$5-'Input Data'!$BG$3),0)*VLOOKUP($G166,'Input Data'!$BI$3:$BL$10,2,FALSE),MAX(MIN(AI166-'Input Data'!$BG$5,IF(OR($G166="M (under 21)",$G166="Z (under 21 - deferment)"),'Input Data'!$BG$6,IF($G166="H (Apprentice under 25)",'Input Data'!$BG$7,'Input Data'!$BG$8))-'Input Data'!$BG$5),0)*VLOOKUP($G166,'Input Data'!$BI$3:$BL$10,3,FALSE),MAX((AI166-IF(OR($G166="M (under 21)",$G166="Z (under 21 - deferment)"),'Input Data'!$BG$6,IF($G166="H (Apprentice under 25)",'Input Data'!$BG$7,'Input Data'!$BG$8))),0)*VLOOKUP($G166,'Input Data'!$BI$3:$BL$10,4,FALSE))))</f>
        <v>0</v>
      </c>
      <c r="AR166" s="56">
        <f>IF($G166="",0,IF(NOT(OR($G166="A - All employees not in groups B, C, J, H, M or Z",$G166="B - Married women and widows entitled to reduced NI",$G166="C - Over the State Pension age",$G166="H - Apprentice under 25",$G166="J – Deferment",$G166="M - Under 21",$G166="Z - Deferment (Under 21)",$G166="Please Enter The NI Cont. in ££££")),$G166,SUM(MAX(MIN(AJ166-'Input Data'!$BG$3,'Input Data'!$BG$5-'Input Data'!$BG$3),0)*VLOOKUP($G166,'Input Data'!$BI$3:$BL$10,2,FALSE),MAX(MIN(AJ166-'Input Data'!$BG$5,IF(OR($G166="M (under 21)",$G166="Z (under 21 - deferment)"),'Input Data'!$BG$6,IF($G166="H (Apprentice under 25)",'Input Data'!$BG$7,'Input Data'!$BG$8))-'Input Data'!$BG$5),0)*VLOOKUP($G166,'Input Data'!$BI$3:$BL$10,3,FALSE),MAX((AJ166-IF(OR($G166="M (under 21)",$G166="Z (under 21 - deferment)"),'Input Data'!$BG$6,IF($G166="H (Apprentice under 25)",'Input Data'!$BG$7,'Input Data'!$BG$8))),0)*VLOOKUP($G166,'Input Data'!$BI$3:$BL$10,4,FALSE))))</f>
        <v>0</v>
      </c>
      <c r="AS166" s="56">
        <f>AC166*$F166</f>
        <v>0</v>
      </c>
      <c r="AT166" s="56">
        <f>AD166*$F166</f>
        <v>0</v>
      </c>
      <c r="AU166" s="56">
        <f>AE166*$F166</f>
        <v>0</v>
      </c>
      <c r="AV166" s="56">
        <f>AF166*$F166</f>
        <v>0</v>
      </c>
      <c r="AW166" s="56">
        <f>AG166*$F166</f>
        <v>0</v>
      </c>
      <c r="AX166" s="56">
        <f>AH166*$F166</f>
        <v>0</v>
      </c>
      <c r="AY166" s="56">
        <f>AI166*$F166</f>
        <v>0</v>
      </c>
      <c r="AZ166" s="56">
        <f>AJ166*$F166</f>
        <v>0</v>
      </c>
    </row>
    <row r="167" spans="2:52" ht="25.5">
      <c r="B167" s="60"/>
      <c r="C167" s="57" t="s">
        <v>84</v>
      </c>
      <c r="D167" s="58"/>
      <c r="E167" s="58"/>
      <c r="F167" s="535"/>
      <c r="G167" s="693" t="s">
        <v>1149</v>
      </c>
      <c r="H167" s="65"/>
      <c r="I167" s="65"/>
      <c r="J167" s="65"/>
      <c r="K167" s="65"/>
      <c r="L167" s="65"/>
      <c r="M167" s="65"/>
      <c r="N167" s="65"/>
      <c r="O167" s="65"/>
      <c r="P167" s="29"/>
      <c r="Q167" s="597"/>
      <c r="R167" s="61"/>
      <c r="T167" s="43">
        <f>SUM(AC167,AK167,AS167)</f>
        <v>0</v>
      </c>
      <c r="U167" s="43">
        <f>SUM(AD167,AL167,AT167)</f>
        <v>0</v>
      </c>
      <c r="V167" s="43">
        <f>SUM(AE167,AM167,AU167)</f>
        <v>0</v>
      </c>
      <c r="W167" s="43">
        <f>SUM(AF167,AN167,AV167)</f>
        <v>0</v>
      </c>
      <c r="X167" s="43">
        <f>SUM(AG167,AO167,AW167)</f>
        <v>0</v>
      </c>
      <c r="Y167" s="43">
        <f>SUM(AH167,AP167,AX167)</f>
        <v>0</v>
      </c>
      <c r="Z167" s="43">
        <f>SUM(AI167,AQ167,AY167)</f>
        <v>0</v>
      </c>
      <c r="AA167" s="43">
        <f>SUM(AJ167,AR167,AZ167)</f>
        <v>0</v>
      </c>
      <c r="AC167" s="631">
        <f>SUM($D167:$E167)*H167</f>
        <v>0</v>
      </c>
      <c r="AD167" s="631">
        <f>SUM($D167:$E167)*I167</f>
        <v>0</v>
      </c>
      <c r="AE167" s="631">
        <f>SUM($D167:$E167)*J167</f>
        <v>0</v>
      </c>
      <c r="AF167" s="631">
        <f>SUM($D167:$E167)*K167</f>
        <v>0</v>
      </c>
      <c r="AG167" s="631">
        <f>SUM($D167:$E167)*L167</f>
        <v>0</v>
      </c>
      <c r="AH167" s="631">
        <f>SUM($D167:$E167)*M167</f>
        <v>0</v>
      </c>
      <c r="AI167" s="631">
        <f>SUM($D167:$E167)*N167</f>
        <v>0</v>
      </c>
      <c r="AJ167" s="631">
        <f>SUM($D167:$E167)*O167</f>
        <v>0</v>
      </c>
      <c r="AK167" s="56">
        <f>IF($G167="",0,IF(NOT(OR($G167="A - All employees not in groups B, C, J, H, M or Z",$G167="B - Married women and widows entitled to reduced NI",$G167="C - Over the State Pension age",$G167="H - Apprentice under 25",$G167="J – Deferment",$G167="M - Under 21",$G167="Z - Deferment (Under 21)",$G167="Please Enter The NI Cont. in ££££")),$G167,SUM(MAX(MIN(AC167-'Input Data'!$BG$3,'Input Data'!$BG$5-'Input Data'!$BG$3),0)*VLOOKUP($G167,'Input Data'!$BI$3:$BL$10,2,FALSE),MAX(MIN(AC167-'Input Data'!$BG$5,IF(OR($G167="M (under 21)",$G167="Z (under 21 - deferment)"),'Input Data'!$BG$6,IF($G167="H (Apprentice under 25)",'Input Data'!$BG$7,'Input Data'!$BG$8))-'Input Data'!$BG$5),0)*VLOOKUP($G167,'Input Data'!$BI$3:$BL$10,3,FALSE),MAX((AC167-IF(OR($G167="M (under 21)",$G167="Z (under 21 - deferment)"),'Input Data'!$BG$6,IF($G167="H (Apprentice under 25)",'Input Data'!$BG$7,'Input Data'!$BG$8))),0)*VLOOKUP($G167,'Input Data'!$BI$3:$BL$10,4,FALSE))))</f>
        <v>0</v>
      </c>
      <c r="AL167" s="56">
        <f>IF($G167="",0,IF(NOT(OR($G167="A - All employees not in groups B, C, J, H, M or Z",$G167="B - Married women and widows entitled to reduced NI",$G167="C - Over the State Pension age",$G167="H - Apprentice under 25",$G167="J – Deferment",$G167="M - Under 21",$G167="Z - Deferment (Under 21)",$G167="Please Enter The NI Cont. in ££££")),$G167,SUM(MAX(MIN(AD167-'Input Data'!$BG$3,'Input Data'!$BG$5-'Input Data'!$BG$3),0)*VLOOKUP($G167,'Input Data'!$BI$3:$BL$10,2,FALSE),MAX(MIN(AD167-'Input Data'!$BG$5,IF(OR($G167="M (under 21)",$G167="Z (under 21 - deferment)"),'Input Data'!$BG$6,IF($G167="H (Apprentice under 25)",'Input Data'!$BG$7,'Input Data'!$BG$8))-'Input Data'!$BG$5),0)*VLOOKUP($G167,'Input Data'!$BI$3:$BL$10,3,FALSE),MAX((AD167-IF(OR($G167="M (under 21)",$G167="Z (under 21 - deferment)"),'Input Data'!$BG$6,IF($G167="H (Apprentice under 25)",'Input Data'!$BG$7,'Input Data'!$BG$8))),0)*VLOOKUP($G167,'Input Data'!$BI$3:$BL$10,4,FALSE))))</f>
        <v>0</v>
      </c>
      <c r="AM167" s="56">
        <f>IF($G167="",0,IF(NOT(OR($G167="A - All employees not in groups B, C, J, H, M or Z",$G167="B - Married women and widows entitled to reduced NI",$G167="C - Over the State Pension age",$G167="H - Apprentice under 25",$G167="J – Deferment",$G167="M - Under 21",$G167="Z - Deferment (Under 21)",$G167="Please Enter The NI Cont. in ££££")),$G167,SUM(MAX(MIN(AE167-'Input Data'!$BG$3,'Input Data'!$BG$5-'Input Data'!$BG$3),0)*VLOOKUP($G167,'Input Data'!$BI$3:$BL$10,2,FALSE),MAX(MIN(AE167-'Input Data'!$BG$5,IF(OR($G167="M (under 21)",$G167="Z (under 21 - deferment)"),'Input Data'!$BG$6,IF($G167="H (Apprentice under 25)",'Input Data'!$BG$7,'Input Data'!$BG$8))-'Input Data'!$BG$5),0)*VLOOKUP($G167,'Input Data'!$BI$3:$BL$10,3,FALSE),MAX((AE167-IF(OR($G167="M (under 21)",$G167="Z (under 21 - deferment)"),'Input Data'!$BG$6,IF($G167="H (Apprentice under 25)",'Input Data'!$BG$7,'Input Data'!$BG$8))),0)*VLOOKUP($G167,'Input Data'!$BI$3:$BL$10,4,FALSE))))</f>
        <v>0</v>
      </c>
      <c r="AN167" s="56">
        <f>IF($G167="",0,IF(NOT(OR($G167="A - All employees not in groups B, C, J, H, M or Z",$G167="B - Married women and widows entitled to reduced NI",$G167="C - Over the State Pension age",$G167="H - Apprentice under 25",$G167="J – Deferment",$G167="M - Under 21",$G167="Z - Deferment (Under 21)",$G167="Please Enter The NI Cont. in ££££")),$G167,SUM(MAX(MIN(AF167-'Input Data'!$BG$3,'Input Data'!$BG$5-'Input Data'!$BG$3),0)*VLOOKUP($G167,'Input Data'!$BI$3:$BL$10,2,FALSE),MAX(MIN(AF167-'Input Data'!$BG$5,IF(OR($G167="M (under 21)",$G167="Z (under 21 - deferment)"),'Input Data'!$BG$6,IF($G167="H (Apprentice under 25)",'Input Data'!$BG$7,'Input Data'!$BG$8))-'Input Data'!$BG$5),0)*VLOOKUP($G167,'Input Data'!$BI$3:$BL$10,3,FALSE),MAX((AF167-IF(OR($G167="M (under 21)",$G167="Z (under 21 - deferment)"),'Input Data'!$BG$6,IF($G167="H (Apprentice under 25)",'Input Data'!$BG$7,'Input Data'!$BG$8))),0)*VLOOKUP($G167,'Input Data'!$BI$3:$BL$10,4,FALSE))))</f>
        <v>0</v>
      </c>
      <c r="AO167" s="56">
        <f>IF($G167="",0,IF(NOT(OR($G167="A - All employees not in groups B, C, J, H, M or Z",$G167="B - Married women and widows entitled to reduced NI",$G167="C - Over the State Pension age",$G167="H - Apprentice under 25",$G167="J – Deferment",$G167="M - Under 21",$G167="Z - Deferment (Under 21)",$G167="Please Enter The NI Cont. in ££££")),$G167,SUM(MAX(MIN(AG167-'Input Data'!$BG$3,'Input Data'!$BG$5-'Input Data'!$BG$3),0)*VLOOKUP($G167,'Input Data'!$BI$3:$BL$10,2,FALSE),MAX(MIN(AG167-'Input Data'!$BG$5,IF(OR($G167="M (under 21)",$G167="Z (under 21 - deferment)"),'Input Data'!$BG$6,IF($G167="H (Apprentice under 25)",'Input Data'!$BG$7,'Input Data'!$BG$8))-'Input Data'!$BG$5),0)*VLOOKUP($G167,'Input Data'!$BI$3:$BL$10,3,FALSE),MAX((AG167-IF(OR($G167="M (under 21)",$G167="Z (under 21 - deferment)"),'Input Data'!$BG$6,IF($G167="H (Apprentice under 25)",'Input Data'!$BG$7,'Input Data'!$BG$8))),0)*VLOOKUP($G167,'Input Data'!$BI$3:$BL$10,4,FALSE))))</f>
        <v>0</v>
      </c>
      <c r="AP167" s="56">
        <f>IF($G167="",0,IF(NOT(OR($G167="A - All employees not in groups B, C, J, H, M or Z",$G167="B - Married women and widows entitled to reduced NI",$G167="C - Over the State Pension age",$G167="H - Apprentice under 25",$G167="J – Deferment",$G167="M - Under 21",$G167="Z - Deferment (Under 21)",$G167="Please Enter The NI Cont. in ££££")),$G167,SUM(MAX(MIN(AH167-'Input Data'!$BG$3,'Input Data'!$BG$5-'Input Data'!$BG$3),0)*VLOOKUP($G167,'Input Data'!$BI$3:$BL$10,2,FALSE),MAX(MIN(AH167-'Input Data'!$BG$5,IF(OR($G167="M (under 21)",$G167="Z (under 21 - deferment)"),'Input Data'!$BG$6,IF($G167="H (Apprentice under 25)",'Input Data'!$BG$7,'Input Data'!$BG$8))-'Input Data'!$BG$5),0)*VLOOKUP($G167,'Input Data'!$BI$3:$BL$10,3,FALSE),MAX((AH167-IF(OR($G167="M (under 21)",$G167="Z (under 21 - deferment)"),'Input Data'!$BG$6,IF($G167="H (Apprentice under 25)",'Input Data'!$BG$7,'Input Data'!$BG$8))),0)*VLOOKUP($G167,'Input Data'!$BI$3:$BL$10,4,FALSE))))</f>
        <v>0</v>
      </c>
      <c r="AQ167" s="56">
        <f>IF($G167="",0,IF(NOT(OR($G167="A - All employees not in groups B, C, J, H, M or Z",$G167="B - Married women and widows entitled to reduced NI",$G167="C - Over the State Pension age",$G167="H - Apprentice under 25",$G167="J – Deferment",$G167="M - Under 21",$G167="Z - Deferment (Under 21)",$G167="Please Enter The NI Cont. in ££££")),$G167,SUM(MAX(MIN(AI167-'Input Data'!$BG$3,'Input Data'!$BG$5-'Input Data'!$BG$3),0)*VLOOKUP($G167,'Input Data'!$BI$3:$BL$10,2,FALSE),MAX(MIN(AI167-'Input Data'!$BG$5,IF(OR($G167="M (under 21)",$G167="Z (under 21 - deferment)"),'Input Data'!$BG$6,IF($G167="H (Apprentice under 25)",'Input Data'!$BG$7,'Input Data'!$BG$8))-'Input Data'!$BG$5),0)*VLOOKUP($G167,'Input Data'!$BI$3:$BL$10,3,FALSE),MAX((AI167-IF(OR($G167="M (under 21)",$G167="Z (under 21 - deferment)"),'Input Data'!$BG$6,IF($G167="H (Apprentice under 25)",'Input Data'!$BG$7,'Input Data'!$BG$8))),0)*VLOOKUP($G167,'Input Data'!$BI$3:$BL$10,4,FALSE))))</f>
        <v>0</v>
      </c>
      <c r="AR167" s="56">
        <f>IF($G167="",0,IF(NOT(OR($G167="A - All employees not in groups B, C, J, H, M or Z",$G167="B - Married women and widows entitled to reduced NI",$G167="C - Over the State Pension age",$G167="H - Apprentice under 25",$G167="J – Deferment",$G167="M - Under 21",$G167="Z - Deferment (Under 21)",$G167="Please Enter The NI Cont. in ££££")),$G167,SUM(MAX(MIN(AJ167-'Input Data'!$BG$3,'Input Data'!$BG$5-'Input Data'!$BG$3),0)*VLOOKUP($G167,'Input Data'!$BI$3:$BL$10,2,FALSE),MAX(MIN(AJ167-'Input Data'!$BG$5,IF(OR($G167="M (under 21)",$G167="Z (under 21 - deferment)"),'Input Data'!$BG$6,IF($G167="H (Apprentice under 25)",'Input Data'!$BG$7,'Input Data'!$BG$8))-'Input Data'!$BG$5),0)*VLOOKUP($G167,'Input Data'!$BI$3:$BL$10,3,FALSE),MAX((AJ167-IF(OR($G167="M (under 21)",$G167="Z (under 21 - deferment)"),'Input Data'!$BG$6,IF($G167="H (Apprentice under 25)",'Input Data'!$BG$7,'Input Data'!$BG$8))),0)*VLOOKUP($G167,'Input Data'!$BI$3:$BL$10,4,FALSE))))</f>
        <v>0</v>
      </c>
      <c r="AS167" s="56">
        <f>AC167*$F167</f>
        <v>0</v>
      </c>
      <c r="AT167" s="56">
        <f>AD167*$F167</f>
        <v>0</v>
      </c>
      <c r="AU167" s="56">
        <f>AE167*$F167</f>
        <v>0</v>
      </c>
      <c r="AV167" s="56">
        <f>AF167*$F167</f>
        <v>0</v>
      </c>
      <c r="AW167" s="56">
        <f>AG167*$F167</f>
        <v>0</v>
      </c>
      <c r="AX167" s="56">
        <f>AH167*$F167</f>
        <v>0</v>
      </c>
      <c r="AY167" s="56">
        <f>AI167*$F167</f>
        <v>0</v>
      </c>
      <c r="AZ167" s="56">
        <f>AJ167*$F167</f>
        <v>0</v>
      </c>
    </row>
    <row r="168" spans="2:52" ht="15">
      <c r="B168" s="60"/>
      <c r="C168" s="33"/>
      <c r="D168" s="33"/>
      <c r="E168" s="33"/>
      <c r="F168" s="33"/>
      <c r="G168" s="34"/>
      <c r="H168" s="53"/>
      <c r="I168" s="53"/>
      <c r="J168" s="53"/>
      <c r="K168" s="53"/>
      <c r="L168" s="53"/>
      <c r="M168" s="53"/>
      <c r="N168" s="53"/>
      <c r="O168" s="53"/>
      <c r="P168" s="26"/>
      <c r="Q168" s="33"/>
      <c r="R168" s="61"/>
      <c r="T168"/>
      <c r="U168"/>
      <c r="V168"/>
      <c r="W168"/>
      <c r="X168"/>
      <c r="Y168"/>
      <c r="Z168"/>
      <c r="AA168"/>
      <c r="AB168"/>
      <c r="AC168" s="631"/>
      <c r="AD168" s="631"/>
      <c r="AE168" s="631"/>
      <c r="AF168" s="631"/>
      <c r="AG168" s="631"/>
      <c r="AH168" s="631"/>
      <c r="AI168" s="631"/>
      <c r="AJ168" s="631"/>
      <c r="AK168" s="56"/>
      <c r="AL168" s="56"/>
      <c r="AM168" s="56"/>
      <c r="AN168" s="56"/>
      <c r="AO168" s="56"/>
      <c r="AP168" s="56"/>
      <c r="AQ168" s="56"/>
      <c r="AR168" s="56"/>
      <c r="AS168"/>
      <c r="AT168"/>
      <c r="AU168"/>
      <c r="AV168"/>
      <c r="AW168"/>
      <c r="AX168"/>
      <c r="AY168"/>
      <c r="AZ168"/>
    </row>
    <row r="169" spans="2:52" ht="15">
      <c r="B169" s="60"/>
      <c r="C169" s="33"/>
      <c r="D169" s="33"/>
      <c r="E169" s="33"/>
      <c r="F169" s="33"/>
      <c r="G169" s="35" t="s">
        <v>1142</v>
      </c>
      <c r="H169" s="53"/>
      <c r="I169" s="53"/>
      <c r="J169" s="53"/>
      <c r="K169" s="53"/>
      <c r="L169" s="53"/>
      <c r="M169" s="53"/>
      <c r="N169" s="53"/>
      <c r="O169" s="53"/>
      <c r="P169" s="26"/>
      <c r="Q169" s="33"/>
      <c r="R169" s="61"/>
      <c r="T169"/>
      <c r="U169"/>
      <c r="V169"/>
      <c r="W169"/>
      <c r="X169"/>
      <c r="Y169"/>
      <c r="Z169"/>
      <c r="AA169"/>
      <c r="AB169"/>
      <c r="AC169" s="631"/>
      <c r="AD169" s="631"/>
      <c r="AE169" s="631"/>
      <c r="AF169" s="631"/>
      <c r="AG169" s="631"/>
      <c r="AH169" s="631"/>
      <c r="AI169" s="631"/>
      <c r="AJ169" s="631"/>
      <c r="AK169" s="56"/>
      <c r="AL169" s="56"/>
      <c r="AM169" s="56"/>
      <c r="AN169" s="56"/>
      <c r="AO169" s="56"/>
      <c r="AP169" s="56"/>
      <c r="AQ169" s="56"/>
      <c r="AR169" s="56"/>
      <c r="AS169"/>
      <c r="AT169"/>
      <c r="AU169"/>
      <c r="AV169"/>
      <c r="AW169"/>
      <c r="AX169"/>
      <c r="AY169"/>
      <c r="AZ169"/>
    </row>
    <row r="170" spans="2:52" ht="15">
      <c r="B170" s="60"/>
      <c r="C170" s="33" t="s">
        <v>128</v>
      </c>
      <c r="D170" s="33"/>
      <c r="E170" s="33"/>
      <c r="F170" s="33"/>
      <c r="G170" s="34"/>
      <c r="H170" s="53"/>
      <c r="I170" s="53"/>
      <c r="J170" s="53"/>
      <c r="K170" s="53"/>
      <c r="L170" s="53"/>
      <c r="M170" s="53"/>
      <c r="N170" s="53"/>
      <c r="O170" s="53"/>
      <c r="P170" s="26"/>
      <c r="Q170" s="33"/>
      <c r="R170" s="61"/>
      <c r="T170"/>
      <c r="U170"/>
      <c r="V170"/>
      <c r="W170"/>
      <c r="X170"/>
      <c r="Y170"/>
      <c r="Z170"/>
      <c r="AA170"/>
      <c r="AB170"/>
      <c r="AC170" s="631"/>
      <c r="AD170" s="631"/>
      <c r="AE170" s="631"/>
      <c r="AF170" s="631"/>
      <c r="AG170" s="631"/>
      <c r="AH170" s="631"/>
      <c r="AI170" s="631"/>
      <c r="AJ170" s="631"/>
      <c r="AK170" s="56"/>
      <c r="AL170" s="56"/>
      <c r="AM170" s="56"/>
      <c r="AN170" s="56"/>
      <c r="AO170" s="56"/>
      <c r="AP170" s="56"/>
      <c r="AQ170" s="56"/>
      <c r="AR170" s="56"/>
      <c r="AS170"/>
      <c r="AT170"/>
      <c r="AU170"/>
      <c r="AV170"/>
      <c r="AW170"/>
      <c r="AX170"/>
      <c r="AY170"/>
      <c r="AZ170"/>
    </row>
    <row r="171" spans="2:52" ht="25.5">
      <c r="B171" s="60"/>
      <c r="C171" s="57" t="s">
        <v>65</v>
      </c>
      <c r="D171" s="58"/>
      <c r="E171" s="58"/>
      <c r="F171" s="535"/>
      <c r="G171" s="693" t="s">
        <v>1149</v>
      </c>
      <c r="H171" s="65"/>
      <c r="I171" s="65"/>
      <c r="J171" s="65"/>
      <c r="K171" s="65"/>
      <c r="L171" s="65"/>
      <c r="M171" s="65"/>
      <c r="N171" s="65"/>
      <c r="O171" s="65"/>
      <c r="P171" s="29"/>
      <c r="Q171" s="597"/>
      <c r="R171" s="61"/>
      <c r="T171" s="43">
        <f>SUM(AC171,AK171,AS171)</f>
        <v>0</v>
      </c>
      <c r="U171" s="43">
        <f>SUM(AD171,AL171,AT171)</f>
        <v>0</v>
      </c>
      <c r="V171" s="43">
        <f>SUM(AE171,AM171,AU171)</f>
        <v>0</v>
      </c>
      <c r="W171" s="43">
        <f>SUM(AF171,AN171,AV171)</f>
        <v>0</v>
      </c>
      <c r="X171" s="43">
        <f>SUM(AG171,AO171,AW171)</f>
        <v>0</v>
      </c>
      <c r="Y171" s="43">
        <f>SUM(AH171,AP171,AX171)</f>
        <v>0</v>
      </c>
      <c r="Z171" s="43">
        <f>SUM(AI171,AQ171,AY171)</f>
        <v>0</v>
      </c>
      <c r="AA171" s="43">
        <f>SUM(AJ171,AR171,AZ171)</f>
        <v>0</v>
      </c>
      <c r="AC171" s="631">
        <f>SUM($D171:$E171)*H171</f>
        <v>0</v>
      </c>
      <c r="AD171" s="631">
        <f>SUM($D171:$E171)*I171</f>
        <v>0</v>
      </c>
      <c r="AE171" s="631">
        <f>SUM($D171:$E171)*J171</f>
        <v>0</v>
      </c>
      <c r="AF171" s="631">
        <f>SUM($D171:$E171)*K171</f>
        <v>0</v>
      </c>
      <c r="AG171" s="631">
        <f>SUM($D171:$E171)*L171</f>
        <v>0</v>
      </c>
      <c r="AH171" s="631">
        <f>SUM($D171:$E171)*M171</f>
        <v>0</v>
      </c>
      <c r="AI171" s="631">
        <f>SUM($D171:$E171)*N171</f>
        <v>0</v>
      </c>
      <c r="AJ171" s="631">
        <f>SUM($D171:$E171)*O171</f>
        <v>0</v>
      </c>
      <c r="AK171" s="56">
        <f>IF($G171="",0,IF(NOT(OR($G171="A - All employees not in groups B, C, J, H, M or Z",$G171="B - Married women and widows entitled to reduced NI",$G171="C - Over the State Pension age",$G171="H - Apprentice under 25",$G171="J – Deferment",$G171="M - Under 21",$G171="Z - Deferment (Under 21)",$G171="Please Enter The NI Cont. in ££££")),$G171,SUM(MAX(MIN(AC171-'Input Data'!$BG$3,'Input Data'!$BG$5-'Input Data'!$BG$3),0)*VLOOKUP($G171,'Input Data'!$BI$3:$BL$10,2,FALSE),MAX(MIN(AC171-'Input Data'!$BG$5,IF(OR($G171="M (under 21)",$G171="Z (under 21 - deferment)"),'Input Data'!$BG$6,IF($G171="H (Apprentice under 25)",'Input Data'!$BG$7,'Input Data'!$BG$8))-'Input Data'!$BG$5),0)*VLOOKUP($G171,'Input Data'!$BI$3:$BL$10,3,FALSE),MAX((AC171-IF(OR($G171="M (under 21)",$G171="Z (under 21 - deferment)"),'Input Data'!$BG$6,IF($G171="H (Apprentice under 25)",'Input Data'!$BG$7,'Input Data'!$BG$8))),0)*VLOOKUP($G171,'Input Data'!$BI$3:$BL$10,4,FALSE))))</f>
        <v>0</v>
      </c>
      <c r="AL171" s="56">
        <f>IF($G171="",0,IF(NOT(OR($G171="A - All employees not in groups B, C, J, H, M or Z",$G171="B - Married women and widows entitled to reduced NI",$G171="C - Over the State Pension age",$G171="H - Apprentice under 25",$G171="J – Deferment",$G171="M - Under 21",$G171="Z - Deferment (Under 21)",$G171="Please Enter The NI Cont. in ££££")),$G171,SUM(MAX(MIN(AD171-'Input Data'!$BG$3,'Input Data'!$BG$5-'Input Data'!$BG$3),0)*VLOOKUP($G171,'Input Data'!$BI$3:$BL$10,2,FALSE),MAX(MIN(AD171-'Input Data'!$BG$5,IF(OR($G171="M (under 21)",$G171="Z (under 21 - deferment)"),'Input Data'!$BG$6,IF($G171="H (Apprentice under 25)",'Input Data'!$BG$7,'Input Data'!$BG$8))-'Input Data'!$BG$5),0)*VLOOKUP($G171,'Input Data'!$BI$3:$BL$10,3,FALSE),MAX((AD171-IF(OR($G171="M (under 21)",$G171="Z (under 21 - deferment)"),'Input Data'!$BG$6,IF($G171="H (Apprentice under 25)",'Input Data'!$BG$7,'Input Data'!$BG$8))),0)*VLOOKUP($G171,'Input Data'!$BI$3:$BL$10,4,FALSE))))</f>
        <v>0</v>
      </c>
      <c r="AM171" s="56">
        <f>IF($G171="",0,IF(NOT(OR($G171="A - All employees not in groups B, C, J, H, M or Z",$G171="B - Married women and widows entitled to reduced NI",$G171="C - Over the State Pension age",$G171="H - Apprentice under 25",$G171="J – Deferment",$G171="M - Under 21",$G171="Z - Deferment (Under 21)",$G171="Please Enter The NI Cont. in ££££")),$G171,SUM(MAX(MIN(AE171-'Input Data'!$BG$3,'Input Data'!$BG$5-'Input Data'!$BG$3),0)*VLOOKUP($G171,'Input Data'!$BI$3:$BL$10,2,FALSE),MAX(MIN(AE171-'Input Data'!$BG$5,IF(OR($G171="M (under 21)",$G171="Z (under 21 - deferment)"),'Input Data'!$BG$6,IF($G171="H (Apprentice under 25)",'Input Data'!$BG$7,'Input Data'!$BG$8))-'Input Data'!$BG$5),0)*VLOOKUP($G171,'Input Data'!$BI$3:$BL$10,3,FALSE),MAX((AE171-IF(OR($G171="M (under 21)",$G171="Z (under 21 - deferment)"),'Input Data'!$BG$6,IF($G171="H (Apprentice under 25)",'Input Data'!$BG$7,'Input Data'!$BG$8))),0)*VLOOKUP($G171,'Input Data'!$BI$3:$BL$10,4,FALSE))))</f>
        <v>0</v>
      </c>
      <c r="AN171" s="56">
        <f>IF($G171="",0,IF(NOT(OR($G171="A - All employees not in groups B, C, J, H, M or Z",$G171="B - Married women and widows entitled to reduced NI",$G171="C - Over the State Pension age",$G171="H - Apprentice under 25",$G171="J – Deferment",$G171="M - Under 21",$G171="Z - Deferment (Under 21)",$G171="Please Enter The NI Cont. in ££££")),$G171,SUM(MAX(MIN(AF171-'Input Data'!$BG$3,'Input Data'!$BG$5-'Input Data'!$BG$3),0)*VLOOKUP($G171,'Input Data'!$BI$3:$BL$10,2,FALSE),MAX(MIN(AF171-'Input Data'!$BG$5,IF(OR($G171="M (under 21)",$G171="Z (under 21 - deferment)"),'Input Data'!$BG$6,IF($G171="H (Apprentice under 25)",'Input Data'!$BG$7,'Input Data'!$BG$8))-'Input Data'!$BG$5),0)*VLOOKUP($G171,'Input Data'!$BI$3:$BL$10,3,FALSE),MAX((AF171-IF(OR($G171="M (under 21)",$G171="Z (under 21 - deferment)"),'Input Data'!$BG$6,IF($G171="H (Apprentice under 25)",'Input Data'!$BG$7,'Input Data'!$BG$8))),0)*VLOOKUP($G171,'Input Data'!$BI$3:$BL$10,4,FALSE))))</f>
        <v>0</v>
      </c>
      <c r="AO171" s="56">
        <f>IF($G171="",0,IF(NOT(OR($G171="A - All employees not in groups B, C, J, H, M or Z",$G171="B - Married women and widows entitled to reduced NI",$G171="C - Over the State Pension age",$G171="H - Apprentice under 25",$G171="J – Deferment",$G171="M - Under 21",$G171="Z - Deferment (Under 21)",$G171="Please Enter The NI Cont. in ££££")),$G171,SUM(MAX(MIN(AG171-'Input Data'!$BG$3,'Input Data'!$BG$5-'Input Data'!$BG$3),0)*VLOOKUP($G171,'Input Data'!$BI$3:$BL$10,2,FALSE),MAX(MIN(AG171-'Input Data'!$BG$5,IF(OR($G171="M (under 21)",$G171="Z (under 21 - deferment)"),'Input Data'!$BG$6,IF($G171="H (Apprentice under 25)",'Input Data'!$BG$7,'Input Data'!$BG$8))-'Input Data'!$BG$5),0)*VLOOKUP($G171,'Input Data'!$BI$3:$BL$10,3,FALSE),MAX((AG171-IF(OR($G171="M (under 21)",$G171="Z (under 21 - deferment)"),'Input Data'!$BG$6,IF($G171="H (Apprentice under 25)",'Input Data'!$BG$7,'Input Data'!$BG$8))),0)*VLOOKUP($G171,'Input Data'!$BI$3:$BL$10,4,FALSE))))</f>
        <v>0</v>
      </c>
      <c r="AP171" s="56">
        <f>IF($G171="",0,IF(NOT(OR($G171="A - All employees not in groups B, C, J, H, M or Z",$G171="B - Married women and widows entitled to reduced NI",$G171="C - Over the State Pension age",$G171="H - Apprentice under 25",$G171="J – Deferment",$G171="M - Under 21",$G171="Z - Deferment (Under 21)",$G171="Please Enter The NI Cont. in ££££")),$G171,SUM(MAX(MIN(AH171-'Input Data'!$BG$3,'Input Data'!$BG$5-'Input Data'!$BG$3),0)*VLOOKUP($G171,'Input Data'!$BI$3:$BL$10,2,FALSE),MAX(MIN(AH171-'Input Data'!$BG$5,IF(OR($G171="M (under 21)",$G171="Z (under 21 - deferment)"),'Input Data'!$BG$6,IF($G171="H (Apprentice under 25)",'Input Data'!$BG$7,'Input Data'!$BG$8))-'Input Data'!$BG$5),0)*VLOOKUP($G171,'Input Data'!$BI$3:$BL$10,3,FALSE),MAX((AH171-IF(OR($G171="M (under 21)",$G171="Z (under 21 - deferment)"),'Input Data'!$BG$6,IF($G171="H (Apprentice under 25)",'Input Data'!$BG$7,'Input Data'!$BG$8))),0)*VLOOKUP($G171,'Input Data'!$BI$3:$BL$10,4,FALSE))))</f>
        <v>0</v>
      </c>
      <c r="AQ171" s="56">
        <f>IF($G171="",0,IF(NOT(OR($G171="A - All employees not in groups B, C, J, H, M or Z",$G171="B - Married women and widows entitled to reduced NI",$G171="C - Over the State Pension age",$G171="H - Apprentice under 25",$G171="J – Deferment",$G171="M - Under 21",$G171="Z - Deferment (Under 21)",$G171="Please Enter The NI Cont. in ££££")),$G171,SUM(MAX(MIN(AI171-'Input Data'!$BG$3,'Input Data'!$BG$5-'Input Data'!$BG$3),0)*VLOOKUP($G171,'Input Data'!$BI$3:$BL$10,2,FALSE),MAX(MIN(AI171-'Input Data'!$BG$5,IF(OR($G171="M (under 21)",$G171="Z (under 21 - deferment)"),'Input Data'!$BG$6,IF($G171="H (Apprentice under 25)",'Input Data'!$BG$7,'Input Data'!$BG$8))-'Input Data'!$BG$5),0)*VLOOKUP($G171,'Input Data'!$BI$3:$BL$10,3,FALSE),MAX((AI171-IF(OR($G171="M (under 21)",$G171="Z (under 21 - deferment)"),'Input Data'!$BG$6,IF($G171="H (Apprentice under 25)",'Input Data'!$BG$7,'Input Data'!$BG$8))),0)*VLOOKUP($G171,'Input Data'!$BI$3:$BL$10,4,FALSE))))</f>
        <v>0</v>
      </c>
      <c r="AR171" s="56">
        <f>IF($G171="",0,IF(NOT(OR($G171="A - All employees not in groups B, C, J, H, M or Z",$G171="B - Married women and widows entitled to reduced NI",$G171="C - Over the State Pension age",$G171="H - Apprentice under 25",$G171="J – Deferment",$G171="M - Under 21",$G171="Z - Deferment (Under 21)",$G171="Please Enter The NI Cont. in ££££")),$G171,SUM(MAX(MIN(AJ171-'Input Data'!$BG$3,'Input Data'!$BG$5-'Input Data'!$BG$3),0)*VLOOKUP($G171,'Input Data'!$BI$3:$BL$10,2,FALSE),MAX(MIN(AJ171-'Input Data'!$BG$5,IF(OR($G171="M (under 21)",$G171="Z (under 21 - deferment)"),'Input Data'!$BG$6,IF($G171="H (Apprentice under 25)",'Input Data'!$BG$7,'Input Data'!$BG$8))-'Input Data'!$BG$5),0)*VLOOKUP($G171,'Input Data'!$BI$3:$BL$10,3,FALSE),MAX((AJ171-IF(OR($G171="M (under 21)",$G171="Z (under 21 - deferment)"),'Input Data'!$BG$6,IF($G171="H (Apprentice under 25)",'Input Data'!$BG$7,'Input Data'!$BG$8))),0)*VLOOKUP($G171,'Input Data'!$BI$3:$BL$10,4,FALSE))))</f>
        <v>0</v>
      </c>
      <c r="AS171" s="56">
        <f>AC171*$F171</f>
        <v>0</v>
      </c>
      <c r="AT171" s="56">
        <f>AD171*$F171</f>
        <v>0</v>
      </c>
      <c r="AU171" s="56">
        <f>AE171*$F171</f>
        <v>0</v>
      </c>
      <c r="AV171" s="56">
        <f>AF171*$F171</f>
        <v>0</v>
      </c>
      <c r="AW171" s="56">
        <f>AG171*$F171</f>
        <v>0</v>
      </c>
      <c r="AX171" s="56">
        <f>AH171*$F171</f>
        <v>0</v>
      </c>
      <c r="AY171" s="56">
        <f>AI171*$F171</f>
        <v>0</v>
      </c>
      <c r="AZ171" s="56">
        <f>AJ171*$F171</f>
        <v>0</v>
      </c>
    </row>
    <row r="172" spans="2:52" ht="25.5">
      <c r="B172" s="60"/>
      <c r="C172" s="57" t="s">
        <v>66</v>
      </c>
      <c r="D172" s="58"/>
      <c r="E172" s="58"/>
      <c r="F172" s="535"/>
      <c r="G172" s="693" t="s">
        <v>1149</v>
      </c>
      <c r="H172" s="65"/>
      <c r="I172" s="65"/>
      <c r="J172" s="65"/>
      <c r="K172" s="65"/>
      <c r="L172" s="65"/>
      <c r="M172" s="65"/>
      <c r="N172" s="65"/>
      <c r="O172" s="65"/>
      <c r="P172" s="29"/>
      <c r="Q172" s="597"/>
      <c r="R172" s="61"/>
      <c r="T172" s="43">
        <f>SUM(AC172,AK172,AS172)</f>
        <v>0</v>
      </c>
      <c r="U172" s="43">
        <f>SUM(AD172,AL172,AT172)</f>
        <v>0</v>
      </c>
      <c r="V172" s="43">
        <f>SUM(AE172,AM172,AU172)</f>
        <v>0</v>
      </c>
      <c r="W172" s="43">
        <f>SUM(AF172,AN172,AV172)</f>
        <v>0</v>
      </c>
      <c r="X172" s="43">
        <f>SUM(AG172,AO172,AW172)</f>
        <v>0</v>
      </c>
      <c r="Y172" s="43">
        <f>SUM(AH172,AP172,AX172)</f>
        <v>0</v>
      </c>
      <c r="Z172" s="43">
        <f>SUM(AI172,AQ172,AY172)</f>
        <v>0</v>
      </c>
      <c r="AA172" s="43">
        <f>SUM(AJ172,AR172,AZ172)</f>
        <v>0</v>
      </c>
      <c r="AC172" s="631">
        <f>SUM($D172:$E172)*H172</f>
        <v>0</v>
      </c>
      <c r="AD172" s="631">
        <f>SUM($D172:$E172)*I172</f>
        <v>0</v>
      </c>
      <c r="AE172" s="631">
        <f>SUM($D172:$E172)*J172</f>
        <v>0</v>
      </c>
      <c r="AF172" s="631">
        <f>SUM($D172:$E172)*K172</f>
        <v>0</v>
      </c>
      <c r="AG172" s="631">
        <f>SUM($D172:$E172)*L172</f>
        <v>0</v>
      </c>
      <c r="AH172" s="631">
        <f>SUM($D172:$E172)*M172</f>
        <v>0</v>
      </c>
      <c r="AI172" s="631">
        <f>SUM($D172:$E172)*N172</f>
        <v>0</v>
      </c>
      <c r="AJ172" s="631">
        <f>SUM($D172:$E172)*O172</f>
        <v>0</v>
      </c>
      <c r="AK172" s="56">
        <f>IF($G172="",0,IF(NOT(OR($G172="A - All employees not in groups B, C, J, H, M or Z",$G172="B - Married women and widows entitled to reduced NI",$G172="C - Over the State Pension age",$G172="H - Apprentice under 25",$G172="J – Deferment",$G172="M - Under 21",$G172="Z - Deferment (Under 21)",$G172="Please Enter The NI Cont. in ££££")),$G172,SUM(MAX(MIN(AC172-'Input Data'!$BG$3,'Input Data'!$BG$5-'Input Data'!$BG$3),0)*VLOOKUP($G172,'Input Data'!$BI$3:$BL$10,2,FALSE),MAX(MIN(AC172-'Input Data'!$BG$5,IF(OR($G172="M (under 21)",$G172="Z (under 21 - deferment)"),'Input Data'!$BG$6,IF($G172="H (Apprentice under 25)",'Input Data'!$BG$7,'Input Data'!$BG$8))-'Input Data'!$BG$5),0)*VLOOKUP($G172,'Input Data'!$BI$3:$BL$10,3,FALSE),MAX((AC172-IF(OR($G172="M (under 21)",$G172="Z (under 21 - deferment)"),'Input Data'!$BG$6,IF($G172="H (Apprentice under 25)",'Input Data'!$BG$7,'Input Data'!$BG$8))),0)*VLOOKUP($G172,'Input Data'!$BI$3:$BL$10,4,FALSE))))</f>
        <v>0</v>
      </c>
      <c r="AL172" s="56">
        <f>IF($G172="",0,IF(NOT(OR($G172="A - All employees not in groups B, C, J, H, M or Z",$G172="B - Married women and widows entitled to reduced NI",$G172="C - Over the State Pension age",$G172="H - Apprentice under 25",$G172="J – Deferment",$G172="M - Under 21",$G172="Z - Deferment (Under 21)",$G172="Please Enter The NI Cont. in ££££")),$G172,SUM(MAX(MIN(AD172-'Input Data'!$BG$3,'Input Data'!$BG$5-'Input Data'!$BG$3),0)*VLOOKUP($G172,'Input Data'!$BI$3:$BL$10,2,FALSE),MAX(MIN(AD172-'Input Data'!$BG$5,IF(OR($G172="M (under 21)",$G172="Z (under 21 - deferment)"),'Input Data'!$BG$6,IF($G172="H (Apprentice under 25)",'Input Data'!$BG$7,'Input Data'!$BG$8))-'Input Data'!$BG$5),0)*VLOOKUP($G172,'Input Data'!$BI$3:$BL$10,3,FALSE),MAX((AD172-IF(OR($G172="M (under 21)",$G172="Z (under 21 - deferment)"),'Input Data'!$BG$6,IF($G172="H (Apprentice under 25)",'Input Data'!$BG$7,'Input Data'!$BG$8))),0)*VLOOKUP($G172,'Input Data'!$BI$3:$BL$10,4,FALSE))))</f>
        <v>0</v>
      </c>
      <c r="AM172" s="56">
        <f>IF($G172="",0,IF(NOT(OR($G172="A - All employees not in groups B, C, J, H, M or Z",$G172="B - Married women and widows entitled to reduced NI",$G172="C - Over the State Pension age",$G172="H - Apprentice under 25",$G172="J – Deferment",$G172="M - Under 21",$G172="Z - Deferment (Under 21)",$G172="Please Enter The NI Cont. in ££££")),$G172,SUM(MAX(MIN(AE172-'Input Data'!$BG$3,'Input Data'!$BG$5-'Input Data'!$BG$3),0)*VLOOKUP($G172,'Input Data'!$BI$3:$BL$10,2,FALSE),MAX(MIN(AE172-'Input Data'!$BG$5,IF(OR($G172="M (under 21)",$G172="Z (under 21 - deferment)"),'Input Data'!$BG$6,IF($G172="H (Apprentice under 25)",'Input Data'!$BG$7,'Input Data'!$BG$8))-'Input Data'!$BG$5),0)*VLOOKUP($G172,'Input Data'!$BI$3:$BL$10,3,FALSE),MAX((AE172-IF(OR($G172="M (under 21)",$G172="Z (under 21 - deferment)"),'Input Data'!$BG$6,IF($G172="H (Apprentice under 25)",'Input Data'!$BG$7,'Input Data'!$BG$8))),0)*VLOOKUP($G172,'Input Data'!$BI$3:$BL$10,4,FALSE))))</f>
        <v>0</v>
      </c>
      <c r="AN172" s="56">
        <f>IF($G172="",0,IF(NOT(OR($G172="A - All employees not in groups B, C, J, H, M or Z",$G172="B - Married women and widows entitled to reduced NI",$G172="C - Over the State Pension age",$G172="H - Apprentice under 25",$G172="J – Deferment",$G172="M - Under 21",$G172="Z - Deferment (Under 21)",$G172="Please Enter The NI Cont. in ££££")),$G172,SUM(MAX(MIN(AF172-'Input Data'!$BG$3,'Input Data'!$BG$5-'Input Data'!$BG$3),0)*VLOOKUP($G172,'Input Data'!$BI$3:$BL$10,2,FALSE),MAX(MIN(AF172-'Input Data'!$BG$5,IF(OR($G172="M (under 21)",$G172="Z (under 21 - deferment)"),'Input Data'!$BG$6,IF($G172="H (Apprentice under 25)",'Input Data'!$BG$7,'Input Data'!$BG$8))-'Input Data'!$BG$5),0)*VLOOKUP($G172,'Input Data'!$BI$3:$BL$10,3,FALSE),MAX((AF172-IF(OR($G172="M (under 21)",$G172="Z (under 21 - deferment)"),'Input Data'!$BG$6,IF($G172="H (Apprentice under 25)",'Input Data'!$BG$7,'Input Data'!$BG$8))),0)*VLOOKUP($G172,'Input Data'!$BI$3:$BL$10,4,FALSE))))</f>
        <v>0</v>
      </c>
      <c r="AO172" s="56">
        <f>IF($G172="",0,IF(NOT(OR($G172="A - All employees not in groups B, C, J, H, M or Z",$G172="B - Married women and widows entitled to reduced NI",$G172="C - Over the State Pension age",$G172="H - Apprentice under 25",$G172="J – Deferment",$G172="M - Under 21",$G172="Z - Deferment (Under 21)",$G172="Please Enter The NI Cont. in ££££")),$G172,SUM(MAX(MIN(AG172-'Input Data'!$BG$3,'Input Data'!$BG$5-'Input Data'!$BG$3),0)*VLOOKUP($G172,'Input Data'!$BI$3:$BL$10,2,FALSE),MAX(MIN(AG172-'Input Data'!$BG$5,IF(OR($G172="M (under 21)",$G172="Z (under 21 - deferment)"),'Input Data'!$BG$6,IF($G172="H (Apprentice under 25)",'Input Data'!$BG$7,'Input Data'!$BG$8))-'Input Data'!$BG$5),0)*VLOOKUP($G172,'Input Data'!$BI$3:$BL$10,3,FALSE),MAX((AG172-IF(OR($G172="M (under 21)",$G172="Z (under 21 - deferment)"),'Input Data'!$BG$6,IF($G172="H (Apprentice under 25)",'Input Data'!$BG$7,'Input Data'!$BG$8))),0)*VLOOKUP($G172,'Input Data'!$BI$3:$BL$10,4,FALSE))))</f>
        <v>0</v>
      </c>
      <c r="AP172" s="56">
        <f>IF($G172="",0,IF(NOT(OR($G172="A - All employees not in groups B, C, J, H, M or Z",$G172="B - Married women and widows entitled to reduced NI",$G172="C - Over the State Pension age",$G172="H - Apprentice under 25",$G172="J – Deferment",$G172="M - Under 21",$G172="Z - Deferment (Under 21)",$G172="Please Enter The NI Cont. in ££££")),$G172,SUM(MAX(MIN(AH172-'Input Data'!$BG$3,'Input Data'!$BG$5-'Input Data'!$BG$3),0)*VLOOKUP($G172,'Input Data'!$BI$3:$BL$10,2,FALSE),MAX(MIN(AH172-'Input Data'!$BG$5,IF(OR($G172="M (under 21)",$G172="Z (under 21 - deferment)"),'Input Data'!$BG$6,IF($G172="H (Apprentice under 25)",'Input Data'!$BG$7,'Input Data'!$BG$8))-'Input Data'!$BG$5),0)*VLOOKUP($G172,'Input Data'!$BI$3:$BL$10,3,FALSE),MAX((AH172-IF(OR($G172="M (under 21)",$G172="Z (under 21 - deferment)"),'Input Data'!$BG$6,IF($G172="H (Apprentice under 25)",'Input Data'!$BG$7,'Input Data'!$BG$8))),0)*VLOOKUP($G172,'Input Data'!$BI$3:$BL$10,4,FALSE))))</f>
        <v>0</v>
      </c>
      <c r="AQ172" s="56">
        <f>IF($G172="",0,IF(NOT(OR($G172="A - All employees not in groups B, C, J, H, M or Z",$G172="B - Married women and widows entitled to reduced NI",$G172="C - Over the State Pension age",$G172="H - Apprentice under 25",$G172="J – Deferment",$G172="M - Under 21",$G172="Z - Deferment (Under 21)",$G172="Please Enter The NI Cont. in ££££")),$G172,SUM(MAX(MIN(AI172-'Input Data'!$BG$3,'Input Data'!$BG$5-'Input Data'!$BG$3),0)*VLOOKUP($G172,'Input Data'!$BI$3:$BL$10,2,FALSE),MAX(MIN(AI172-'Input Data'!$BG$5,IF(OR($G172="M (under 21)",$G172="Z (under 21 - deferment)"),'Input Data'!$BG$6,IF($G172="H (Apprentice under 25)",'Input Data'!$BG$7,'Input Data'!$BG$8))-'Input Data'!$BG$5),0)*VLOOKUP($G172,'Input Data'!$BI$3:$BL$10,3,FALSE),MAX((AI172-IF(OR($G172="M (under 21)",$G172="Z (under 21 - deferment)"),'Input Data'!$BG$6,IF($G172="H (Apprentice under 25)",'Input Data'!$BG$7,'Input Data'!$BG$8))),0)*VLOOKUP($G172,'Input Data'!$BI$3:$BL$10,4,FALSE))))</f>
        <v>0</v>
      </c>
      <c r="AR172" s="56">
        <f>IF($G172="",0,IF(NOT(OR($G172="A - All employees not in groups B, C, J, H, M or Z",$G172="B - Married women and widows entitled to reduced NI",$G172="C - Over the State Pension age",$G172="H - Apprentice under 25",$G172="J – Deferment",$G172="M - Under 21",$G172="Z - Deferment (Under 21)",$G172="Please Enter The NI Cont. in ££££")),$G172,SUM(MAX(MIN(AJ172-'Input Data'!$BG$3,'Input Data'!$BG$5-'Input Data'!$BG$3),0)*VLOOKUP($G172,'Input Data'!$BI$3:$BL$10,2,FALSE),MAX(MIN(AJ172-'Input Data'!$BG$5,IF(OR($G172="M (under 21)",$G172="Z (under 21 - deferment)"),'Input Data'!$BG$6,IF($G172="H (Apprentice under 25)",'Input Data'!$BG$7,'Input Data'!$BG$8))-'Input Data'!$BG$5),0)*VLOOKUP($G172,'Input Data'!$BI$3:$BL$10,3,FALSE),MAX((AJ172-IF(OR($G172="M (under 21)",$G172="Z (under 21 - deferment)"),'Input Data'!$BG$6,IF($G172="H (Apprentice under 25)",'Input Data'!$BG$7,'Input Data'!$BG$8))),0)*VLOOKUP($G172,'Input Data'!$BI$3:$BL$10,4,FALSE))))</f>
        <v>0</v>
      </c>
      <c r="AS172" s="56">
        <f>AC172*$F172</f>
        <v>0</v>
      </c>
      <c r="AT172" s="56">
        <f>AD172*$F172</f>
        <v>0</v>
      </c>
      <c r="AU172" s="56">
        <f>AE172*$F172</f>
        <v>0</v>
      </c>
      <c r="AV172" s="56">
        <f>AF172*$F172</f>
        <v>0</v>
      </c>
      <c r="AW172" s="56">
        <f>AG172*$F172</f>
        <v>0</v>
      </c>
      <c r="AX172" s="56">
        <f>AH172*$F172</f>
        <v>0</v>
      </c>
      <c r="AY172" s="56">
        <f>AI172*$F172</f>
        <v>0</v>
      </c>
      <c r="AZ172" s="56">
        <f>AJ172*$F172</f>
        <v>0</v>
      </c>
    </row>
    <row r="173" spans="2:52" ht="25.5">
      <c r="B173" s="60"/>
      <c r="C173" s="57" t="s">
        <v>67</v>
      </c>
      <c r="D173" s="58"/>
      <c r="E173" s="58"/>
      <c r="F173" s="535"/>
      <c r="G173" s="693" t="s">
        <v>1149</v>
      </c>
      <c r="H173" s="65"/>
      <c r="I173" s="65"/>
      <c r="J173" s="65"/>
      <c r="K173" s="65"/>
      <c r="L173" s="65"/>
      <c r="M173" s="65"/>
      <c r="N173" s="65"/>
      <c r="O173" s="65"/>
      <c r="P173" s="29"/>
      <c r="Q173" s="597"/>
      <c r="R173" s="61"/>
      <c r="T173" s="43">
        <f>SUM(AC173,AK173,AS173)</f>
        <v>0</v>
      </c>
      <c r="U173" s="43">
        <f>SUM(AD173,AL173,AT173)</f>
        <v>0</v>
      </c>
      <c r="V173" s="43">
        <f>SUM(AE173,AM173,AU173)</f>
        <v>0</v>
      </c>
      <c r="W173" s="43">
        <f>SUM(AF173,AN173,AV173)</f>
        <v>0</v>
      </c>
      <c r="X173" s="43">
        <f>SUM(AG173,AO173,AW173)</f>
        <v>0</v>
      </c>
      <c r="Y173" s="43">
        <f>SUM(AH173,AP173,AX173)</f>
        <v>0</v>
      </c>
      <c r="Z173" s="43">
        <f>SUM(AI173,AQ173,AY173)</f>
        <v>0</v>
      </c>
      <c r="AA173" s="43">
        <f>SUM(AJ173,AR173,AZ173)</f>
        <v>0</v>
      </c>
      <c r="AC173" s="631">
        <f>SUM($D173:$E173)*H173</f>
        <v>0</v>
      </c>
      <c r="AD173" s="631">
        <f>SUM($D173:$E173)*I173</f>
        <v>0</v>
      </c>
      <c r="AE173" s="631">
        <f>SUM($D173:$E173)*J173</f>
        <v>0</v>
      </c>
      <c r="AF173" s="631">
        <f>SUM($D173:$E173)*K173</f>
        <v>0</v>
      </c>
      <c r="AG173" s="631">
        <f>SUM($D173:$E173)*L173</f>
        <v>0</v>
      </c>
      <c r="AH173" s="631">
        <f>SUM($D173:$E173)*M173</f>
        <v>0</v>
      </c>
      <c r="AI173" s="631">
        <f>SUM($D173:$E173)*N173</f>
        <v>0</v>
      </c>
      <c r="AJ173" s="631">
        <f>SUM($D173:$E173)*O173</f>
        <v>0</v>
      </c>
      <c r="AK173" s="56">
        <f>IF($G173="",0,IF(NOT(OR($G173="A - All employees not in groups B, C, J, H, M or Z",$G173="B - Married women and widows entitled to reduced NI",$G173="C - Over the State Pension age",$G173="H - Apprentice under 25",$G173="J – Deferment",$G173="M - Under 21",$G173="Z - Deferment (Under 21)",$G173="Please Enter The NI Cont. in ££££")),$G173,SUM(MAX(MIN(AC173-'Input Data'!$BG$3,'Input Data'!$BG$5-'Input Data'!$BG$3),0)*VLOOKUP($G173,'Input Data'!$BI$3:$BL$10,2,FALSE),MAX(MIN(AC173-'Input Data'!$BG$5,IF(OR($G173="M (under 21)",$G173="Z (under 21 - deferment)"),'Input Data'!$BG$6,IF($G173="H (Apprentice under 25)",'Input Data'!$BG$7,'Input Data'!$BG$8))-'Input Data'!$BG$5),0)*VLOOKUP($G173,'Input Data'!$BI$3:$BL$10,3,FALSE),MAX((AC173-IF(OR($G173="M (under 21)",$G173="Z (under 21 - deferment)"),'Input Data'!$BG$6,IF($G173="H (Apprentice under 25)",'Input Data'!$BG$7,'Input Data'!$BG$8))),0)*VLOOKUP($G173,'Input Data'!$BI$3:$BL$10,4,FALSE))))</f>
        <v>0</v>
      </c>
      <c r="AL173" s="56">
        <f>IF($G173="",0,IF(NOT(OR($G173="A - All employees not in groups B, C, J, H, M or Z",$G173="B - Married women and widows entitled to reduced NI",$G173="C - Over the State Pension age",$G173="H - Apprentice under 25",$G173="J – Deferment",$G173="M - Under 21",$G173="Z - Deferment (Under 21)",$G173="Please Enter The NI Cont. in ££££")),$G173,SUM(MAX(MIN(AD173-'Input Data'!$BG$3,'Input Data'!$BG$5-'Input Data'!$BG$3),0)*VLOOKUP($G173,'Input Data'!$BI$3:$BL$10,2,FALSE),MAX(MIN(AD173-'Input Data'!$BG$5,IF(OR($G173="M (under 21)",$G173="Z (under 21 - deferment)"),'Input Data'!$BG$6,IF($G173="H (Apprentice under 25)",'Input Data'!$BG$7,'Input Data'!$BG$8))-'Input Data'!$BG$5),0)*VLOOKUP($G173,'Input Data'!$BI$3:$BL$10,3,FALSE),MAX((AD173-IF(OR($G173="M (under 21)",$G173="Z (under 21 - deferment)"),'Input Data'!$BG$6,IF($G173="H (Apprentice under 25)",'Input Data'!$BG$7,'Input Data'!$BG$8))),0)*VLOOKUP($G173,'Input Data'!$BI$3:$BL$10,4,FALSE))))</f>
        <v>0</v>
      </c>
      <c r="AM173" s="56">
        <f>IF($G173="",0,IF(NOT(OR($G173="A - All employees not in groups B, C, J, H, M or Z",$G173="B - Married women and widows entitled to reduced NI",$G173="C - Over the State Pension age",$G173="H - Apprentice under 25",$G173="J – Deferment",$G173="M - Under 21",$G173="Z - Deferment (Under 21)",$G173="Please Enter The NI Cont. in ££££")),$G173,SUM(MAX(MIN(AE173-'Input Data'!$BG$3,'Input Data'!$BG$5-'Input Data'!$BG$3),0)*VLOOKUP($G173,'Input Data'!$BI$3:$BL$10,2,FALSE),MAX(MIN(AE173-'Input Data'!$BG$5,IF(OR($G173="M (under 21)",$G173="Z (under 21 - deferment)"),'Input Data'!$BG$6,IF($G173="H (Apprentice under 25)",'Input Data'!$BG$7,'Input Data'!$BG$8))-'Input Data'!$BG$5),0)*VLOOKUP($G173,'Input Data'!$BI$3:$BL$10,3,FALSE),MAX((AE173-IF(OR($G173="M (under 21)",$G173="Z (under 21 - deferment)"),'Input Data'!$BG$6,IF($G173="H (Apprentice under 25)",'Input Data'!$BG$7,'Input Data'!$BG$8))),0)*VLOOKUP($G173,'Input Data'!$BI$3:$BL$10,4,FALSE))))</f>
        <v>0</v>
      </c>
      <c r="AN173" s="56">
        <f>IF($G173="",0,IF(NOT(OR($G173="A - All employees not in groups B, C, J, H, M or Z",$G173="B - Married women and widows entitled to reduced NI",$G173="C - Over the State Pension age",$G173="H - Apprentice under 25",$G173="J – Deferment",$G173="M - Under 21",$G173="Z - Deferment (Under 21)",$G173="Please Enter The NI Cont. in ££££")),$G173,SUM(MAX(MIN(AF173-'Input Data'!$BG$3,'Input Data'!$BG$5-'Input Data'!$BG$3),0)*VLOOKUP($G173,'Input Data'!$BI$3:$BL$10,2,FALSE),MAX(MIN(AF173-'Input Data'!$BG$5,IF(OR($G173="M (under 21)",$G173="Z (under 21 - deferment)"),'Input Data'!$BG$6,IF($G173="H (Apprentice under 25)",'Input Data'!$BG$7,'Input Data'!$BG$8))-'Input Data'!$BG$5),0)*VLOOKUP($G173,'Input Data'!$BI$3:$BL$10,3,FALSE),MAX((AF173-IF(OR($G173="M (under 21)",$G173="Z (under 21 - deferment)"),'Input Data'!$BG$6,IF($G173="H (Apprentice under 25)",'Input Data'!$BG$7,'Input Data'!$BG$8))),0)*VLOOKUP($G173,'Input Data'!$BI$3:$BL$10,4,FALSE))))</f>
        <v>0</v>
      </c>
      <c r="AO173" s="56">
        <f>IF($G173="",0,IF(NOT(OR($G173="A - All employees not in groups B, C, J, H, M or Z",$G173="B - Married women and widows entitled to reduced NI",$G173="C - Over the State Pension age",$G173="H - Apprentice under 25",$G173="J – Deferment",$G173="M - Under 21",$G173="Z - Deferment (Under 21)",$G173="Please Enter The NI Cont. in ££££")),$G173,SUM(MAX(MIN(AG173-'Input Data'!$BG$3,'Input Data'!$BG$5-'Input Data'!$BG$3),0)*VLOOKUP($G173,'Input Data'!$BI$3:$BL$10,2,FALSE),MAX(MIN(AG173-'Input Data'!$BG$5,IF(OR($G173="M (under 21)",$G173="Z (under 21 - deferment)"),'Input Data'!$BG$6,IF($G173="H (Apprentice under 25)",'Input Data'!$BG$7,'Input Data'!$BG$8))-'Input Data'!$BG$5),0)*VLOOKUP($G173,'Input Data'!$BI$3:$BL$10,3,FALSE),MAX((AG173-IF(OR($G173="M (under 21)",$G173="Z (under 21 - deferment)"),'Input Data'!$BG$6,IF($G173="H (Apprentice under 25)",'Input Data'!$BG$7,'Input Data'!$BG$8))),0)*VLOOKUP($G173,'Input Data'!$BI$3:$BL$10,4,FALSE))))</f>
        <v>0</v>
      </c>
      <c r="AP173" s="56">
        <f>IF($G173="",0,IF(NOT(OR($G173="A - All employees not in groups B, C, J, H, M or Z",$G173="B - Married women and widows entitled to reduced NI",$G173="C - Over the State Pension age",$G173="H - Apprentice under 25",$G173="J – Deferment",$G173="M - Under 21",$G173="Z - Deferment (Under 21)",$G173="Please Enter The NI Cont. in ££££")),$G173,SUM(MAX(MIN(AH173-'Input Data'!$BG$3,'Input Data'!$BG$5-'Input Data'!$BG$3),0)*VLOOKUP($G173,'Input Data'!$BI$3:$BL$10,2,FALSE),MAX(MIN(AH173-'Input Data'!$BG$5,IF(OR($G173="M (under 21)",$G173="Z (under 21 - deferment)"),'Input Data'!$BG$6,IF($G173="H (Apprentice under 25)",'Input Data'!$BG$7,'Input Data'!$BG$8))-'Input Data'!$BG$5),0)*VLOOKUP($G173,'Input Data'!$BI$3:$BL$10,3,FALSE),MAX((AH173-IF(OR($G173="M (under 21)",$G173="Z (under 21 - deferment)"),'Input Data'!$BG$6,IF($G173="H (Apprentice under 25)",'Input Data'!$BG$7,'Input Data'!$BG$8))),0)*VLOOKUP($G173,'Input Data'!$BI$3:$BL$10,4,FALSE))))</f>
        <v>0</v>
      </c>
      <c r="AQ173" s="56">
        <f>IF($G173="",0,IF(NOT(OR($G173="A - All employees not in groups B, C, J, H, M or Z",$G173="B - Married women and widows entitled to reduced NI",$G173="C - Over the State Pension age",$G173="H - Apprentice under 25",$G173="J – Deferment",$G173="M - Under 21",$G173="Z - Deferment (Under 21)",$G173="Please Enter The NI Cont. in ££££")),$G173,SUM(MAX(MIN(AI173-'Input Data'!$BG$3,'Input Data'!$BG$5-'Input Data'!$BG$3),0)*VLOOKUP($G173,'Input Data'!$BI$3:$BL$10,2,FALSE),MAX(MIN(AI173-'Input Data'!$BG$5,IF(OR($G173="M (under 21)",$G173="Z (under 21 - deferment)"),'Input Data'!$BG$6,IF($G173="H (Apprentice under 25)",'Input Data'!$BG$7,'Input Data'!$BG$8))-'Input Data'!$BG$5),0)*VLOOKUP($G173,'Input Data'!$BI$3:$BL$10,3,FALSE),MAX((AI173-IF(OR($G173="M (under 21)",$G173="Z (under 21 - deferment)"),'Input Data'!$BG$6,IF($G173="H (Apprentice under 25)",'Input Data'!$BG$7,'Input Data'!$BG$8))),0)*VLOOKUP($G173,'Input Data'!$BI$3:$BL$10,4,FALSE))))</f>
        <v>0</v>
      </c>
      <c r="AR173" s="56">
        <f>IF($G173="",0,IF(NOT(OR($G173="A - All employees not in groups B, C, J, H, M or Z",$G173="B - Married women and widows entitled to reduced NI",$G173="C - Over the State Pension age",$G173="H - Apprentice under 25",$G173="J – Deferment",$G173="M - Under 21",$G173="Z - Deferment (Under 21)",$G173="Please Enter The NI Cont. in ££££")),$G173,SUM(MAX(MIN(AJ173-'Input Data'!$BG$3,'Input Data'!$BG$5-'Input Data'!$BG$3),0)*VLOOKUP($G173,'Input Data'!$BI$3:$BL$10,2,FALSE),MAX(MIN(AJ173-'Input Data'!$BG$5,IF(OR($G173="M (under 21)",$G173="Z (under 21 - deferment)"),'Input Data'!$BG$6,IF($G173="H (Apprentice under 25)",'Input Data'!$BG$7,'Input Data'!$BG$8))-'Input Data'!$BG$5),0)*VLOOKUP($G173,'Input Data'!$BI$3:$BL$10,3,FALSE),MAX((AJ173-IF(OR($G173="M (under 21)",$G173="Z (under 21 - deferment)"),'Input Data'!$BG$6,IF($G173="H (Apprentice under 25)",'Input Data'!$BG$7,'Input Data'!$BG$8))),0)*VLOOKUP($G173,'Input Data'!$BI$3:$BL$10,4,FALSE))))</f>
        <v>0</v>
      </c>
      <c r="AS173" s="56">
        <f>AC173*$F173</f>
        <v>0</v>
      </c>
      <c r="AT173" s="56">
        <f>AD173*$F173</f>
        <v>0</v>
      </c>
      <c r="AU173" s="56">
        <f>AE173*$F173</f>
        <v>0</v>
      </c>
      <c r="AV173" s="56">
        <f>AF173*$F173</f>
        <v>0</v>
      </c>
      <c r="AW173" s="56">
        <f>AG173*$F173</f>
        <v>0</v>
      </c>
      <c r="AX173" s="56">
        <f>AH173*$F173</f>
        <v>0</v>
      </c>
      <c r="AY173" s="56">
        <f>AI173*$F173</f>
        <v>0</v>
      </c>
      <c r="AZ173" s="56">
        <f>AJ173*$F173</f>
        <v>0</v>
      </c>
    </row>
    <row r="174" spans="2:52" ht="25.5">
      <c r="B174" s="60"/>
      <c r="C174" s="57" t="s">
        <v>68</v>
      </c>
      <c r="D174" s="58"/>
      <c r="E174" s="58"/>
      <c r="F174" s="535"/>
      <c r="G174" s="693" t="s">
        <v>1149</v>
      </c>
      <c r="H174" s="65"/>
      <c r="I174" s="65"/>
      <c r="J174" s="65"/>
      <c r="K174" s="65"/>
      <c r="L174" s="65"/>
      <c r="M174" s="65"/>
      <c r="N174" s="65"/>
      <c r="O174" s="65"/>
      <c r="P174" s="29"/>
      <c r="Q174" s="597"/>
      <c r="R174" s="61"/>
      <c r="T174" s="43">
        <f>SUM(AC174,AK174,AS174)</f>
        <v>0</v>
      </c>
      <c r="U174" s="43">
        <f>SUM(AD174,AL174,AT174)</f>
        <v>0</v>
      </c>
      <c r="V174" s="43">
        <f>SUM(AE174,AM174,AU174)</f>
        <v>0</v>
      </c>
      <c r="W174" s="43">
        <f>SUM(AF174,AN174,AV174)</f>
        <v>0</v>
      </c>
      <c r="X174" s="43">
        <f>SUM(AG174,AO174,AW174)</f>
        <v>0</v>
      </c>
      <c r="Y174" s="43">
        <f>SUM(AH174,AP174,AX174)</f>
        <v>0</v>
      </c>
      <c r="Z174" s="43">
        <f>SUM(AI174,AQ174,AY174)</f>
        <v>0</v>
      </c>
      <c r="AA174" s="43">
        <f>SUM(AJ174,AR174,AZ174)</f>
        <v>0</v>
      </c>
      <c r="AC174" s="631">
        <f>SUM($D174:$E174)*H174</f>
        <v>0</v>
      </c>
      <c r="AD174" s="631">
        <f>SUM($D174:$E174)*I174</f>
        <v>0</v>
      </c>
      <c r="AE174" s="631">
        <f>SUM($D174:$E174)*J174</f>
        <v>0</v>
      </c>
      <c r="AF174" s="631">
        <f>SUM($D174:$E174)*K174</f>
        <v>0</v>
      </c>
      <c r="AG174" s="631">
        <f>SUM($D174:$E174)*L174</f>
        <v>0</v>
      </c>
      <c r="AH174" s="631">
        <f>SUM($D174:$E174)*M174</f>
        <v>0</v>
      </c>
      <c r="AI174" s="631">
        <f>SUM($D174:$E174)*N174</f>
        <v>0</v>
      </c>
      <c r="AJ174" s="631">
        <f>SUM($D174:$E174)*O174</f>
        <v>0</v>
      </c>
      <c r="AK174" s="56">
        <f>IF($G174="",0,IF(NOT(OR($G174="A - All employees not in groups B, C, J, H, M or Z",$G174="B - Married women and widows entitled to reduced NI",$G174="C - Over the State Pension age",$G174="H - Apprentice under 25",$G174="J – Deferment",$G174="M - Under 21",$G174="Z - Deferment (Under 21)",$G174="Please Enter The NI Cont. in ££££")),$G174,SUM(MAX(MIN(AC174-'Input Data'!$BG$3,'Input Data'!$BG$5-'Input Data'!$BG$3),0)*VLOOKUP($G174,'Input Data'!$BI$3:$BL$10,2,FALSE),MAX(MIN(AC174-'Input Data'!$BG$5,IF(OR($G174="M (under 21)",$G174="Z (under 21 - deferment)"),'Input Data'!$BG$6,IF($G174="H (Apprentice under 25)",'Input Data'!$BG$7,'Input Data'!$BG$8))-'Input Data'!$BG$5),0)*VLOOKUP($G174,'Input Data'!$BI$3:$BL$10,3,FALSE),MAX((AC174-IF(OR($G174="M (under 21)",$G174="Z (under 21 - deferment)"),'Input Data'!$BG$6,IF($G174="H (Apprentice under 25)",'Input Data'!$BG$7,'Input Data'!$BG$8))),0)*VLOOKUP($G174,'Input Data'!$BI$3:$BL$10,4,FALSE))))</f>
        <v>0</v>
      </c>
      <c r="AL174" s="56">
        <f>IF($G174="",0,IF(NOT(OR($G174="A - All employees not in groups B, C, J, H, M or Z",$G174="B - Married women and widows entitled to reduced NI",$G174="C - Over the State Pension age",$G174="H - Apprentice under 25",$G174="J – Deferment",$G174="M - Under 21",$G174="Z - Deferment (Under 21)",$G174="Please Enter The NI Cont. in ££££")),$G174,SUM(MAX(MIN(AD174-'Input Data'!$BG$3,'Input Data'!$BG$5-'Input Data'!$BG$3),0)*VLOOKUP($G174,'Input Data'!$BI$3:$BL$10,2,FALSE),MAX(MIN(AD174-'Input Data'!$BG$5,IF(OR($G174="M (under 21)",$G174="Z (under 21 - deferment)"),'Input Data'!$BG$6,IF($G174="H (Apprentice under 25)",'Input Data'!$BG$7,'Input Data'!$BG$8))-'Input Data'!$BG$5),0)*VLOOKUP($G174,'Input Data'!$BI$3:$BL$10,3,FALSE),MAX((AD174-IF(OR($G174="M (under 21)",$G174="Z (under 21 - deferment)"),'Input Data'!$BG$6,IF($G174="H (Apprentice under 25)",'Input Data'!$BG$7,'Input Data'!$BG$8))),0)*VLOOKUP($G174,'Input Data'!$BI$3:$BL$10,4,FALSE))))</f>
        <v>0</v>
      </c>
      <c r="AM174" s="56">
        <f>IF($G174="",0,IF(NOT(OR($G174="A - All employees not in groups B, C, J, H, M or Z",$G174="B - Married women and widows entitled to reduced NI",$G174="C - Over the State Pension age",$G174="H - Apprentice under 25",$G174="J – Deferment",$G174="M - Under 21",$G174="Z - Deferment (Under 21)",$G174="Please Enter The NI Cont. in ££££")),$G174,SUM(MAX(MIN(AE174-'Input Data'!$BG$3,'Input Data'!$BG$5-'Input Data'!$BG$3),0)*VLOOKUP($G174,'Input Data'!$BI$3:$BL$10,2,FALSE),MAX(MIN(AE174-'Input Data'!$BG$5,IF(OR($G174="M (under 21)",$G174="Z (under 21 - deferment)"),'Input Data'!$BG$6,IF($G174="H (Apprentice under 25)",'Input Data'!$BG$7,'Input Data'!$BG$8))-'Input Data'!$BG$5),0)*VLOOKUP($G174,'Input Data'!$BI$3:$BL$10,3,FALSE),MAX((AE174-IF(OR($G174="M (under 21)",$G174="Z (under 21 - deferment)"),'Input Data'!$BG$6,IF($G174="H (Apprentice under 25)",'Input Data'!$BG$7,'Input Data'!$BG$8))),0)*VLOOKUP($G174,'Input Data'!$BI$3:$BL$10,4,FALSE))))</f>
        <v>0</v>
      </c>
      <c r="AN174" s="56">
        <f>IF($G174="",0,IF(NOT(OR($G174="A - All employees not in groups B, C, J, H, M or Z",$G174="B - Married women and widows entitled to reduced NI",$G174="C - Over the State Pension age",$G174="H - Apprentice under 25",$G174="J – Deferment",$G174="M - Under 21",$G174="Z - Deferment (Under 21)",$G174="Please Enter The NI Cont. in ££££")),$G174,SUM(MAX(MIN(AF174-'Input Data'!$BG$3,'Input Data'!$BG$5-'Input Data'!$BG$3),0)*VLOOKUP($G174,'Input Data'!$BI$3:$BL$10,2,FALSE),MAX(MIN(AF174-'Input Data'!$BG$5,IF(OR($G174="M (under 21)",$G174="Z (under 21 - deferment)"),'Input Data'!$BG$6,IF($G174="H (Apprentice under 25)",'Input Data'!$BG$7,'Input Data'!$BG$8))-'Input Data'!$BG$5),0)*VLOOKUP($G174,'Input Data'!$BI$3:$BL$10,3,FALSE),MAX((AF174-IF(OR($G174="M (under 21)",$G174="Z (under 21 - deferment)"),'Input Data'!$BG$6,IF($G174="H (Apprentice under 25)",'Input Data'!$BG$7,'Input Data'!$BG$8))),0)*VLOOKUP($G174,'Input Data'!$BI$3:$BL$10,4,FALSE))))</f>
        <v>0</v>
      </c>
      <c r="AO174" s="56">
        <f>IF($G174="",0,IF(NOT(OR($G174="A - All employees not in groups B, C, J, H, M or Z",$G174="B - Married women and widows entitled to reduced NI",$G174="C - Over the State Pension age",$G174="H - Apprentice under 25",$G174="J – Deferment",$G174="M - Under 21",$G174="Z - Deferment (Under 21)",$G174="Please Enter The NI Cont. in ££££")),$G174,SUM(MAX(MIN(AG174-'Input Data'!$BG$3,'Input Data'!$BG$5-'Input Data'!$BG$3),0)*VLOOKUP($G174,'Input Data'!$BI$3:$BL$10,2,FALSE),MAX(MIN(AG174-'Input Data'!$BG$5,IF(OR($G174="M (under 21)",$G174="Z (under 21 - deferment)"),'Input Data'!$BG$6,IF($G174="H (Apprentice under 25)",'Input Data'!$BG$7,'Input Data'!$BG$8))-'Input Data'!$BG$5),0)*VLOOKUP($G174,'Input Data'!$BI$3:$BL$10,3,FALSE),MAX((AG174-IF(OR($G174="M (under 21)",$G174="Z (under 21 - deferment)"),'Input Data'!$BG$6,IF($G174="H (Apprentice under 25)",'Input Data'!$BG$7,'Input Data'!$BG$8))),0)*VLOOKUP($G174,'Input Data'!$BI$3:$BL$10,4,FALSE))))</f>
        <v>0</v>
      </c>
      <c r="AP174" s="56">
        <f>IF($G174="",0,IF(NOT(OR($G174="A - All employees not in groups B, C, J, H, M or Z",$G174="B - Married women and widows entitled to reduced NI",$G174="C - Over the State Pension age",$G174="H - Apprentice under 25",$G174="J – Deferment",$G174="M - Under 21",$G174="Z - Deferment (Under 21)",$G174="Please Enter The NI Cont. in ££££")),$G174,SUM(MAX(MIN(AH174-'Input Data'!$BG$3,'Input Data'!$BG$5-'Input Data'!$BG$3),0)*VLOOKUP($G174,'Input Data'!$BI$3:$BL$10,2,FALSE),MAX(MIN(AH174-'Input Data'!$BG$5,IF(OR($G174="M (under 21)",$G174="Z (under 21 - deferment)"),'Input Data'!$BG$6,IF($G174="H (Apprentice under 25)",'Input Data'!$BG$7,'Input Data'!$BG$8))-'Input Data'!$BG$5),0)*VLOOKUP($G174,'Input Data'!$BI$3:$BL$10,3,FALSE),MAX((AH174-IF(OR($G174="M (under 21)",$G174="Z (under 21 - deferment)"),'Input Data'!$BG$6,IF($G174="H (Apprentice under 25)",'Input Data'!$BG$7,'Input Data'!$BG$8))),0)*VLOOKUP($G174,'Input Data'!$BI$3:$BL$10,4,FALSE))))</f>
        <v>0</v>
      </c>
      <c r="AQ174" s="56">
        <f>IF($G174="",0,IF(NOT(OR($G174="A - All employees not in groups B, C, J, H, M or Z",$G174="B - Married women and widows entitled to reduced NI",$G174="C - Over the State Pension age",$G174="H - Apprentice under 25",$G174="J – Deferment",$G174="M - Under 21",$G174="Z - Deferment (Under 21)",$G174="Please Enter The NI Cont. in ££££")),$G174,SUM(MAX(MIN(AI174-'Input Data'!$BG$3,'Input Data'!$BG$5-'Input Data'!$BG$3),0)*VLOOKUP($G174,'Input Data'!$BI$3:$BL$10,2,FALSE),MAX(MIN(AI174-'Input Data'!$BG$5,IF(OR($G174="M (under 21)",$G174="Z (under 21 - deferment)"),'Input Data'!$BG$6,IF($G174="H (Apprentice under 25)",'Input Data'!$BG$7,'Input Data'!$BG$8))-'Input Data'!$BG$5),0)*VLOOKUP($G174,'Input Data'!$BI$3:$BL$10,3,FALSE),MAX((AI174-IF(OR($G174="M (under 21)",$G174="Z (under 21 - deferment)"),'Input Data'!$BG$6,IF($G174="H (Apprentice under 25)",'Input Data'!$BG$7,'Input Data'!$BG$8))),0)*VLOOKUP($G174,'Input Data'!$BI$3:$BL$10,4,FALSE))))</f>
        <v>0</v>
      </c>
      <c r="AR174" s="56">
        <f>IF($G174="",0,IF(NOT(OR($G174="A - All employees not in groups B, C, J, H, M or Z",$G174="B - Married women and widows entitled to reduced NI",$G174="C - Over the State Pension age",$G174="H - Apprentice under 25",$G174="J – Deferment",$G174="M - Under 21",$G174="Z - Deferment (Under 21)",$G174="Please Enter The NI Cont. in ££££")),$G174,SUM(MAX(MIN(AJ174-'Input Data'!$BG$3,'Input Data'!$BG$5-'Input Data'!$BG$3),0)*VLOOKUP($G174,'Input Data'!$BI$3:$BL$10,2,FALSE),MAX(MIN(AJ174-'Input Data'!$BG$5,IF(OR($G174="M (under 21)",$G174="Z (under 21 - deferment)"),'Input Data'!$BG$6,IF($G174="H (Apprentice under 25)",'Input Data'!$BG$7,'Input Data'!$BG$8))-'Input Data'!$BG$5),0)*VLOOKUP($G174,'Input Data'!$BI$3:$BL$10,3,FALSE),MAX((AJ174-IF(OR($G174="M (under 21)",$G174="Z (under 21 - deferment)"),'Input Data'!$BG$6,IF($G174="H (Apprentice under 25)",'Input Data'!$BG$7,'Input Data'!$BG$8))),0)*VLOOKUP($G174,'Input Data'!$BI$3:$BL$10,4,FALSE))))</f>
        <v>0</v>
      </c>
      <c r="AS174" s="56">
        <f>AC174*$F174</f>
        <v>0</v>
      </c>
      <c r="AT174" s="56">
        <f>AD174*$F174</f>
        <v>0</v>
      </c>
      <c r="AU174" s="56">
        <f>AE174*$F174</f>
        <v>0</v>
      </c>
      <c r="AV174" s="56">
        <f>AF174*$F174</f>
        <v>0</v>
      </c>
      <c r="AW174" s="56">
        <f>AG174*$F174</f>
        <v>0</v>
      </c>
      <c r="AX174" s="56">
        <f>AH174*$F174</f>
        <v>0</v>
      </c>
      <c r="AY174" s="56">
        <f>AI174*$F174</f>
        <v>0</v>
      </c>
      <c r="AZ174" s="56">
        <f>AJ174*$F174</f>
        <v>0</v>
      </c>
    </row>
    <row r="175" spans="2:52" ht="25.5">
      <c r="B175" s="60"/>
      <c r="C175" s="57" t="s">
        <v>69</v>
      </c>
      <c r="D175" s="58"/>
      <c r="E175" s="58"/>
      <c r="F175" s="535"/>
      <c r="G175" s="693" t="s">
        <v>1149</v>
      </c>
      <c r="H175" s="65"/>
      <c r="I175" s="65"/>
      <c r="J175" s="65"/>
      <c r="K175" s="65"/>
      <c r="L175" s="65"/>
      <c r="M175" s="65"/>
      <c r="N175" s="65"/>
      <c r="O175" s="65"/>
      <c r="P175" s="29"/>
      <c r="Q175" s="597"/>
      <c r="R175" s="61"/>
      <c r="T175" s="43">
        <f>SUM(AC175,AK175,AS175)</f>
        <v>0</v>
      </c>
      <c r="U175" s="43">
        <f>SUM(AD175,AL175,AT175)</f>
        <v>0</v>
      </c>
      <c r="V175" s="43">
        <f>SUM(AE175,AM175,AU175)</f>
        <v>0</v>
      </c>
      <c r="W175" s="43">
        <f>SUM(AF175,AN175,AV175)</f>
        <v>0</v>
      </c>
      <c r="X175" s="43">
        <f>SUM(AG175,AO175,AW175)</f>
        <v>0</v>
      </c>
      <c r="Y175" s="43">
        <f>SUM(AH175,AP175,AX175)</f>
        <v>0</v>
      </c>
      <c r="Z175" s="43">
        <f>SUM(AI175,AQ175,AY175)</f>
        <v>0</v>
      </c>
      <c r="AA175" s="43">
        <f>SUM(AJ175,AR175,AZ175)</f>
        <v>0</v>
      </c>
      <c r="AC175" s="631">
        <f>SUM($D175:$E175)*H175</f>
        <v>0</v>
      </c>
      <c r="AD175" s="631">
        <f>SUM($D175:$E175)*I175</f>
        <v>0</v>
      </c>
      <c r="AE175" s="631">
        <f>SUM($D175:$E175)*J175</f>
        <v>0</v>
      </c>
      <c r="AF175" s="631">
        <f>SUM($D175:$E175)*K175</f>
        <v>0</v>
      </c>
      <c r="AG175" s="631">
        <f>SUM($D175:$E175)*L175</f>
        <v>0</v>
      </c>
      <c r="AH175" s="631">
        <f>SUM($D175:$E175)*M175</f>
        <v>0</v>
      </c>
      <c r="AI175" s="631">
        <f>SUM($D175:$E175)*N175</f>
        <v>0</v>
      </c>
      <c r="AJ175" s="631">
        <f>SUM($D175:$E175)*O175</f>
        <v>0</v>
      </c>
      <c r="AK175" s="56">
        <f>IF($G175="",0,IF(NOT(OR($G175="A - All employees not in groups B, C, J, H, M or Z",$G175="B - Married women and widows entitled to reduced NI",$G175="C - Over the State Pension age",$G175="H - Apprentice under 25",$G175="J – Deferment",$G175="M - Under 21",$G175="Z - Deferment (Under 21)",$G175="Please Enter The NI Cont. in ££££")),$G175,SUM(MAX(MIN(AC175-'Input Data'!$BG$3,'Input Data'!$BG$5-'Input Data'!$BG$3),0)*VLOOKUP($G175,'Input Data'!$BI$3:$BL$10,2,FALSE),MAX(MIN(AC175-'Input Data'!$BG$5,IF(OR($G175="M (under 21)",$G175="Z (under 21 - deferment)"),'Input Data'!$BG$6,IF($G175="H (Apprentice under 25)",'Input Data'!$BG$7,'Input Data'!$BG$8))-'Input Data'!$BG$5),0)*VLOOKUP($G175,'Input Data'!$BI$3:$BL$10,3,FALSE),MAX((AC175-IF(OR($G175="M (under 21)",$G175="Z (under 21 - deferment)"),'Input Data'!$BG$6,IF($G175="H (Apprentice under 25)",'Input Data'!$BG$7,'Input Data'!$BG$8))),0)*VLOOKUP($G175,'Input Data'!$BI$3:$BL$10,4,FALSE))))</f>
        <v>0</v>
      </c>
      <c r="AL175" s="56">
        <f>IF($G175="",0,IF(NOT(OR($G175="A - All employees not in groups B, C, J, H, M or Z",$G175="B - Married women and widows entitled to reduced NI",$G175="C - Over the State Pension age",$G175="H - Apprentice under 25",$G175="J – Deferment",$G175="M - Under 21",$G175="Z - Deferment (Under 21)",$G175="Please Enter The NI Cont. in ££££")),$G175,SUM(MAX(MIN(AD175-'Input Data'!$BG$3,'Input Data'!$BG$5-'Input Data'!$BG$3),0)*VLOOKUP($G175,'Input Data'!$BI$3:$BL$10,2,FALSE),MAX(MIN(AD175-'Input Data'!$BG$5,IF(OR($G175="M (under 21)",$G175="Z (under 21 - deferment)"),'Input Data'!$BG$6,IF($G175="H (Apprentice under 25)",'Input Data'!$BG$7,'Input Data'!$BG$8))-'Input Data'!$BG$5),0)*VLOOKUP($G175,'Input Data'!$BI$3:$BL$10,3,FALSE),MAX((AD175-IF(OR($G175="M (under 21)",$G175="Z (under 21 - deferment)"),'Input Data'!$BG$6,IF($G175="H (Apprentice under 25)",'Input Data'!$BG$7,'Input Data'!$BG$8))),0)*VLOOKUP($G175,'Input Data'!$BI$3:$BL$10,4,FALSE))))</f>
        <v>0</v>
      </c>
      <c r="AM175" s="56">
        <f>IF($G175="",0,IF(NOT(OR($G175="A - All employees not in groups B, C, J, H, M or Z",$G175="B - Married women and widows entitled to reduced NI",$G175="C - Over the State Pension age",$G175="H - Apprentice under 25",$G175="J – Deferment",$G175="M - Under 21",$G175="Z - Deferment (Under 21)",$G175="Please Enter The NI Cont. in ££££")),$G175,SUM(MAX(MIN(AE175-'Input Data'!$BG$3,'Input Data'!$BG$5-'Input Data'!$BG$3),0)*VLOOKUP($G175,'Input Data'!$BI$3:$BL$10,2,FALSE),MAX(MIN(AE175-'Input Data'!$BG$5,IF(OR($G175="M (under 21)",$G175="Z (under 21 - deferment)"),'Input Data'!$BG$6,IF($G175="H (Apprentice under 25)",'Input Data'!$BG$7,'Input Data'!$BG$8))-'Input Data'!$BG$5),0)*VLOOKUP($G175,'Input Data'!$BI$3:$BL$10,3,FALSE),MAX((AE175-IF(OR($G175="M (under 21)",$G175="Z (under 21 - deferment)"),'Input Data'!$BG$6,IF($G175="H (Apprentice under 25)",'Input Data'!$BG$7,'Input Data'!$BG$8))),0)*VLOOKUP($G175,'Input Data'!$BI$3:$BL$10,4,FALSE))))</f>
        <v>0</v>
      </c>
      <c r="AN175" s="56">
        <f>IF($G175="",0,IF(NOT(OR($G175="A - All employees not in groups B, C, J, H, M or Z",$G175="B - Married women and widows entitled to reduced NI",$G175="C - Over the State Pension age",$G175="H - Apprentice under 25",$G175="J – Deferment",$G175="M - Under 21",$G175="Z - Deferment (Under 21)",$G175="Please Enter The NI Cont. in ££££")),$G175,SUM(MAX(MIN(AF175-'Input Data'!$BG$3,'Input Data'!$BG$5-'Input Data'!$BG$3),0)*VLOOKUP($G175,'Input Data'!$BI$3:$BL$10,2,FALSE),MAX(MIN(AF175-'Input Data'!$BG$5,IF(OR($G175="M (under 21)",$G175="Z (under 21 - deferment)"),'Input Data'!$BG$6,IF($G175="H (Apprentice under 25)",'Input Data'!$BG$7,'Input Data'!$BG$8))-'Input Data'!$BG$5),0)*VLOOKUP($G175,'Input Data'!$BI$3:$BL$10,3,FALSE),MAX((AF175-IF(OR($G175="M (under 21)",$G175="Z (under 21 - deferment)"),'Input Data'!$BG$6,IF($G175="H (Apprentice under 25)",'Input Data'!$BG$7,'Input Data'!$BG$8))),0)*VLOOKUP($G175,'Input Data'!$BI$3:$BL$10,4,FALSE))))</f>
        <v>0</v>
      </c>
      <c r="AO175" s="56">
        <f>IF($G175="",0,IF(NOT(OR($G175="A - All employees not in groups B, C, J, H, M or Z",$G175="B - Married women and widows entitled to reduced NI",$G175="C - Over the State Pension age",$G175="H - Apprentice under 25",$G175="J – Deferment",$G175="M - Under 21",$G175="Z - Deferment (Under 21)",$G175="Please Enter The NI Cont. in ££££")),$G175,SUM(MAX(MIN(AG175-'Input Data'!$BG$3,'Input Data'!$BG$5-'Input Data'!$BG$3),0)*VLOOKUP($G175,'Input Data'!$BI$3:$BL$10,2,FALSE),MAX(MIN(AG175-'Input Data'!$BG$5,IF(OR($G175="M (under 21)",$G175="Z (under 21 - deferment)"),'Input Data'!$BG$6,IF($G175="H (Apprentice under 25)",'Input Data'!$BG$7,'Input Data'!$BG$8))-'Input Data'!$BG$5),0)*VLOOKUP($G175,'Input Data'!$BI$3:$BL$10,3,FALSE),MAX((AG175-IF(OR($G175="M (under 21)",$G175="Z (under 21 - deferment)"),'Input Data'!$BG$6,IF($G175="H (Apprentice under 25)",'Input Data'!$BG$7,'Input Data'!$BG$8))),0)*VLOOKUP($G175,'Input Data'!$BI$3:$BL$10,4,FALSE))))</f>
        <v>0</v>
      </c>
      <c r="AP175" s="56">
        <f>IF($G175="",0,IF(NOT(OR($G175="A - All employees not in groups B, C, J, H, M or Z",$G175="B - Married women and widows entitled to reduced NI",$G175="C - Over the State Pension age",$G175="H - Apprentice under 25",$G175="J – Deferment",$G175="M - Under 21",$G175="Z - Deferment (Under 21)",$G175="Please Enter The NI Cont. in ££££")),$G175,SUM(MAX(MIN(AH175-'Input Data'!$BG$3,'Input Data'!$BG$5-'Input Data'!$BG$3),0)*VLOOKUP($G175,'Input Data'!$BI$3:$BL$10,2,FALSE),MAX(MIN(AH175-'Input Data'!$BG$5,IF(OR($G175="M (under 21)",$G175="Z (under 21 - deferment)"),'Input Data'!$BG$6,IF($G175="H (Apprentice under 25)",'Input Data'!$BG$7,'Input Data'!$BG$8))-'Input Data'!$BG$5),0)*VLOOKUP($G175,'Input Data'!$BI$3:$BL$10,3,FALSE),MAX((AH175-IF(OR($G175="M (under 21)",$G175="Z (under 21 - deferment)"),'Input Data'!$BG$6,IF($G175="H (Apprentice under 25)",'Input Data'!$BG$7,'Input Data'!$BG$8))),0)*VLOOKUP($G175,'Input Data'!$BI$3:$BL$10,4,FALSE))))</f>
        <v>0</v>
      </c>
      <c r="AQ175" s="56">
        <f>IF($G175="",0,IF(NOT(OR($G175="A - All employees not in groups B, C, J, H, M or Z",$G175="B - Married women and widows entitled to reduced NI",$G175="C - Over the State Pension age",$G175="H - Apprentice under 25",$G175="J – Deferment",$G175="M - Under 21",$G175="Z - Deferment (Under 21)",$G175="Please Enter The NI Cont. in ££££")),$G175,SUM(MAX(MIN(AI175-'Input Data'!$BG$3,'Input Data'!$BG$5-'Input Data'!$BG$3),0)*VLOOKUP($G175,'Input Data'!$BI$3:$BL$10,2,FALSE),MAX(MIN(AI175-'Input Data'!$BG$5,IF(OR($G175="M (under 21)",$G175="Z (under 21 - deferment)"),'Input Data'!$BG$6,IF($G175="H (Apprentice under 25)",'Input Data'!$BG$7,'Input Data'!$BG$8))-'Input Data'!$BG$5),0)*VLOOKUP($G175,'Input Data'!$BI$3:$BL$10,3,FALSE),MAX((AI175-IF(OR($G175="M (under 21)",$G175="Z (under 21 - deferment)"),'Input Data'!$BG$6,IF($G175="H (Apprentice under 25)",'Input Data'!$BG$7,'Input Data'!$BG$8))),0)*VLOOKUP($G175,'Input Data'!$BI$3:$BL$10,4,FALSE))))</f>
        <v>0</v>
      </c>
      <c r="AR175" s="56">
        <f>IF($G175="",0,IF(NOT(OR($G175="A - All employees not in groups B, C, J, H, M or Z",$G175="B - Married women and widows entitled to reduced NI",$G175="C - Over the State Pension age",$G175="H - Apprentice under 25",$G175="J – Deferment",$G175="M - Under 21",$G175="Z - Deferment (Under 21)",$G175="Please Enter The NI Cont. in ££££")),$G175,SUM(MAX(MIN(AJ175-'Input Data'!$BG$3,'Input Data'!$BG$5-'Input Data'!$BG$3),0)*VLOOKUP($G175,'Input Data'!$BI$3:$BL$10,2,FALSE),MAX(MIN(AJ175-'Input Data'!$BG$5,IF(OR($G175="M (under 21)",$G175="Z (under 21 - deferment)"),'Input Data'!$BG$6,IF($G175="H (Apprentice under 25)",'Input Data'!$BG$7,'Input Data'!$BG$8))-'Input Data'!$BG$5),0)*VLOOKUP($G175,'Input Data'!$BI$3:$BL$10,3,FALSE),MAX((AJ175-IF(OR($G175="M (under 21)",$G175="Z (under 21 - deferment)"),'Input Data'!$BG$6,IF($G175="H (Apprentice under 25)",'Input Data'!$BG$7,'Input Data'!$BG$8))),0)*VLOOKUP($G175,'Input Data'!$BI$3:$BL$10,4,FALSE))))</f>
        <v>0</v>
      </c>
      <c r="AS175" s="56">
        <f>AC175*$F175</f>
        <v>0</v>
      </c>
      <c r="AT175" s="56">
        <f>AD175*$F175</f>
        <v>0</v>
      </c>
      <c r="AU175" s="56">
        <f>AE175*$F175</f>
        <v>0</v>
      </c>
      <c r="AV175" s="56">
        <f>AF175*$F175</f>
        <v>0</v>
      </c>
      <c r="AW175" s="56">
        <f>AG175*$F175</f>
        <v>0</v>
      </c>
      <c r="AX175" s="56">
        <f>AH175*$F175</f>
        <v>0</v>
      </c>
      <c r="AY175" s="56">
        <f>AI175*$F175</f>
        <v>0</v>
      </c>
      <c r="AZ175" s="56">
        <f>AJ175*$F175</f>
        <v>0</v>
      </c>
    </row>
    <row r="176" spans="2:52" ht="25.5">
      <c r="B176" s="60"/>
      <c r="C176" s="57" t="s">
        <v>70</v>
      </c>
      <c r="D176" s="58"/>
      <c r="E176" s="58"/>
      <c r="F176" s="535"/>
      <c r="G176" s="693" t="s">
        <v>1149</v>
      </c>
      <c r="H176" s="65"/>
      <c r="I176" s="65"/>
      <c r="J176" s="65"/>
      <c r="K176" s="65"/>
      <c r="L176" s="65"/>
      <c r="M176" s="65"/>
      <c r="N176" s="65"/>
      <c r="O176" s="65"/>
      <c r="P176" s="29"/>
      <c r="Q176" s="597"/>
      <c r="R176" s="61"/>
      <c r="T176" s="43">
        <f>SUM(AC176,AK176,AS176)</f>
        <v>0</v>
      </c>
      <c r="U176" s="43">
        <f>SUM(AD176,AL176,AT176)</f>
        <v>0</v>
      </c>
      <c r="V176" s="43">
        <f>SUM(AE176,AM176,AU176)</f>
        <v>0</v>
      </c>
      <c r="W176" s="43">
        <f>SUM(AF176,AN176,AV176)</f>
        <v>0</v>
      </c>
      <c r="X176" s="43">
        <f>SUM(AG176,AO176,AW176)</f>
        <v>0</v>
      </c>
      <c r="Y176" s="43">
        <f>SUM(AH176,AP176,AX176)</f>
        <v>0</v>
      </c>
      <c r="Z176" s="43">
        <f>SUM(AI176,AQ176,AY176)</f>
        <v>0</v>
      </c>
      <c r="AA176" s="43">
        <f>SUM(AJ176,AR176,AZ176)</f>
        <v>0</v>
      </c>
      <c r="AC176" s="631">
        <f>SUM($D176:$E176)*H176</f>
        <v>0</v>
      </c>
      <c r="AD176" s="631">
        <f>SUM($D176:$E176)*I176</f>
        <v>0</v>
      </c>
      <c r="AE176" s="631">
        <f>SUM($D176:$E176)*J176</f>
        <v>0</v>
      </c>
      <c r="AF176" s="631">
        <f>SUM($D176:$E176)*K176</f>
        <v>0</v>
      </c>
      <c r="AG176" s="631">
        <f>SUM($D176:$E176)*L176</f>
        <v>0</v>
      </c>
      <c r="AH176" s="631">
        <f>SUM($D176:$E176)*M176</f>
        <v>0</v>
      </c>
      <c r="AI176" s="631">
        <f>SUM($D176:$E176)*N176</f>
        <v>0</v>
      </c>
      <c r="AJ176" s="631">
        <f>SUM($D176:$E176)*O176</f>
        <v>0</v>
      </c>
      <c r="AK176" s="56">
        <f>IF($G176="",0,IF(NOT(OR($G176="A - All employees not in groups B, C, J, H, M or Z",$G176="B - Married women and widows entitled to reduced NI",$G176="C - Over the State Pension age",$G176="H - Apprentice under 25",$G176="J – Deferment",$G176="M - Under 21",$G176="Z - Deferment (Under 21)",$G176="Please Enter The NI Cont. in ££££")),$G176,SUM(MAX(MIN(AC176-'Input Data'!$BG$3,'Input Data'!$BG$5-'Input Data'!$BG$3),0)*VLOOKUP($G176,'Input Data'!$BI$3:$BL$10,2,FALSE),MAX(MIN(AC176-'Input Data'!$BG$5,IF(OR($G176="M (under 21)",$G176="Z (under 21 - deferment)"),'Input Data'!$BG$6,IF($G176="H (Apprentice under 25)",'Input Data'!$BG$7,'Input Data'!$BG$8))-'Input Data'!$BG$5),0)*VLOOKUP($G176,'Input Data'!$BI$3:$BL$10,3,FALSE),MAX((AC176-IF(OR($G176="M (under 21)",$G176="Z (under 21 - deferment)"),'Input Data'!$BG$6,IF($G176="H (Apprentice under 25)",'Input Data'!$BG$7,'Input Data'!$BG$8))),0)*VLOOKUP($G176,'Input Data'!$BI$3:$BL$10,4,FALSE))))</f>
        <v>0</v>
      </c>
      <c r="AL176" s="56">
        <f>IF($G176="",0,IF(NOT(OR($G176="A - All employees not in groups B, C, J, H, M or Z",$G176="B - Married women and widows entitled to reduced NI",$G176="C - Over the State Pension age",$G176="H - Apprentice under 25",$G176="J – Deferment",$G176="M - Under 21",$G176="Z - Deferment (Under 21)",$G176="Please Enter The NI Cont. in ££££")),$G176,SUM(MAX(MIN(AD176-'Input Data'!$BG$3,'Input Data'!$BG$5-'Input Data'!$BG$3),0)*VLOOKUP($G176,'Input Data'!$BI$3:$BL$10,2,FALSE),MAX(MIN(AD176-'Input Data'!$BG$5,IF(OR($G176="M (under 21)",$G176="Z (under 21 - deferment)"),'Input Data'!$BG$6,IF($G176="H (Apprentice under 25)",'Input Data'!$BG$7,'Input Data'!$BG$8))-'Input Data'!$BG$5),0)*VLOOKUP($G176,'Input Data'!$BI$3:$BL$10,3,FALSE),MAX((AD176-IF(OR($G176="M (under 21)",$G176="Z (under 21 - deferment)"),'Input Data'!$BG$6,IF($G176="H (Apprentice under 25)",'Input Data'!$BG$7,'Input Data'!$BG$8))),0)*VLOOKUP($G176,'Input Data'!$BI$3:$BL$10,4,FALSE))))</f>
        <v>0</v>
      </c>
      <c r="AM176" s="56">
        <f>IF($G176="",0,IF(NOT(OR($G176="A - All employees not in groups B, C, J, H, M or Z",$G176="B - Married women and widows entitled to reduced NI",$G176="C - Over the State Pension age",$G176="H - Apprentice under 25",$G176="J – Deferment",$G176="M - Under 21",$G176="Z - Deferment (Under 21)",$G176="Please Enter The NI Cont. in ££££")),$G176,SUM(MAX(MIN(AE176-'Input Data'!$BG$3,'Input Data'!$BG$5-'Input Data'!$BG$3),0)*VLOOKUP($G176,'Input Data'!$BI$3:$BL$10,2,FALSE),MAX(MIN(AE176-'Input Data'!$BG$5,IF(OR($G176="M (under 21)",$G176="Z (under 21 - deferment)"),'Input Data'!$BG$6,IF($G176="H (Apprentice under 25)",'Input Data'!$BG$7,'Input Data'!$BG$8))-'Input Data'!$BG$5),0)*VLOOKUP($G176,'Input Data'!$BI$3:$BL$10,3,FALSE),MAX((AE176-IF(OR($G176="M (under 21)",$G176="Z (under 21 - deferment)"),'Input Data'!$BG$6,IF($G176="H (Apprentice under 25)",'Input Data'!$BG$7,'Input Data'!$BG$8))),0)*VLOOKUP($G176,'Input Data'!$BI$3:$BL$10,4,FALSE))))</f>
        <v>0</v>
      </c>
      <c r="AN176" s="56">
        <f>IF($G176="",0,IF(NOT(OR($G176="A - All employees not in groups B, C, J, H, M or Z",$G176="B - Married women and widows entitled to reduced NI",$G176="C - Over the State Pension age",$G176="H - Apprentice under 25",$G176="J – Deferment",$G176="M - Under 21",$G176="Z - Deferment (Under 21)",$G176="Please Enter The NI Cont. in ££££")),$G176,SUM(MAX(MIN(AF176-'Input Data'!$BG$3,'Input Data'!$BG$5-'Input Data'!$BG$3),0)*VLOOKUP($G176,'Input Data'!$BI$3:$BL$10,2,FALSE),MAX(MIN(AF176-'Input Data'!$BG$5,IF(OR($G176="M (under 21)",$G176="Z (under 21 - deferment)"),'Input Data'!$BG$6,IF($G176="H (Apprentice under 25)",'Input Data'!$BG$7,'Input Data'!$BG$8))-'Input Data'!$BG$5),0)*VLOOKUP($G176,'Input Data'!$BI$3:$BL$10,3,FALSE),MAX((AF176-IF(OR($G176="M (under 21)",$G176="Z (under 21 - deferment)"),'Input Data'!$BG$6,IF($G176="H (Apprentice under 25)",'Input Data'!$BG$7,'Input Data'!$BG$8))),0)*VLOOKUP($G176,'Input Data'!$BI$3:$BL$10,4,FALSE))))</f>
        <v>0</v>
      </c>
      <c r="AO176" s="56">
        <f>IF($G176="",0,IF(NOT(OR($G176="A - All employees not in groups B, C, J, H, M or Z",$G176="B - Married women and widows entitled to reduced NI",$G176="C - Over the State Pension age",$G176="H - Apprentice under 25",$G176="J – Deferment",$G176="M - Under 21",$G176="Z - Deferment (Under 21)",$G176="Please Enter The NI Cont. in ££££")),$G176,SUM(MAX(MIN(AG176-'Input Data'!$BG$3,'Input Data'!$BG$5-'Input Data'!$BG$3),0)*VLOOKUP($G176,'Input Data'!$BI$3:$BL$10,2,FALSE),MAX(MIN(AG176-'Input Data'!$BG$5,IF(OR($G176="M (under 21)",$G176="Z (under 21 - deferment)"),'Input Data'!$BG$6,IF($G176="H (Apprentice under 25)",'Input Data'!$BG$7,'Input Data'!$BG$8))-'Input Data'!$BG$5),0)*VLOOKUP($G176,'Input Data'!$BI$3:$BL$10,3,FALSE),MAX((AG176-IF(OR($G176="M (under 21)",$G176="Z (under 21 - deferment)"),'Input Data'!$BG$6,IF($G176="H (Apprentice under 25)",'Input Data'!$BG$7,'Input Data'!$BG$8))),0)*VLOOKUP($G176,'Input Data'!$BI$3:$BL$10,4,FALSE))))</f>
        <v>0</v>
      </c>
      <c r="AP176" s="56">
        <f>IF($G176="",0,IF(NOT(OR($G176="A - All employees not in groups B, C, J, H, M or Z",$G176="B - Married women and widows entitled to reduced NI",$G176="C - Over the State Pension age",$G176="H - Apprentice under 25",$G176="J – Deferment",$G176="M - Under 21",$G176="Z - Deferment (Under 21)",$G176="Please Enter The NI Cont. in ££££")),$G176,SUM(MAX(MIN(AH176-'Input Data'!$BG$3,'Input Data'!$BG$5-'Input Data'!$BG$3),0)*VLOOKUP($G176,'Input Data'!$BI$3:$BL$10,2,FALSE),MAX(MIN(AH176-'Input Data'!$BG$5,IF(OR($G176="M (under 21)",$G176="Z (under 21 - deferment)"),'Input Data'!$BG$6,IF($G176="H (Apprentice under 25)",'Input Data'!$BG$7,'Input Data'!$BG$8))-'Input Data'!$BG$5),0)*VLOOKUP($G176,'Input Data'!$BI$3:$BL$10,3,FALSE),MAX((AH176-IF(OR($G176="M (under 21)",$G176="Z (under 21 - deferment)"),'Input Data'!$BG$6,IF($G176="H (Apprentice under 25)",'Input Data'!$BG$7,'Input Data'!$BG$8))),0)*VLOOKUP($G176,'Input Data'!$BI$3:$BL$10,4,FALSE))))</f>
        <v>0</v>
      </c>
      <c r="AQ176" s="56">
        <f>IF($G176="",0,IF(NOT(OR($G176="A - All employees not in groups B, C, J, H, M or Z",$G176="B - Married women and widows entitled to reduced NI",$G176="C - Over the State Pension age",$G176="H - Apprentice under 25",$G176="J – Deferment",$G176="M - Under 21",$G176="Z - Deferment (Under 21)",$G176="Please Enter The NI Cont. in ££££")),$G176,SUM(MAX(MIN(AI176-'Input Data'!$BG$3,'Input Data'!$BG$5-'Input Data'!$BG$3),0)*VLOOKUP($G176,'Input Data'!$BI$3:$BL$10,2,FALSE),MAX(MIN(AI176-'Input Data'!$BG$5,IF(OR($G176="M (under 21)",$G176="Z (under 21 - deferment)"),'Input Data'!$BG$6,IF($G176="H (Apprentice under 25)",'Input Data'!$BG$7,'Input Data'!$BG$8))-'Input Data'!$BG$5),0)*VLOOKUP($G176,'Input Data'!$BI$3:$BL$10,3,FALSE),MAX((AI176-IF(OR($G176="M (under 21)",$G176="Z (under 21 - deferment)"),'Input Data'!$BG$6,IF($G176="H (Apprentice under 25)",'Input Data'!$BG$7,'Input Data'!$BG$8))),0)*VLOOKUP($G176,'Input Data'!$BI$3:$BL$10,4,FALSE))))</f>
        <v>0</v>
      </c>
      <c r="AR176" s="56">
        <f>IF($G176="",0,IF(NOT(OR($G176="A - All employees not in groups B, C, J, H, M or Z",$G176="B - Married women and widows entitled to reduced NI",$G176="C - Over the State Pension age",$G176="H - Apprentice under 25",$G176="J – Deferment",$G176="M - Under 21",$G176="Z - Deferment (Under 21)",$G176="Please Enter The NI Cont. in ££££")),$G176,SUM(MAX(MIN(AJ176-'Input Data'!$BG$3,'Input Data'!$BG$5-'Input Data'!$BG$3),0)*VLOOKUP($G176,'Input Data'!$BI$3:$BL$10,2,FALSE),MAX(MIN(AJ176-'Input Data'!$BG$5,IF(OR($G176="M (under 21)",$G176="Z (under 21 - deferment)"),'Input Data'!$BG$6,IF($G176="H (Apprentice under 25)",'Input Data'!$BG$7,'Input Data'!$BG$8))-'Input Data'!$BG$5),0)*VLOOKUP($G176,'Input Data'!$BI$3:$BL$10,3,FALSE),MAX((AJ176-IF(OR($G176="M (under 21)",$G176="Z (under 21 - deferment)"),'Input Data'!$BG$6,IF($G176="H (Apprentice under 25)",'Input Data'!$BG$7,'Input Data'!$BG$8))),0)*VLOOKUP($G176,'Input Data'!$BI$3:$BL$10,4,FALSE))))</f>
        <v>0</v>
      </c>
      <c r="AS176" s="56">
        <f>AC176*$F176</f>
        <v>0</v>
      </c>
      <c r="AT176" s="56">
        <f>AD176*$F176</f>
        <v>0</v>
      </c>
      <c r="AU176" s="56">
        <f>AE176*$F176</f>
        <v>0</v>
      </c>
      <c r="AV176" s="56">
        <f>AF176*$F176</f>
        <v>0</v>
      </c>
      <c r="AW176" s="56">
        <f>AG176*$F176</f>
        <v>0</v>
      </c>
      <c r="AX176" s="56">
        <f>AH176*$F176</f>
        <v>0</v>
      </c>
      <c r="AY176" s="56">
        <f>AI176*$F176</f>
        <v>0</v>
      </c>
      <c r="AZ176" s="56">
        <f>AJ176*$F176</f>
        <v>0</v>
      </c>
    </row>
    <row r="177" spans="2:52" ht="25.5">
      <c r="B177" s="60"/>
      <c r="C177" s="57" t="s">
        <v>71</v>
      </c>
      <c r="D177" s="58"/>
      <c r="E177" s="58"/>
      <c r="F177" s="535"/>
      <c r="G177" s="693" t="s">
        <v>1149</v>
      </c>
      <c r="H177" s="65"/>
      <c r="I177" s="65"/>
      <c r="J177" s="65"/>
      <c r="K177" s="65"/>
      <c r="L177" s="65"/>
      <c r="M177" s="65"/>
      <c r="N177" s="65"/>
      <c r="O177" s="65"/>
      <c r="P177" s="29"/>
      <c r="Q177" s="597"/>
      <c r="R177" s="61"/>
      <c r="T177" s="43">
        <f>SUM(AC177,AK177,AS177)</f>
        <v>0</v>
      </c>
      <c r="U177" s="43">
        <f>SUM(AD177,AL177,AT177)</f>
        <v>0</v>
      </c>
      <c r="V177" s="43">
        <f>SUM(AE177,AM177,AU177)</f>
        <v>0</v>
      </c>
      <c r="W177" s="43">
        <f>SUM(AF177,AN177,AV177)</f>
        <v>0</v>
      </c>
      <c r="X177" s="43">
        <f>SUM(AG177,AO177,AW177)</f>
        <v>0</v>
      </c>
      <c r="Y177" s="43">
        <f>SUM(AH177,AP177,AX177)</f>
        <v>0</v>
      </c>
      <c r="Z177" s="43">
        <f>SUM(AI177,AQ177,AY177)</f>
        <v>0</v>
      </c>
      <c r="AA177" s="43">
        <f>SUM(AJ177,AR177,AZ177)</f>
        <v>0</v>
      </c>
      <c r="AC177" s="631">
        <f>SUM($D177:$E177)*H177</f>
        <v>0</v>
      </c>
      <c r="AD177" s="631">
        <f>SUM($D177:$E177)*I177</f>
        <v>0</v>
      </c>
      <c r="AE177" s="631">
        <f>SUM($D177:$E177)*J177</f>
        <v>0</v>
      </c>
      <c r="AF177" s="631">
        <f>SUM($D177:$E177)*K177</f>
        <v>0</v>
      </c>
      <c r="AG177" s="631">
        <f>SUM($D177:$E177)*L177</f>
        <v>0</v>
      </c>
      <c r="AH177" s="631">
        <f>SUM($D177:$E177)*M177</f>
        <v>0</v>
      </c>
      <c r="AI177" s="631">
        <f>SUM($D177:$E177)*N177</f>
        <v>0</v>
      </c>
      <c r="AJ177" s="631">
        <f>SUM($D177:$E177)*O177</f>
        <v>0</v>
      </c>
      <c r="AK177" s="56">
        <f>IF($G177="",0,IF(NOT(OR($G177="A - All employees not in groups B, C, J, H, M or Z",$G177="B - Married women and widows entitled to reduced NI",$G177="C - Over the State Pension age",$G177="H - Apprentice under 25",$G177="J – Deferment",$G177="M - Under 21",$G177="Z - Deferment (Under 21)",$G177="Please Enter The NI Cont. in ££££")),$G177,SUM(MAX(MIN(AC177-'Input Data'!$BG$3,'Input Data'!$BG$5-'Input Data'!$BG$3),0)*VLOOKUP($G177,'Input Data'!$BI$3:$BL$10,2,FALSE),MAX(MIN(AC177-'Input Data'!$BG$5,IF(OR($G177="M (under 21)",$G177="Z (under 21 - deferment)"),'Input Data'!$BG$6,IF($G177="H (Apprentice under 25)",'Input Data'!$BG$7,'Input Data'!$BG$8))-'Input Data'!$BG$5),0)*VLOOKUP($G177,'Input Data'!$BI$3:$BL$10,3,FALSE),MAX((AC177-IF(OR($G177="M (under 21)",$G177="Z (under 21 - deferment)"),'Input Data'!$BG$6,IF($G177="H (Apprentice under 25)",'Input Data'!$BG$7,'Input Data'!$BG$8))),0)*VLOOKUP($G177,'Input Data'!$BI$3:$BL$10,4,FALSE))))</f>
        <v>0</v>
      </c>
      <c r="AL177" s="56">
        <f>IF($G177="",0,IF(NOT(OR($G177="A - All employees not in groups B, C, J, H, M or Z",$G177="B - Married women and widows entitled to reduced NI",$G177="C - Over the State Pension age",$G177="H - Apprentice under 25",$G177="J – Deferment",$G177="M - Under 21",$G177="Z - Deferment (Under 21)",$G177="Please Enter The NI Cont. in ££££")),$G177,SUM(MAX(MIN(AD177-'Input Data'!$BG$3,'Input Data'!$BG$5-'Input Data'!$BG$3),0)*VLOOKUP($G177,'Input Data'!$BI$3:$BL$10,2,FALSE),MAX(MIN(AD177-'Input Data'!$BG$5,IF(OR($G177="M (under 21)",$G177="Z (under 21 - deferment)"),'Input Data'!$BG$6,IF($G177="H (Apprentice under 25)",'Input Data'!$BG$7,'Input Data'!$BG$8))-'Input Data'!$BG$5),0)*VLOOKUP($G177,'Input Data'!$BI$3:$BL$10,3,FALSE),MAX((AD177-IF(OR($G177="M (under 21)",$G177="Z (under 21 - deferment)"),'Input Data'!$BG$6,IF($G177="H (Apprentice under 25)",'Input Data'!$BG$7,'Input Data'!$BG$8))),0)*VLOOKUP($G177,'Input Data'!$BI$3:$BL$10,4,FALSE))))</f>
        <v>0</v>
      </c>
      <c r="AM177" s="56">
        <f>IF($G177="",0,IF(NOT(OR($G177="A - All employees not in groups B, C, J, H, M or Z",$G177="B - Married women and widows entitled to reduced NI",$G177="C - Over the State Pension age",$G177="H - Apprentice under 25",$G177="J – Deferment",$G177="M - Under 21",$G177="Z - Deferment (Under 21)",$G177="Please Enter The NI Cont. in ££££")),$G177,SUM(MAX(MIN(AE177-'Input Data'!$BG$3,'Input Data'!$BG$5-'Input Data'!$BG$3),0)*VLOOKUP($G177,'Input Data'!$BI$3:$BL$10,2,FALSE),MAX(MIN(AE177-'Input Data'!$BG$5,IF(OR($G177="M (under 21)",$G177="Z (under 21 - deferment)"),'Input Data'!$BG$6,IF($G177="H (Apprentice under 25)",'Input Data'!$BG$7,'Input Data'!$BG$8))-'Input Data'!$BG$5),0)*VLOOKUP($G177,'Input Data'!$BI$3:$BL$10,3,FALSE),MAX((AE177-IF(OR($G177="M (under 21)",$G177="Z (under 21 - deferment)"),'Input Data'!$BG$6,IF($G177="H (Apprentice under 25)",'Input Data'!$BG$7,'Input Data'!$BG$8))),0)*VLOOKUP($G177,'Input Data'!$BI$3:$BL$10,4,FALSE))))</f>
        <v>0</v>
      </c>
      <c r="AN177" s="56">
        <f>IF($G177="",0,IF(NOT(OR($G177="A - All employees not in groups B, C, J, H, M or Z",$G177="B - Married women and widows entitled to reduced NI",$G177="C - Over the State Pension age",$G177="H - Apprentice under 25",$G177="J – Deferment",$G177="M - Under 21",$G177="Z - Deferment (Under 21)",$G177="Please Enter The NI Cont. in ££££")),$G177,SUM(MAX(MIN(AF177-'Input Data'!$BG$3,'Input Data'!$BG$5-'Input Data'!$BG$3),0)*VLOOKUP($G177,'Input Data'!$BI$3:$BL$10,2,FALSE),MAX(MIN(AF177-'Input Data'!$BG$5,IF(OR($G177="M (under 21)",$G177="Z (under 21 - deferment)"),'Input Data'!$BG$6,IF($G177="H (Apprentice under 25)",'Input Data'!$BG$7,'Input Data'!$BG$8))-'Input Data'!$BG$5),0)*VLOOKUP($G177,'Input Data'!$BI$3:$BL$10,3,FALSE),MAX((AF177-IF(OR($G177="M (under 21)",$G177="Z (under 21 - deferment)"),'Input Data'!$BG$6,IF($G177="H (Apprentice under 25)",'Input Data'!$BG$7,'Input Data'!$BG$8))),0)*VLOOKUP($G177,'Input Data'!$BI$3:$BL$10,4,FALSE))))</f>
        <v>0</v>
      </c>
      <c r="AO177" s="56">
        <f>IF($G177="",0,IF(NOT(OR($G177="A - All employees not in groups B, C, J, H, M or Z",$G177="B - Married women and widows entitled to reduced NI",$G177="C - Over the State Pension age",$G177="H - Apprentice under 25",$G177="J – Deferment",$G177="M - Under 21",$G177="Z - Deferment (Under 21)",$G177="Please Enter The NI Cont. in ££££")),$G177,SUM(MAX(MIN(AG177-'Input Data'!$BG$3,'Input Data'!$BG$5-'Input Data'!$BG$3),0)*VLOOKUP($G177,'Input Data'!$BI$3:$BL$10,2,FALSE),MAX(MIN(AG177-'Input Data'!$BG$5,IF(OR($G177="M (under 21)",$G177="Z (under 21 - deferment)"),'Input Data'!$BG$6,IF($G177="H (Apprentice under 25)",'Input Data'!$BG$7,'Input Data'!$BG$8))-'Input Data'!$BG$5),0)*VLOOKUP($G177,'Input Data'!$BI$3:$BL$10,3,FALSE),MAX((AG177-IF(OR($G177="M (under 21)",$G177="Z (under 21 - deferment)"),'Input Data'!$BG$6,IF($G177="H (Apprentice under 25)",'Input Data'!$BG$7,'Input Data'!$BG$8))),0)*VLOOKUP($G177,'Input Data'!$BI$3:$BL$10,4,FALSE))))</f>
        <v>0</v>
      </c>
      <c r="AP177" s="56">
        <f>IF($G177="",0,IF(NOT(OR($G177="A - All employees not in groups B, C, J, H, M or Z",$G177="B - Married women and widows entitled to reduced NI",$G177="C - Over the State Pension age",$G177="H - Apprentice under 25",$G177="J – Deferment",$G177="M - Under 21",$G177="Z - Deferment (Under 21)",$G177="Please Enter The NI Cont. in ££££")),$G177,SUM(MAX(MIN(AH177-'Input Data'!$BG$3,'Input Data'!$BG$5-'Input Data'!$BG$3),0)*VLOOKUP($G177,'Input Data'!$BI$3:$BL$10,2,FALSE),MAX(MIN(AH177-'Input Data'!$BG$5,IF(OR($G177="M (under 21)",$G177="Z (under 21 - deferment)"),'Input Data'!$BG$6,IF($G177="H (Apprentice under 25)",'Input Data'!$BG$7,'Input Data'!$BG$8))-'Input Data'!$BG$5),0)*VLOOKUP($G177,'Input Data'!$BI$3:$BL$10,3,FALSE),MAX((AH177-IF(OR($G177="M (under 21)",$G177="Z (under 21 - deferment)"),'Input Data'!$BG$6,IF($G177="H (Apprentice under 25)",'Input Data'!$BG$7,'Input Data'!$BG$8))),0)*VLOOKUP($G177,'Input Data'!$BI$3:$BL$10,4,FALSE))))</f>
        <v>0</v>
      </c>
      <c r="AQ177" s="56">
        <f>IF($G177="",0,IF(NOT(OR($G177="A - All employees not in groups B, C, J, H, M or Z",$G177="B - Married women and widows entitled to reduced NI",$G177="C - Over the State Pension age",$G177="H - Apprentice under 25",$G177="J – Deferment",$G177="M - Under 21",$G177="Z - Deferment (Under 21)",$G177="Please Enter The NI Cont. in ££££")),$G177,SUM(MAX(MIN(AI177-'Input Data'!$BG$3,'Input Data'!$BG$5-'Input Data'!$BG$3),0)*VLOOKUP($G177,'Input Data'!$BI$3:$BL$10,2,FALSE),MAX(MIN(AI177-'Input Data'!$BG$5,IF(OR($G177="M (under 21)",$G177="Z (under 21 - deferment)"),'Input Data'!$BG$6,IF($G177="H (Apprentice under 25)",'Input Data'!$BG$7,'Input Data'!$BG$8))-'Input Data'!$BG$5),0)*VLOOKUP($G177,'Input Data'!$BI$3:$BL$10,3,FALSE),MAX((AI177-IF(OR($G177="M (under 21)",$G177="Z (under 21 - deferment)"),'Input Data'!$BG$6,IF($G177="H (Apprentice under 25)",'Input Data'!$BG$7,'Input Data'!$BG$8))),0)*VLOOKUP($G177,'Input Data'!$BI$3:$BL$10,4,FALSE))))</f>
        <v>0</v>
      </c>
      <c r="AR177" s="56">
        <f>IF($G177="",0,IF(NOT(OR($G177="A - All employees not in groups B, C, J, H, M or Z",$G177="B - Married women and widows entitled to reduced NI",$G177="C - Over the State Pension age",$G177="H - Apprentice under 25",$G177="J – Deferment",$G177="M - Under 21",$G177="Z - Deferment (Under 21)",$G177="Please Enter The NI Cont. in ££££")),$G177,SUM(MAX(MIN(AJ177-'Input Data'!$BG$3,'Input Data'!$BG$5-'Input Data'!$BG$3),0)*VLOOKUP($G177,'Input Data'!$BI$3:$BL$10,2,FALSE),MAX(MIN(AJ177-'Input Data'!$BG$5,IF(OR($G177="M (under 21)",$G177="Z (under 21 - deferment)"),'Input Data'!$BG$6,IF($G177="H (Apprentice under 25)",'Input Data'!$BG$7,'Input Data'!$BG$8))-'Input Data'!$BG$5),0)*VLOOKUP($G177,'Input Data'!$BI$3:$BL$10,3,FALSE),MAX((AJ177-IF(OR($G177="M (under 21)",$G177="Z (under 21 - deferment)"),'Input Data'!$BG$6,IF($G177="H (Apprentice under 25)",'Input Data'!$BG$7,'Input Data'!$BG$8))),0)*VLOOKUP($G177,'Input Data'!$BI$3:$BL$10,4,FALSE))))</f>
        <v>0</v>
      </c>
      <c r="AS177" s="56">
        <f>AC177*$F177</f>
        <v>0</v>
      </c>
      <c r="AT177" s="56">
        <f>AD177*$F177</f>
        <v>0</v>
      </c>
      <c r="AU177" s="56">
        <f>AE177*$F177</f>
        <v>0</v>
      </c>
      <c r="AV177" s="56">
        <f>AF177*$F177</f>
        <v>0</v>
      </c>
      <c r="AW177" s="56">
        <f>AG177*$F177</f>
        <v>0</v>
      </c>
      <c r="AX177" s="56">
        <f>AH177*$F177</f>
        <v>0</v>
      </c>
      <c r="AY177" s="56">
        <f>AI177*$F177</f>
        <v>0</v>
      </c>
      <c r="AZ177" s="56">
        <f>AJ177*$F177</f>
        <v>0</v>
      </c>
    </row>
    <row r="178" spans="2:52" ht="25.5">
      <c r="B178" s="60"/>
      <c r="C178" s="57" t="s">
        <v>72</v>
      </c>
      <c r="D178" s="58"/>
      <c r="E178" s="58"/>
      <c r="F178" s="535"/>
      <c r="G178" s="693" t="s">
        <v>1149</v>
      </c>
      <c r="H178" s="65"/>
      <c r="I178" s="65"/>
      <c r="J178" s="65"/>
      <c r="K178" s="65"/>
      <c r="L178" s="65"/>
      <c r="M178" s="65"/>
      <c r="N178" s="65"/>
      <c r="O178" s="65"/>
      <c r="P178" s="29"/>
      <c r="Q178" s="597"/>
      <c r="R178" s="61"/>
      <c r="T178" s="43">
        <f>SUM(AC178,AK178,AS178)</f>
        <v>0</v>
      </c>
      <c r="U178" s="43">
        <f>SUM(AD178,AL178,AT178)</f>
        <v>0</v>
      </c>
      <c r="V178" s="43">
        <f>SUM(AE178,AM178,AU178)</f>
        <v>0</v>
      </c>
      <c r="W178" s="43">
        <f>SUM(AF178,AN178,AV178)</f>
        <v>0</v>
      </c>
      <c r="X178" s="43">
        <f>SUM(AG178,AO178,AW178)</f>
        <v>0</v>
      </c>
      <c r="Y178" s="43">
        <f>SUM(AH178,AP178,AX178)</f>
        <v>0</v>
      </c>
      <c r="Z178" s="43">
        <f>SUM(AI178,AQ178,AY178)</f>
        <v>0</v>
      </c>
      <c r="AA178" s="43">
        <f>SUM(AJ178,AR178,AZ178)</f>
        <v>0</v>
      </c>
      <c r="AC178" s="631">
        <f>SUM($D178:$E178)*H178</f>
        <v>0</v>
      </c>
      <c r="AD178" s="631">
        <f>SUM($D178:$E178)*I178</f>
        <v>0</v>
      </c>
      <c r="AE178" s="631">
        <f>SUM($D178:$E178)*J178</f>
        <v>0</v>
      </c>
      <c r="AF178" s="631">
        <f>SUM($D178:$E178)*K178</f>
        <v>0</v>
      </c>
      <c r="AG178" s="631">
        <f>SUM($D178:$E178)*L178</f>
        <v>0</v>
      </c>
      <c r="AH178" s="631">
        <f>SUM($D178:$E178)*M178</f>
        <v>0</v>
      </c>
      <c r="AI178" s="631">
        <f>SUM($D178:$E178)*N178</f>
        <v>0</v>
      </c>
      <c r="AJ178" s="631">
        <f>SUM($D178:$E178)*O178</f>
        <v>0</v>
      </c>
      <c r="AK178" s="56">
        <f>IF($G178="",0,IF(NOT(OR($G178="A - All employees not in groups B, C, J, H, M or Z",$G178="B - Married women and widows entitled to reduced NI",$G178="C - Over the State Pension age",$G178="H - Apprentice under 25",$G178="J – Deferment",$G178="M - Under 21",$G178="Z - Deferment (Under 21)",$G178="Please Enter The NI Cont. in ££££")),$G178,SUM(MAX(MIN(AC178-'Input Data'!$BG$3,'Input Data'!$BG$5-'Input Data'!$BG$3),0)*VLOOKUP($G178,'Input Data'!$BI$3:$BL$10,2,FALSE),MAX(MIN(AC178-'Input Data'!$BG$5,IF(OR($G178="M (under 21)",$G178="Z (under 21 - deferment)"),'Input Data'!$BG$6,IF($G178="H (Apprentice under 25)",'Input Data'!$BG$7,'Input Data'!$BG$8))-'Input Data'!$BG$5),0)*VLOOKUP($G178,'Input Data'!$BI$3:$BL$10,3,FALSE),MAX((AC178-IF(OR($G178="M (under 21)",$G178="Z (under 21 - deferment)"),'Input Data'!$BG$6,IF($G178="H (Apprentice under 25)",'Input Data'!$BG$7,'Input Data'!$BG$8))),0)*VLOOKUP($G178,'Input Data'!$BI$3:$BL$10,4,FALSE))))</f>
        <v>0</v>
      </c>
      <c r="AL178" s="56">
        <f>IF($G178="",0,IF(NOT(OR($G178="A - All employees not in groups B, C, J, H, M or Z",$G178="B - Married women and widows entitled to reduced NI",$G178="C - Over the State Pension age",$G178="H - Apprentice under 25",$G178="J – Deferment",$G178="M - Under 21",$G178="Z - Deferment (Under 21)",$G178="Please Enter The NI Cont. in ££££")),$G178,SUM(MAX(MIN(AD178-'Input Data'!$BG$3,'Input Data'!$BG$5-'Input Data'!$BG$3),0)*VLOOKUP($G178,'Input Data'!$BI$3:$BL$10,2,FALSE),MAX(MIN(AD178-'Input Data'!$BG$5,IF(OR($G178="M (under 21)",$G178="Z (under 21 - deferment)"),'Input Data'!$BG$6,IF($G178="H (Apprentice under 25)",'Input Data'!$BG$7,'Input Data'!$BG$8))-'Input Data'!$BG$5),0)*VLOOKUP($G178,'Input Data'!$BI$3:$BL$10,3,FALSE),MAX((AD178-IF(OR($G178="M (under 21)",$G178="Z (under 21 - deferment)"),'Input Data'!$BG$6,IF($G178="H (Apprentice under 25)",'Input Data'!$BG$7,'Input Data'!$BG$8))),0)*VLOOKUP($G178,'Input Data'!$BI$3:$BL$10,4,FALSE))))</f>
        <v>0</v>
      </c>
      <c r="AM178" s="56">
        <f>IF($G178="",0,IF(NOT(OR($G178="A - All employees not in groups B, C, J, H, M or Z",$G178="B - Married women and widows entitled to reduced NI",$G178="C - Over the State Pension age",$G178="H - Apprentice under 25",$G178="J – Deferment",$G178="M - Under 21",$G178="Z - Deferment (Under 21)",$G178="Please Enter The NI Cont. in ££££")),$G178,SUM(MAX(MIN(AE178-'Input Data'!$BG$3,'Input Data'!$BG$5-'Input Data'!$BG$3),0)*VLOOKUP($G178,'Input Data'!$BI$3:$BL$10,2,FALSE),MAX(MIN(AE178-'Input Data'!$BG$5,IF(OR($G178="M (under 21)",$G178="Z (under 21 - deferment)"),'Input Data'!$BG$6,IF($G178="H (Apprentice under 25)",'Input Data'!$BG$7,'Input Data'!$BG$8))-'Input Data'!$BG$5),0)*VLOOKUP($G178,'Input Data'!$BI$3:$BL$10,3,FALSE),MAX((AE178-IF(OR($G178="M (under 21)",$G178="Z (under 21 - deferment)"),'Input Data'!$BG$6,IF($G178="H (Apprentice under 25)",'Input Data'!$BG$7,'Input Data'!$BG$8))),0)*VLOOKUP($G178,'Input Data'!$BI$3:$BL$10,4,FALSE))))</f>
        <v>0</v>
      </c>
      <c r="AN178" s="56">
        <f>IF($G178="",0,IF(NOT(OR($G178="A - All employees not in groups B, C, J, H, M or Z",$G178="B - Married women and widows entitled to reduced NI",$G178="C - Over the State Pension age",$G178="H - Apprentice under 25",$G178="J – Deferment",$G178="M - Under 21",$G178="Z - Deferment (Under 21)",$G178="Please Enter The NI Cont. in ££££")),$G178,SUM(MAX(MIN(AF178-'Input Data'!$BG$3,'Input Data'!$BG$5-'Input Data'!$BG$3),0)*VLOOKUP($G178,'Input Data'!$BI$3:$BL$10,2,FALSE),MAX(MIN(AF178-'Input Data'!$BG$5,IF(OR($G178="M (under 21)",$G178="Z (under 21 - deferment)"),'Input Data'!$BG$6,IF($G178="H (Apprentice under 25)",'Input Data'!$BG$7,'Input Data'!$BG$8))-'Input Data'!$BG$5),0)*VLOOKUP($G178,'Input Data'!$BI$3:$BL$10,3,FALSE),MAX((AF178-IF(OR($G178="M (under 21)",$G178="Z (under 21 - deferment)"),'Input Data'!$BG$6,IF($G178="H (Apprentice under 25)",'Input Data'!$BG$7,'Input Data'!$BG$8))),0)*VLOOKUP($G178,'Input Data'!$BI$3:$BL$10,4,FALSE))))</f>
        <v>0</v>
      </c>
      <c r="AO178" s="56">
        <f>IF($G178="",0,IF(NOT(OR($G178="A - All employees not in groups B, C, J, H, M or Z",$G178="B - Married women and widows entitled to reduced NI",$G178="C - Over the State Pension age",$G178="H - Apprentice under 25",$G178="J – Deferment",$G178="M - Under 21",$G178="Z - Deferment (Under 21)",$G178="Please Enter The NI Cont. in ££££")),$G178,SUM(MAX(MIN(AG178-'Input Data'!$BG$3,'Input Data'!$BG$5-'Input Data'!$BG$3),0)*VLOOKUP($G178,'Input Data'!$BI$3:$BL$10,2,FALSE),MAX(MIN(AG178-'Input Data'!$BG$5,IF(OR($G178="M (under 21)",$G178="Z (under 21 - deferment)"),'Input Data'!$BG$6,IF($G178="H (Apprentice under 25)",'Input Data'!$BG$7,'Input Data'!$BG$8))-'Input Data'!$BG$5),0)*VLOOKUP($G178,'Input Data'!$BI$3:$BL$10,3,FALSE),MAX((AG178-IF(OR($G178="M (under 21)",$G178="Z (under 21 - deferment)"),'Input Data'!$BG$6,IF($G178="H (Apprentice under 25)",'Input Data'!$BG$7,'Input Data'!$BG$8))),0)*VLOOKUP($G178,'Input Data'!$BI$3:$BL$10,4,FALSE))))</f>
        <v>0</v>
      </c>
      <c r="AP178" s="56">
        <f>IF($G178="",0,IF(NOT(OR($G178="A - All employees not in groups B, C, J, H, M or Z",$G178="B - Married women and widows entitled to reduced NI",$G178="C - Over the State Pension age",$G178="H - Apprentice under 25",$G178="J – Deferment",$G178="M - Under 21",$G178="Z - Deferment (Under 21)",$G178="Please Enter The NI Cont. in ££££")),$G178,SUM(MAX(MIN(AH178-'Input Data'!$BG$3,'Input Data'!$BG$5-'Input Data'!$BG$3),0)*VLOOKUP($G178,'Input Data'!$BI$3:$BL$10,2,FALSE),MAX(MIN(AH178-'Input Data'!$BG$5,IF(OR($G178="M (under 21)",$G178="Z (under 21 - deferment)"),'Input Data'!$BG$6,IF($G178="H (Apprentice under 25)",'Input Data'!$BG$7,'Input Data'!$BG$8))-'Input Data'!$BG$5),0)*VLOOKUP($G178,'Input Data'!$BI$3:$BL$10,3,FALSE),MAX((AH178-IF(OR($G178="M (under 21)",$G178="Z (under 21 - deferment)"),'Input Data'!$BG$6,IF($G178="H (Apprentice under 25)",'Input Data'!$BG$7,'Input Data'!$BG$8))),0)*VLOOKUP($G178,'Input Data'!$BI$3:$BL$10,4,FALSE))))</f>
        <v>0</v>
      </c>
      <c r="AQ178" s="56">
        <f>IF($G178="",0,IF(NOT(OR($G178="A - All employees not in groups B, C, J, H, M or Z",$G178="B - Married women and widows entitled to reduced NI",$G178="C - Over the State Pension age",$G178="H - Apprentice under 25",$G178="J – Deferment",$G178="M - Under 21",$G178="Z - Deferment (Under 21)",$G178="Please Enter The NI Cont. in ££££")),$G178,SUM(MAX(MIN(AI178-'Input Data'!$BG$3,'Input Data'!$BG$5-'Input Data'!$BG$3),0)*VLOOKUP($G178,'Input Data'!$BI$3:$BL$10,2,FALSE),MAX(MIN(AI178-'Input Data'!$BG$5,IF(OR($G178="M (under 21)",$G178="Z (under 21 - deferment)"),'Input Data'!$BG$6,IF($G178="H (Apprentice under 25)",'Input Data'!$BG$7,'Input Data'!$BG$8))-'Input Data'!$BG$5),0)*VLOOKUP($G178,'Input Data'!$BI$3:$BL$10,3,FALSE),MAX((AI178-IF(OR($G178="M (under 21)",$G178="Z (under 21 - deferment)"),'Input Data'!$BG$6,IF($G178="H (Apprentice under 25)",'Input Data'!$BG$7,'Input Data'!$BG$8))),0)*VLOOKUP($G178,'Input Data'!$BI$3:$BL$10,4,FALSE))))</f>
        <v>0</v>
      </c>
      <c r="AR178" s="56">
        <f>IF($G178="",0,IF(NOT(OR($G178="A - All employees not in groups B, C, J, H, M or Z",$G178="B - Married women and widows entitled to reduced NI",$G178="C - Over the State Pension age",$G178="H - Apprentice under 25",$G178="J – Deferment",$G178="M - Under 21",$G178="Z - Deferment (Under 21)",$G178="Please Enter The NI Cont. in ££££")),$G178,SUM(MAX(MIN(AJ178-'Input Data'!$BG$3,'Input Data'!$BG$5-'Input Data'!$BG$3),0)*VLOOKUP($G178,'Input Data'!$BI$3:$BL$10,2,FALSE),MAX(MIN(AJ178-'Input Data'!$BG$5,IF(OR($G178="M (under 21)",$G178="Z (under 21 - deferment)"),'Input Data'!$BG$6,IF($G178="H (Apprentice under 25)",'Input Data'!$BG$7,'Input Data'!$BG$8))-'Input Data'!$BG$5),0)*VLOOKUP($G178,'Input Data'!$BI$3:$BL$10,3,FALSE),MAX((AJ178-IF(OR($G178="M (under 21)",$G178="Z (under 21 - deferment)"),'Input Data'!$BG$6,IF($G178="H (Apprentice under 25)",'Input Data'!$BG$7,'Input Data'!$BG$8))),0)*VLOOKUP($G178,'Input Data'!$BI$3:$BL$10,4,FALSE))))</f>
        <v>0</v>
      </c>
      <c r="AS178" s="56">
        <f>AC178*$F178</f>
        <v>0</v>
      </c>
      <c r="AT178" s="56">
        <f>AD178*$F178</f>
        <v>0</v>
      </c>
      <c r="AU178" s="56">
        <f>AE178*$F178</f>
        <v>0</v>
      </c>
      <c r="AV178" s="56">
        <f>AF178*$F178</f>
        <v>0</v>
      </c>
      <c r="AW178" s="56">
        <f>AG178*$F178</f>
        <v>0</v>
      </c>
      <c r="AX178" s="56">
        <f>AH178*$F178</f>
        <v>0</v>
      </c>
      <c r="AY178" s="56">
        <f>AI178*$F178</f>
        <v>0</v>
      </c>
      <c r="AZ178" s="56">
        <f>AJ178*$F178</f>
        <v>0</v>
      </c>
    </row>
    <row r="179" spans="2:52" ht="25.5">
      <c r="B179" s="60"/>
      <c r="C179" s="57" t="s">
        <v>73</v>
      </c>
      <c r="D179" s="58"/>
      <c r="E179" s="58"/>
      <c r="F179" s="535"/>
      <c r="G179" s="693" t="s">
        <v>1149</v>
      </c>
      <c r="H179" s="65"/>
      <c r="I179" s="65"/>
      <c r="J179" s="65"/>
      <c r="K179" s="65"/>
      <c r="L179" s="65"/>
      <c r="M179" s="65"/>
      <c r="N179" s="65"/>
      <c r="O179" s="65"/>
      <c r="P179" s="29"/>
      <c r="Q179" s="597"/>
      <c r="R179" s="61"/>
      <c r="T179" s="43">
        <f>SUM(AC179,AK179,AS179)</f>
        <v>0</v>
      </c>
      <c r="U179" s="43">
        <f>SUM(AD179,AL179,AT179)</f>
        <v>0</v>
      </c>
      <c r="V179" s="43">
        <f>SUM(AE179,AM179,AU179)</f>
        <v>0</v>
      </c>
      <c r="W179" s="43">
        <f>SUM(AF179,AN179,AV179)</f>
        <v>0</v>
      </c>
      <c r="X179" s="43">
        <f>SUM(AG179,AO179,AW179)</f>
        <v>0</v>
      </c>
      <c r="Y179" s="43">
        <f>SUM(AH179,AP179,AX179)</f>
        <v>0</v>
      </c>
      <c r="Z179" s="43">
        <f>SUM(AI179,AQ179,AY179)</f>
        <v>0</v>
      </c>
      <c r="AA179" s="43">
        <f>SUM(AJ179,AR179,AZ179)</f>
        <v>0</v>
      </c>
      <c r="AC179" s="631">
        <f>SUM($D179:$E179)*H179</f>
        <v>0</v>
      </c>
      <c r="AD179" s="631">
        <f>SUM($D179:$E179)*I179</f>
        <v>0</v>
      </c>
      <c r="AE179" s="631">
        <f>SUM($D179:$E179)*J179</f>
        <v>0</v>
      </c>
      <c r="AF179" s="631">
        <f>SUM($D179:$E179)*K179</f>
        <v>0</v>
      </c>
      <c r="AG179" s="631">
        <f>SUM($D179:$E179)*L179</f>
        <v>0</v>
      </c>
      <c r="AH179" s="631">
        <f>SUM($D179:$E179)*M179</f>
        <v>0</v>
      </c>
      <c r="AI179" s="631">
        <f>SUM($D179:$E179)*N179</f>
        <v>0</v>
      </c>
      <c r="AJ179" s="631">
        <f>SUM($D179:$E179)*O179</f>
        <v>0</v>
      </c>
      <c r="AK179" s="56">
        <f>IF($G179="",0,IF(NOT(OR($G179="A - All employees not in groups B, C, J, H, M or Z",$G179="B - Married women and widows entitled to reduced NI",$G179="C - Over the State Pension age",$G179="H - Apprentice under 25",$G179="J – Deferment",$G179="M - Under 21",$G179="Z - Deferment (Under 21)",$G179="Please Enter The NI Cont. in ££££")),$G179,SUM(MAX(MIN(AC179-'Input Data'!$BG$3,'Input Data'!$BG$5-'Input Data'!$BG$3),0)*VLOOKUP($G179,'Input Data'!$BI$3:$BL$10,2,FALSE),MAX(MIN(AC179-'Input Data'!$BG$5,IF(OR($G179="M (under 21)",$G179="Z (under 21 - deferment)"),'Input Data'!$BG$6,IF($G179="H (Apprentice under 25)",'Input Data'!$BG$7,'Input Data'!$BG$8))-'Input Data'!$BG$5),0)*VLOOKUP($G179,'Input Data'!$BI$3:$BL$10,3,FALSE),MAX((AC179-IF(OR($G179="M (under 21)",$G179="Z (under 21 - deferment)"),'Input Data'!$BG$6,IF($G179="H (Apprentice under 25)",'Input Data'!$BG$7,'Input Data'!$BG$8))),0)*VLOOKUP($G179,'Input Data'!$BI$3:$BL$10,4,FALSE))))</f>
        <v>0</v>
      </c>
      <c r="AL179" s="56">
        <f>IF($G179="",0,IF(NOT(OR($G179="A - All employees not in groups B, C, J, H, M or Z",$G179="B - Married women and widows entitled to reduced NI",$G179="C - Over the State Pension age",$G179="H - Apprentice under 25",$G179="J – Deferment",$G179="M - Under 21",$G179="Z - Deferment (Under 21)",$G179="Please Enter The NI Cont. in ££££")),$G179,SUM(MAX(MIN(AD179-'Input Data'!$BG$3,'Input Data'!$BG$5-'Input Data'!$BG$3),0)*VLOOKUP($G179,'Input Data'!$BI$3:$BL$10,2,FALSE),MAX(MIN(AD179-'Input Data'!$BG$5,IF(OR($G179="M (under 21)",$G179="Z (under 21 - deferment)"),'Input Data'!$BG$6,IF($G179="H (Apprentice under 25)",'Input Data'!$BG$7,'Input Data'!$BG$8))-'Input Data'!$BG$5),0)*VLOOKUP($G179,'Input Data'!$BI$3:$BL$10,3,FALSE),MAX((AD179-IF(OR($G179="M (under 21)",$G179="Z (under 21 - deferment)"),'Input Data'!$BG$6,IF($G179="H (Apprentice under 25)",'Input Data'!$BG$7,'Input Data'!$BG$8))),0)*VLOOKUP($G179,'Input Data'!$BI$3:$BL$10,4,FALSE))))</f>
        <v>0</v>
      </c>
      <c r="AM179" s="56">
        <f>IF($G179="",0,IF(NOT(OR($G179="A - All employees not in groups B, C, J, H, M or Z",$G179="B - Married women and widows entitled to reduced NI",$G179="C - Over the State Pension age",$G179="H - Apprentice under 25",$G179="J – Deferment",$G179="M - Under 21",$G179="Z - Deferment (Under 21)",$G179="Please Enter The NI Cont. in ££££")),$G179,SUM(MAX(MIN(AE179-'Input Data'!$BG$3,'Input Data'!$BG$5-'Input Data'!$BG$3),0)*VLOOKUP($G179,'Input Data'!$BI$3:$BL$10,2,FALSE),MAX(MIN(AE179-'Input Data'!$BG$5,IF(OR($G179="M (under 21)",$G179="Z (under 21 - deferment)"),'Input Data'!$BG$6,IF($G179="H (Apprentice under 25)",'Input Data'!$BG$7,'Input Data'!$BG$8))-'Input Data'!$BG$5),0)*VLOOKUP($G179,'Input Data'!$BI$3:$BL$10,3,FALSE),MAX((AE179-IF(OR($G179="M (under 21)",$G179="Z (under 21 - deferment)"),'Input Data'!$BG$6,IF($G179="H (Apprentice under 25)",'Input Data'!$BG$7,'Input Data'!$BG$8))),0)*VLOOKUP($G179,'Input Data'!$BI$3:$BL$10,4,FALSE))))</f>
        <v>0</v>
      </c>
      <c r="AN179" s="56">
        <f>IF($G179="",0,IF(NOT(OR($G179="A - All employees not in groups B, C, J, H, M or Z",$G179="B - Married women and widows entitled to reduced NI",$G179="C - Over the State Pension age",$G179="H - Apprentice under 25",$G179="J – Deferment",$G179="M - Under 21",$G179="Z - Deferment (Under 21)",$G179="Please Enter The NI Cont. in ££££")),$G179,SUM(MAX(MIN(AF179-'Input Data'!$BG$3,'Input Data'!$BG$5-'Input Data'!$BG$3),0)*VLOOKUP($G179,'Input Data'!$BI$3:$BL$10,2,FALSE),MAX(MIN(AF179-'Input Data'!$BG$5,IF(OR($G179="M (under 21)",$G179="Z (under 21 - deferment)"),'Input Data'!$BG$6,IF($G179="H (Apprentice under 25)",'Input Data'!$BG$7,'Input Data'!$BG$8))-'Input Data'!$BG$5),0)*VLOOKUP($G179,'Input Data'!$BI$3:$BL$10,3,FALSE),MAX((AF179-IF(OR($G179="M (under 21)",$G179="Z (under 21 - deferment)"),'Input Data'!$BG$6,IF($G179="H (Apprentice under 25)",'Input Data'!$BG$7,'Input Data'!$BG$8))),0)*VLOOKUP($G179,'Input Data'!$BI$3:$BL$10,4,FALSE))))</f>
        <v>0</v>
      </c>
      <c r="AO179" s="56">
        <f>IF($G179="",0,IF(NOT(OR($G179="A - All employees not in groups B, C, J, H, M or Z",$G179="B - Married women and widows entitled to reduced NI",$G179="C - Over the State Pension age",$G179="H - Apprentice under 25",$G179="J – Deferment",$G179="M - Under 21",$G179="Z - Deferment (Under 21)",$G179="Please Enter The NI Cont. in ££££")),$G179,SUM(MAX(MIN(AG179-'Input Data'!$BG$3,'Input Data'!$BG$5-'Input Data'!$BG$3),0)*VLOOKUP($G179,'Input Data'!$BI$3:$BL$10,2,FALSE),MAX(MIN(AG179-'Input Data'!$BG$5,IF(OR($G179="M (under 21)",$G179="Z (under 21 - deferment)"),'Input Data'!$BG$6,IF($G179="H (Apprentice under 25)",'Input Data'!$BG$7,'Input Data'!$BG$8))-'Input Data'!$BG$5),0)*VLOOKUP($G179,'Input Data'!$BI$3:$BL$10,3,FALSE),MAX((AG179-IF(OR($G179="M (under 21)",$G179="Z (under 21 - deferment)"),'Input Data'!$BG$6,IF($G179="H (Apprentice under 25)",'Input Data'!$BG$7,'Input Data'!$BG$8))),0)*VLOOKUP($G179,'Input Data'!$BI$3:$BL$10,4,FALSE))))</f>
        <v>0</v>
      </c>
      <c r="AP179" s="56">
        <f>IF($G179="",0,IF(NOT(OR($G179="A - All employees not in groups B, C, J, H, M or Z",$G179="B - Married women and widows entitled to reduced NI",$G179="C - Over the State Pension age",$G179="H - Apprentice under 25",$G179="J – Deferment",$G179="M - Under 21",$G179="Z - Deferment (Under 21)",$G179="Please Enter The NI Cont. in ££££")),$G179,SUM(MAX(MIN(AH179-'Input Data'!$BG$3,'Input Data'!$BG$5-'Input Data'!$BG$3),0)*VLOOKUP($G179,'Input Data'!$BI$3:$BL$10,2,FALSE),MAX(MIN(AH179-'Input Data'!$BG$5,IF(OR($G179="M (under 21)",$G179="Z (under 21 - deferment)"),'Input Data'!$BG$6,IF($G179="H (Apprentice under 25)",'Input Data'!$BG$7,'Input Data'!$BG$8))-'Input Data'!$BG$5),0)*VLOOKUP($G179,'Input Data'!$BI$3:$BL$10,3,FALSE),MAX((AH179-IF(OR($G179="M (under 21)",$G179="Z (under 21 - deferment)"),'Input Data'!$BG$6,IF($G179="H (Apprentice under 25)",'Input Data'!$BG$7,'Input Data'!$BG$8))),0)*VLOOKUP($G179,'Input Data'!$BI$3:$BL$10,4,FALSE))))</f>
        <v>0</v>
      </c>
      <c r="AQ179" s="56">
        <f>IF($G179="",0,IF(NOT(OR($G179="A - All employees not in groups B, C, J, H, M or Z",$G179="B - Married women and widows entitled to reduced NI",$G179="C - Over the State Pension age",$G179="H - Apprentice under 25",$G179="J – Deferment",$G179="M - Under 21",$G179="Z - Deferment (Under 21)",$G179="Please Enter The NI Cont. in ££££")),$G179,SUM(MAX(MIN(AI179-'Input Data'!$BG$3,'Input Data'!$BG$5-'Input Data'!$BG$3),0)*VLOOKUP($G179,'Input Data'!$BI$3:$BL$10,2,FALSE),MAX(MIN(AI179-'Input Data'!$BG$5,IF(OR($G179="M (under 21)",$G179="Z (under 21 - deferment)"),'Input Data'!$BG$6,IF($G179="H (Apprentice under 25)",'Input Data'!$BG$7,'Input Data'!$BG$8))-'Input Data'!$BG$5),0)*VLOOKUP($G179,'Input Data'!$BI$3:$BL$10,3,FALSE),MAX((AI179-IF(OR($G179="M (under 21)",$G179="Z (under 21 - deferment)"),'Input Data'!$BG$6,IF($G179="H (Apprentice under 25)",'Input Data'!$BG$7,'Input Data'!$BG$8))),0)*VLOOKUP($G179,'Input Data'!$BI$3:$BL$10,4,FALSE))))</f>
        <v>0</v>
      </c>
      <c r="AR179" s="56">
        <f>IF($G179="",0,IF(NOT(OR($G179="A - All employees not in groups B, C, J, H, M or Z",$G179="B - Married women and widows entitled to reduced NI",$G179="C - Over the State Pension age",$G179="H - Apprentice under 25",$G179="J – Deferment",$G179="M - Under 21",$G179="Z - Deferment (Under 21)",$G179="Please Enter The NI Cont. in ££££")),$G179,SUM(MAX(MIN(AJ179-'Input Data'!$BG$3,'Input Data'!$BG$5-'Input Data'!$BG$3),0)*VLOOKUP($G179,'Input Data'!$BI$3:$BL$10,2,FALSE),MAX(MIN(AJ179-'Input Data'!$BG$5,IF(OR($G179="M (under 21)",$G179="Z (under 21 - deferment)"),'Input Data'!$BG$6,IF($G179="H (Apprentice under 25)",'Input Data'!$BG$7,'Input Data'!$BG$8))-'Input Data'!$BG$5),0)*VLOOKUP($G179,'Input Data'!$BI$3:$BL$10,3,FALSE),MAX((AJ179-IF(OR($G179="M (under 21)",$G179="Z (under 21 - deferment)"),'Input Data'!$BG$6,IF($G179="H (Apprentice under 25)",'Input Data'!$BG$7,'Input Data'!$BG$8))),0)*VLOOKUP($G179,'Input Data'!$BI$3:$BL$10,4,FALSE))))</f>
        <v>0</v>
      </c>
      <c r="AS179" s="56">
        <f>AC179*$F179</f>
        <v>0</v>
      </c>
      <c r="AT179" s="56">
        <f>AD179*$F179</f>
        <v>0</v>
      </c>
      <c r="AU179" s="56">
        <f>AE179*$F179</f>
        <v>0</v>
      </c>
      <c r="AV179" s="56">
        <f>AF179*$F179</f>
        <v>0</v>
      </c>
      <c r="AW179" s="56">
        <f>AG179*$F179</f>
        <v>0</v>
      </c>
      <c r="AX179" s="56">
        <f>AH179*$F179</f>
        <v>0</v>
      </c>
      <c r="AY179" s="56">
        <f>AI179*$F179</f>
        <v>0</v>
      </c>
      <c r="AZ179" s="56">
        <f>AJ179*$F179</f>
        <v>0</v>
      </c>
    </row>
    <row r="180" spans="2:52" ht="25.5">
      <c r="B180" s="60"/>
      <c r="C180" s="57" t="s">
        <v>74</v>
      </c>
      <c r="D180" s="58"/>
      <c r="E180" s="58"/>
      <c r="F180" s="535"/>
      <c r="G180" s="693" t="s">
        <v>1149</v>
      </c>
      <c r="H180" s="65"/>
      <c r="I180" s="65"/>
      <c r="J180" s="65"/>
      <c r="K180" s="65"/>
      <c r="L180" s="65"/>
      <c r="M180" s="65"/>
      <c r="N180" s="65"/>
      <c r="O180" s="65"/>
      <c r="P180" s="29"/>
      <c r="Q180" s="597"/>
      <c r="R180" s="61"/>
      <c r="T180" s="43">
        <f>SUM(AC180,AK180,AS180)</f>
        <v>0</v>
      </c>
      <c r="U180" s="43">
        <f>SUM(AD180,AL180,AT180)</f>
        <v>0</v>
      </c>
      <c r="V180" s="43">
        <f>SUM(AE180,AM180,AU180)</f>
        <v>0</v>
      </c>
      <c r="W180" s="43">
        <f>SUM(AF180,AN180,AV180)</f>
        <v>0</v>
      </c>
      <c r="X180" s="43">
        <f>SUM(AG180,AO180,AW180)</f>
        <v>0</v>
      </c>
      <c r="Y180" s="43">
        <f>SUM(AH180,AP180,AX180)</f>
        <v>0</v>
      </c>
      <c r="Z180" s="43">
        <f>SUM(AI180,AQ180,AY180)</f>
        <v>0</v>
      </c>
      <c r="AA180" s="43">
        <f>SUM(AJ180,AR180,AZ180)</f>
        <v>0</v>
      </c>
      <c r="AC180" s="631">
        <f>SUM($D180:$E180)*H180</f>
        <v>0</v>
      </c>
      <c r="AD180" s="631">
        <f>SUM($D180:$E180)*I180</f>
        <v>0</v>
      </c>
      <c r="AE180" s="631">
        <f>SUM($D180:$E180)*J180</f>
        <v>0</v>
      </c>
      <c r="AF180" s="631">
        <f>SUM($D180:$E180)*K180</f>
        <v>0</v>
      </c>
      <c r="AG180" s="631">
        <f>SUM($D180:$E180)*L180</f>
        <v>0</v>
      </c>
      <c r="AH180" s="631">
        <f>SUM($D180:$E180)*M180</f>
        <v>0</v>
      </c>
      <c r="AI180" s="631">
        <f>SUM($D180:$E180)*N180</f>
        <v>0</v>
      </c>
      <c r="AJ180" s="631">
        <f>SUM($D180:$E180)*O180</f>
        <v>0</v>
      </c>
      <c r="AK180" s="56">
        <f>IF($G180="",0,IF(NOT(OR($G180="A - All employees not in groups B, C, J, H, M or Z",$G180="B - Married women and widows entitled to reduced NI",$G180="C - Over the State Pension age",$G180="H - Apprentice under 25",$G180="J – Deferment",$G180="M - Under 21",$G180="Z - Deferment (Under 21)",$G180="Please Enter The NI Cont. in ££££")),$G180,SUM(MAX(MIN(AC180-'Input Data'!$BG$3,'Input Data'!$BG$5-'Input Data'!$BG$3),0)*VLOOKUP($G180,'Input Data'!$BI$3:$BL$10,2,FALSE),MAX(MIN(AC180-'Input Data'!$BG$5,IF(OR($G180="M (under 21)",$G180="Z (under 21 - deferment)"),'Input Data'!$BG$6,IF($G180="H (Apprentice under 25)",'Input Data'!$BG$7,'Input Data'!$BG$8))-'Input Data'!$BG$5),0)*VLOOKUP($G180,'Input Data'!$BI$3:$BL$10,3,FALSE),MAX((AC180-IF(OR($G180="M (under 21)",$G180="Z (under 21 - deferment)"),'Input Data'!$BG$6,IF($G180="H (Apprentice under 25)",'Input Data'!$BG$7,'Input Data'!$BG$8))),0)*VLOOKUP($G180,'Input Data'!$BI$3:$BL$10,4,FALSE))))</f>
        <v>0</v>
      </c>
      <c r="AL180" s="56">
        <f>IF($G180="",0,IF(NOT(OR($G180="A - All employees not in groups B, C, J, H, M or Z",$G180="B - Married women and widows entitled to reduced NI",$G180="C - Over the State Pension age",$G180="H - Apprentice under 25",$G180="J – Deferment",$G180="M - Under 21",$G180="Z - Deferment (Under 21)",$G180="Please Enter The NI Cont. in ££££")),$G180,SUM(MAX(MIN(AD180-'Input Data'!$BG$3,'Input Data'!$BG$5-'Input Data'!$BG$3),0)*VLOOKUP($G180,'Input Data'!$BI$3:$BL$10,2,FALSE),MAX(MIN(AD180-'Input Data'!$BG$5,IF(OR($G180="M (under 21)",$G180="Z (under 21 - deferment)"),'Input Data'!$BG$6,IF($G180="H (Apprentice under 25)",'Input Data'!$BG$7,'Input Data'!$BG$8))-'Input Data'!$BG$5),0)*VLOOKUP($G180,'Input Data'!$BI$3:$BL$10,3,FALSE),MAX((AD180-IF(OR($G180="M (under 21)",$G180="Z (under 21 - deferment)"),'Input Data'!$BG$6,IF($G180="H (Apprentice under 25)",'Input Data'!$BG$7,'Input Data'!$BG$8))),0)*VLOOKUP($G180,'Input Data'!$BI$3:$BL$10,4,FALSE))))</f>
        <v>0</v>
      </c>
      <c r="AM180" s="56">
        <f>IF($G180="",0,IF(NOT(OR($G180="A - All employees not in groups B, C, J, H, M or Z",$G180="B - Married women and widows entitled to reduced NI",$G180="C - Over the State Pension age",$G180="H - Apprentice under 25",$G180="J – Deferment",$G180="M - Under 21",$G180="Z - Deferment (Under 21)",$G180="Please Enter The NI Cont. in ££££")),$G180,SUM(MAX(MIN(AE180-'Input Data'!$BG$3,'Input Data'!$BG$5-'Input Data'!$BG$3),0)*VLOOKUP($G180,'Input Data'!$BI$3:$BL$10,2,FALSE),MAX(MIN(AE180-'Input Data'!$BG$5,IF(OR($G180="M (under 21)",$G180="Z (under 21 - deferment)"),'Input Data'!$BG$6,IF($G180="H (Apprentice under 25)",'Input Data'!$BG$7,'Input Data'!$BG$8))-'Input Data'!$BG$5),0)*VLOOKUP($G180,'Input Data'!$BI$3:$BL$10,3,FALSE),MAX((AE180-IF(OR($G180="M (under 21)",$G180="Z (under 21 - deferment)"),'Input Data'!$BG$6,IF($G180="H (Apprentice under 25)",'Input Data'!$BG$7,'Input Data'!$BG$8))),0)*VLOOKUP($G180,'Input Data'!$BI$3:$BL$10,4,FALSE))))</f>
        <v>0</v>
      </c>
      <c r="AN180" s="56">
        <f>IF($G180="",0,IF(NOT(OR($G180="A - All employees not in groups B, C, J, H, M or Z",$G180="B - Married women and widows entitled to reduced NI",$G180="C - Over the State Pension age",$G180="H - Apprentice under 25",$G180="J – Deferment",$G180="M - Under 21",$G180="Z - Deferment (Under 21)",$G180="Please Enter The NI Cont. in ££££")),$G180,SUM(MAX(MIN(AF180-'Input Data'!$BG$3,'Input Data'!$BG$5-'Input Data'!$BG$3),0)*VLOOKUP($G180,'Input Data'!$BI$3:$BL$10,2,FALSE),MAX(MIN(AF180-'Input Data'!$BG$5,IF(OR($G180="M (under 21)",$G180="Z (under 21 - deferment)"),'Input Data'!$BG$6,IF($G180="H (Apprentice under 25)",'Input Data'!$BG$7,'Input Data'!$BG$8))-'Input Data'!$BG$5),0)*VLOOKUP($G180,'Input Data'!$BI$3:$BL$10,3,FALSE),MAX((AF180-IF(OR($G180="M (under 21)",$G180="Z (under 21 - deferment)"),'Input Data'!$BG$6,IF($G180="H (Apprentice under 25)",'Input Data'!$BG$7,'Input Data'!$BG$8))),0)*VLOOKUP($G180,'Input Data'!$BI$3:$BL$10,4,FALSE))))</f>
        <v>0</v>
      </c>
      <c r="AO180" s="56">
        <f>IF($G180="",0,IF(NOT(OR($G180="A - All employees not in groups B, C, J, H, M or Z",$G180="B - Married women and widows entitled to reduced NI",$G180="C - Over the State Pension age",$G180="H - Apprentice under 25",$G180="J – Deferment",$G180="M - Under 21",$G180="Z - Deferment (Under 21)",$G180="Please Enter The NI Cont. in ££££")),$G180,SUM(MAX(MIN(AG180-'Input Data'!$BG$3,'Input Data'!$BG$5-'Input Data'!$BG$3),0)*VLOOKUP($G180,'Input Data'!$BI$3:$BL$10,2,FALSE),MAX(MIN(AG180-'Input Data'!$BG$5,IF(OR($G180="M (under 21)",$G180="Z (under 21 - deferment)"),'Input Data'!$BG$6,IF($G180="H (Apprentice under 25)",'Input Data'!$BG$7,'Input Data'!$BG$8))-'Input Data'!$BG$5),0)*VLOOKUP($G180,'Input Data'!$BI$3:$BL$10,3,FALSE),MAX((AG180-IF(OR($G180="M (under 21)",$G180="Z (under 21 - deferment)"),'Input Data'!$BG$6,IF($G180="H (Apprentice under 25)",'Input Data'!$BG$7,'Input Data'!$BG$8))),0)*VLOOKUP($G180,'Input Data'!$BI$3:$BL$10,4,FALSE))))</f>
        <v>0</v>
      </c>
      <c r="AP180" s="56">
        <f>IF($G180="",0,IF(NOT(OR($G180="A - All employees not in groups B, C, J, H, M or Z",$G180="B - Married women and widows entitled to reduced NI",$G180="C - Over the State Pension age",$G180="H - Apprentice under 25",$G180="J – Deferment",$G180="M - Under 21",$G180="Z - Deferment (Under 21)",$G180="Please Enter The NI Cont. in ££££")),$G180,SUM(MAX(MIN(AH180-'Input Data'!$BG$3,'Input Data'!$BG$5-'Input Data'!$BG$3),0)*VLOOKUP($G180,'Input Data'!$BI$3:$BL$10,2,FALSE),MAX(MIN(AH180-'Input Data'!$BG$5,IF(OR($G180="M (under 21)",$G180="Z (under 21 - deferment)"),'Input Data'!$BG$6,IF($G180="H (Apprentice under 25)",'Input Data'!$BG$7,'Input Data'!$BG$8))-'Input Data'!$BG$5),0)*VLOOKUP($G180,'Input Data'!$BI$3:$BL$10,3,FALSE),MAX((AH180-IF(OR($G180="M (under 21)",$G180="Z (under 21 - deferment)"),'Input Data'!$BG$6,IF($G180="H (Apprentice under 25)",'Input Data'!$BG$7,'Input Data'!$BG$8))),0)*VLOOKUP($G180,'Input Data'!$BI$3:$BL$10,4,FALSE))))</f>
        <v>0</v>
      </c>
      <c r="AQ180" s="56">
        <f>IF($G180="",0,IF(NOT(OR($G180="A - All employees not in groups B, C, J, H, M or Z",$G180="B - Married women and widows entitled to reduced NI",$G180="C - Over the State Pension age",$G180="H - Apprentice under 25",$G180="J – Deferment",$G180="M - Under 21",$G180="Z - Deferment (Under 21)",$G180="Please Enter The NI Cont. in ££££")),$G180,SUM(MAX(MIN(AI180-'Input Data'!$BG$3,'Input Data'!$BG$5-'Input Data'!$BG$3),0)*VLOOKUP($G180,'Input Data'!$BI$3:$BL$10,2,FALSE),MAX(MIN(AI180-'Input Data'!$BG$5,IF(OR($G180="M (under 21)",$G180="Z (under 21 - deferment)"),'Input Data'!$BG$6,IF($G180="H (Apprentice under 25)",'Input Data'!$BG$7,'Input Data'!$BG$8))-'Input Data'!$BG$5),0)*VLOOKUP($G180,'Input Data'!$BI$3:$BL$10,3,FALSE),MAX((AI180-IF(OR($G180="M (under 21)",$G180="Z (under 21 - deferment)"),'Input Data'!$BG$6,IF($G180="H (Apprentice under 25)",'Input Data'!$BG$7,'Input Data'!$BG$8))),0)*VLOOKUP($G180,'Input Data'!$BI$3:$BL$10,4,FALSE))))</f>
        <v>0</v>
      </c>
      <c r="AR180" s="56">
        <f>IF($G180="",0,IF(NOT(OR($G180="A - All employees not in groups B, C, J, H, M or Z",$G180="B - Married women and widows entitled to reduced NI",$G180="C - Over the State Pension age",$G180="H - Apprentice under 25",$G180="J – Deferment",$G180="M - Under 21",$G180="Z - Deferment (Under 21)",$G180="Please Enter The NI Cont. in ££££")),$G180,SUM(MAX(MIN(AJ180-'Input Data'!$BG$3,'Input Data'!$BG$5-'Input Data'!$BG$3),0)*VLOOKUP($G180,'Input Data'!$BI$3:$BL$10,2,FALSE),MAX(MIN(AJ180-'Input Data'!$BG$5,IF(OR($G180="M (under 21)",$G180="Z (under 21 - deferment)"),'Input Data'!$BG$6,IF($G180="H (Apprentice under 25)",'Input Data'!$BG$7,'Input Data'!$BG$8))-'Input Data'!$BG$5),0)*VLOOKUP($G180,'Input Data'!$BI$3:$BL$10,3,FALSE),MAX((AJ180-IF(OR($G180="M (under 21)",$G180="Z (under 21 - deferment)"),'Input Data'!$BG$6,IF($G180="H (Apprentice under 25)",'Input Data'!$BG$7,'Input Data'!$BG$8))),0)*VLOOKUP($G180,'Input Data'!$BI$3:$BL$10,4,FALSE))))</f>
        <v>0</v>
      </c>
      <c r="AS180" s="56">
        <f>AC180*$F180</f>
        <v>0</v>
      </c>
      <c r="AT180" s="56">
        <f>AD180*$F180</f>
        <v>0</v>
      </c>
      <c r="AU180" s="56">
        <f>AE180*$F180</f>
        <v>0</v>
      </c>
      <c r="AV180" s="56">
        <f>AF180*$F180</f>
        <v>0</v>
      </c>
      <c r="AW180" s="56">
        <f>AG180*$F180</f>
        <v>0</v>
      </c>
      <c r="AX180" s="56">
        <f>AH180*$F180</f>
        <v>0</v>
      </c>
      <c r="AY180" s="56">
        <f>AI180*$F180</f>
        <v>0</v>
      </c>
      <c r="AZ180" s="56">
        <f>AJ180*$F180</f>
        <v>0</v>
      </c>
    </row>
    <row r="181" spans="2:52" ht="25.5">
      <c r="B181" s="60"/>
      <c r="C181" s="57" t="s">
        <v>75</v>
      </c>
      <c r="D181" s="58"/>
      <c r="E181" s="58"/>
      <c r="F181" s="535"/>
      <c r="G181" s="693" t="s">
        <v>1149</v>
      </c>
      <c r="H181" s="65"/>
      <c r="I181" s="65"/>
      <c r="J181" s="65"/>
      <c r="K181" s="65"/>
      <c r="L181" s="65"/>
      <c r="M181" s="65"/>
      <c r="N181" s="65"/>
      <c r="O181" s="65"/>
      <c r="P181" s="29"/>
      <c r="Q181" s="597"/>
      <c r="R181" s="61"/>
      <c r="T181" s="43">
        <f>SUM(AC181,AK181,AS181)</f>
        <v>0</v>
      </c>
      <c r="U181" s="43">
        <f>SUM(AD181,AL181,AT181)</f>
        <v>0</v>
      </c>
      <c r="V181" s="43">
        <f>SUM(AE181,AM181,AU181)</f>
        <v>0</v>
      </c>
      <c r="W181" s="43">
        <f>SUM(AF181,AN181,AV181)</f>
        <v>0</v>
      </c>
      <c r="X181" s="43">
        <f>SUM(AG181,AO181,AW181)</f>
        <v>0</v>
      </c>
      <c r="Y181" s="43">
        <f>SUM(AH181,AP181,AX181)</f>
        <v>0</v>
      </c>
      <c r="Z181" s="43">
        <f>SUM(AI181,AQ181,AY181)</f>
        <v>0</v>
      </c>
      <c r="AA181" s="43">
        <f>SUM(AJ181,AR181,AZ181)</f>
        <v>0</v>
      </c>
      <c r="AC181" s="631">
        <f>SUM($D181:$E181)*H181</f>
        <v>0</v>
      </c>
      <c r="AD181" s="631">
        <f>SUM($D181:$E181)*I181</f>
        <v>0</v>
      </c>
      <c r="AE181" s="631">
        <f>SUM($D181:$E181)*J181</f>
        <v>0</v>
      </c>
      <c r="AF181" s="631">
        <f>SUM($D181:$E181)*K181</f>
        <v>0</v>
      </c>
      <c r="AG181" s="631">
        <f>SUM($D181:$E181)*L181</f>
        <v>0</v>
      </c>
      <c r="AH181" s="631">
        <f>SUM($D181:$E181)*M181</f>
        <v>0</v>
      </c>
      <c r="AI181" s="631">
        <f>SUM($D181:$E181)*N181</f>
        <v>0</v>
      </c>
      <c r="AJ181" s="631">
        <f>SUM($D181:$E181)*O181</f>
        <v>0</v>
      </c>
      <c r="AK181" s="56">
        <f>IF($G181="",0,IF(NOT(OR($G181="A - All employees not in groups B, C, J, H, M or Z",$G181="B - Married women and widows entitled to reduced NI",$G181="C - Over the State Pension age",$G181="H - Apprentice under 25",$G181="J – Deferment",$G181="M - Under 21",$G181="Z - Deferment (Under 21)",$G181="Please Enter The NI Cont. in ££££")),$G181,SUM(MAX(MIN(AC181-'Input Data'!$BG$3,'Input Data'!$BG$5-'Input Data'!$BG$3),0)*VLOOKUP($G181,'Input Data'!$BI$3:$BL$10,2,FALSE),MAX(MIN(AC181-'Input Data'!$BG$5,IF(OR($G181="M (under 21)",$G181="Z (under 21 - deferment)"),'Input Data'!$BG$6,IF($G181="H (Apprentice under 25)",'Input Data'!$BG$7,'Input Data'!$BG$8))-'Input Data'!$BG$5),0)*VLOOKUP($G181,'Input Data'!$BI$3:$BL$10,3,FALSE),MAX((AC181-IF(OR($G181="M (under 21)",$G181="Z (under 21 - deferment)"),'Input Data'!$BG$6,IF($G181="H (Apprentice under 25)",'Input Data'!$BG$7,'Input Data'!$BG$8))),0)*VLOOKUP($G181,'Input Data'!$BI$3:$BL$10,4,FALSE))))</f>
        <v>0</v>
      </c>
      <c r="AL181" s="56">
        <f>IF($G181="",0,IF(NOT(OR($G181="A - All employees not in groups B, C, J, H, M or Z",$G181="B - Married women and widows entitled to reduced NI",$G181="C - Over the State Pension age",$G181="H - Apprentice under 25",$G181="J – Deferment",$G181="M - Under 21",$G181="Z - Deferment (Under 21)",$G181="Please Enter The NI Cont. in ££££")),$G181,SUM(MAX(MIN(AD181-'Input Data'!$BG$3,'Input Data'!$BG$5-'Input Data'!$BG$3),0)*VLOOKUP($G181,'Input Data'!$BI$3:$BL$10,2,FALSE),MAX(MIN(AD181-'Input Data'!$BG$5,IF(OR($G181="M (under 21)",$G181="Z (under 21 - deferment)"),'Input Data'!$BG$6,IF($G181="H (Apprentice under 25)",'Input Data'!$BG$7,'Input Data'!$BG$8))-'Input Data'!$BG$5),0)*VLOOKUP($G181,'Input Data'!$BI$3:$BL$10,3,FALSE),MAX((AD181-IF(OR($G181="M (under 21)",$G181="Z (under 21 - deferment)"),'Input Data'!$BG$6,IF($G181="H (Apprentice under 25)",'Input Data'!$BG$7,'Input Data'!$BG$8))),0)*VLOOKUP($G181,'Input Data'!$BI$3:$BL$10,4,FALSE))))</f>
        <v>0</v>
      </c>
      <c r="AM181" s="56">
        <f>IF($G181="",0,IF(NOT(OR($G181="A - All employees not in groups B, C, J, H, M or Z",$G181="B - Married women and widows entitled to reduced NI",$G181="C - Over the State Pension age",$G181="H - Apprentice under 25",$G181="J – Deferment",$G181="M - Under 21",$G181="Z - Deferment (Under 21)",$G181="Please Enter The NI Cont. in ££££")),$G181,SUM(MAX(MIN(AE181-'Input Data'!$BG$3,'Input Data'!$BG$5-'Input Data'!$BG$3),0)*VLOOKUP($G181,'Input Data'!$BI$3:$BL$10,2,FALSE),MAX(MIN(AE181-'Input Data'!$BG$5,IF(OR($G181="M (under 21)",$G181="Z (under 21 - deferment)"),'Input Data'!$BG$6,IF($G181="H (Apprentice under 25)",'Input Data'!$BG$7,'Input Data'!$BG$8))-'Input Data'!$BG$5),0)*VLOOKUP($G181,'Input Data'!$BI$3:$BL$10,3,FALSE),MAX((AE181-IF(OR($G181="M (under 21)",$G181="Z (under 21 - deferment)"),'Input Data'!$BG$6,IF($G181="H (Apprentice under 25)",'Input Data'!$BG$7,'Input Data'!$BG$8))),0)*VLOOKUP($G181,'Input Data'!$BI$3:$BL$10,4,FALSE))))</f>
        <v>0</v>
      </c>
      <c r="AN181" s="56">
        <f>IF($G181="",0,IF(NOT(OR($G181="A - All employees not in groups B, C, J, H, M or Z",$G181="B - Married women and widows entitled to reduced NI",$G181="C - Over the State Pension age",$G181="H - Apprentice under 25",$G181="J – Deferment",$G181="M - Under 21",$G181="Z - Deferment (Under 21)",$G181="Please Enter The NI Cont. in ££££")),$G181,SUM(MAX(MIN(AF181-'Input Data'!$BG$3,'Input Data'!$BG$5-'Input Data'!$BG$3),0)*VLOOKUP($G181,'Input Data'!$BI$3:$BL$10,2,FALSE),MAX(MIN(AF181-'Input Data'!$BG$5,IF(OR($G181="M (under 21)",$G181="Z (under 21 - deferment)"),'Input Data'!$BG$6,IF($G181="H (Apprentice under 25)",'Input Data'!$BG$7,'Input Data'!$BG$8))-'Input Data'!$BG$5),0)*VLOOKUP($G181,'Input Data'!$BI$3:$BL$10,3,FALSE),MAX((AF181-IF(OR($G181="M (under 21)",$G181="Z (under 21 - deferment)"),'Input Data'!$BG$6,IF($G181="H (Apprentice under 25)",'Input Data'!$BG$7,'Input Data'!$BG$8))),0)*VLOOKUP($G181,'Input Data'!$BI$3:$BL$10,4,FALSE))))</f>
        <v>0</v>
      </c>
      <c r="AO181" s="56">
        <f>IF($G181="",0,IF(NOT(OR($G181="A - All employees not in groups B, C, J, H, M or Z",$G181="B - Married women and widows entitled to reduced NI",$G181="C - Over the State Pension age",$G181="H - Apprentice under 25",$G181="J – Deferment",$G181="M - Under 21",$G181="Z - Deferment (Under 21)",$G181="Please Enter The NI Cont. in ££££")),$G181,SUM(MAX(MIN(AG181-'Input Data'!$BG$3,'Input Data'!$BG$5-'Input Data'!$BG$3),0)*VLOOKUP($G181,'Input Data'!$BI$3:$BL$10,2,FALSE),MAX(MIN(AG181-'Input Data'!$BG$5,IF(OR($G181="M (under 21)",$G181="Z (under 21 - deferment)"),'Input Data'!$BG$6,IF($G181="H (Apprentice under 25)",'Input Data'!$BG$7,'Input Data'!$BG$8))-'Input Data'!$BG$5),0)*VLOOKUP($G181,'Input Data'!$BI$3:$BL$10,3,FALSE),MAX((AG181-IF(OR($G181="M (under 21)",$G181="Z (under 21 - deferment)"),'Input Data'!$BG$6,IF($G181="H (Apprentice under 25)",'Input Data'!$BG$7,'Input Data'!$BG$8))),0)*VLOOKUP($G181,'Input Data'!$BI$3:$BL$10,4,FALSE))))</f>
        <v>0</v>
      </c>
      <c r="AP181" s="56">
        <f>IF($G181="",0,IF(NOT(OR($G181="A - All employees not in groups B, C, J, H, M or Z",$G181="B - Married women and widows entitled to reduced NI",$G181="C - Over the State Pension age",$G181="H - Apprentice under 25",$G181="J – Deferment",$G181="M - Under 21",$G181="Z - Deferment (Under 21)",$G181="Please Enter The NI Cont. in ££££")),$G181,SUM(MAX(MIN(AH181-'Input Data'!$BG$3,'Input Data'!$BG$5-'Input Data'!$BG$3),0)*VLOOKUP($G181,'Input Data'!$BI$3:$BL$10,2,FALSE),MAX(MIN(AH181-'Input Data'!$BG$5,IF(OR($G181="M (under 21)",$G181="Z (under 21 - deferment)"),'Input Data'!$BG$6,IF($G181="H (Apprentice under 25)",'Input Data'!$BG$7,'Input Data'!$BG$8))-'Input Data'!$BG$5),0)*VLOOKUP($G181,'Input Data'!$BI$3:$BL$10,3,FALSE),MAX((AH181-IF(OR($G181="M (under 21)",$G181="Z (under 21 - deferment)"),'Input Data'!$BG$6,IF($G181="H (Apprentice under 25)",'Input Data'!$BG$7,'Input Data'!$BG$8))),0)*VLOOKUP($G181,'Input Data'!$BI$3:$BL$10,4,FALSE))))</f>
        <v>0</v>
      </c>
      <c r="AQ181" s="56">
        <f>IF($G181="",0,IF(NOT(OR($G181="A - All employees not in groups B, C, J, H, M or Z",$G181="B - Married women and widows entitled to reduced NI",$G181="C - Over the State Pension age",$G181="H - Apprentice under 25",$G181="J – Deferment",$G181="M - Under 21",$G181="Z - Deferment (Under 21)",$G181="Please Enter The NI Cont. in ££££")),$G181,SUM(MAX(MIN(AI181-'Input Data'!$BG$3,'Input Data'!$BG$5-'Input Data'!$BG$3),0)*VLOOKUP($G181,'Input Data'!$BI$3:$BL$10,2,FALSE),MAX(MIN(AI181-'Input Data'!$BG$5,IF(OR($G181="M (under 21)",$G181="Z (under 21 - deferment)"),'Input Data'!$BG$6,IF($G181="H (Apprentice under 25)",'Input Data'!$BG$7,'Input Data'!$BG$8))-'Input Data'!$BG$5),0)*VLOOKUP($G181,'Input Data'!$BI$3:$BL$10,3,FALSE),MAX((AI181-IF(OR($G181="M (under 21)",$G181="Z (under 21 - deferment)"),'Input Data'!$BG$6,IF($G181="H (Apprentice under 25)",'Input Data'!$BG$7,'Input Data'!$BG$8))),0)*VLOOKUP($G181,'Input Data'!$BI$3:$BL$10,4,FALSE))))</f>
        <v>0</v>
      </c>
      <c r="AR181" s="56">
        <f>IF($G181="",0,IF(NOT(OR($G181="A - All employees not in groups B, C, J, H, M or Z",$G181="B - Married women and widows entitled to reduced NI",$G181="C - Over the State Pension age",$G181="H - Apprentice under 25",$G181="J – Deferment",$G181="M - Under 21",$G181="Z - Deferment (Under 21)",$G181="Please Enter The NI Cont. in ££££")),$G181,SUM(MAX(MIN(AJ181-'Input Data'!$BG$3,'Input Data'!$BG$5-'Input Data'!$BG$3),0)*VLOOKUP($G181,'Input Data'!$BI$3:$BL$10,2,FALSE),MAX(MIN(AJ181-'Input Data'!$BG$5,IF(OR($G181="M (under 21)",$G181="Z (under 21 - deferment)"),'Input Data'!$BG$6,IF($G181="H (Apprentice under 25)",'Input Data'!$BG$7,'Input Data'!$BG$8))-'Input Data'!$BG$5),0)*VLOOKUP($G181,'Input Data'!$BI$3:$BL$10,3,FALSE),MAX((AJ181-IF(OR($G181="M (under 21)",$G181="Z (under 21 - deferment)"),'Input Data'!$BG$6,IF($G181="H (Apprentice under 25)",'Input Data'!$BG$7,'Input Data'!$BG$8))),0)*VLOOKUP($G181,'Input Data'!$BI$3:$BL$10,4,FALSE))))</f>
        <v>0</v>
      </c>
      <c r="AS181" s="56">
        <f>AC181*$F181</f>
        <v>0</v>
      </c>
      <c r="AT181" s="56">
        <f>AD181*$F181</f>
        <v>0</v>
      </c>
      <c r="AU181" s="56">
        <f>AE181*$F181</f>
        <v>0</v>
      </c>
      <c r="AV181" s="56">
        <f>AF181*$F181</f>
        <v>0</v>
      </c>
      <c r="AW181" s="56">
        <f>AG181*$F181</f>
        <v>0</v>
      </c>
      <c r="AX181" s="56">
        <f>AH181*$F181</f>
        <v>0</v>
      </c>
      <c r="AY181" s="56">
        <f>AI181*$F181</f>
        <v>0</v>
      </c>
      <c r="AZ181" s="56">
        <f>AJ181*$F181</f>
        <v>0</v>
      </c>
    </row>
    <row r="182" spans="2:52" ht="25.5">
      <c r="B182" s="60"/>
      <c r="C182" s="57" t="s">
        <v>76</v>
      </c>
      <c r="D182" s="58"/>
      <c r="E182" s="58"/>
      <c r="F182" s="535"/>
      <c r="G182" s="693" t="s">
        <v>1149</v>
      </c>
      <c r="H182" s="65"/>
      <c r="I182" s="65"/>
      <c r="J182" s="65"/>
      <c r="K182" s="65"/>
      <c r="L182" s="65"/>
      <c r="M182" s="65"/>
      <c r="N182" s="65"/>
      <c r="O182" s="65"/>
      <c r="P182" s="29"/>
      <c r="Q182" s="597"/>
      <c r="R182" s="61"/>
      <c r="T182" s="43">
        <f>SUM(AC182,AK182,AS182)</f>
        <v>0</v>
      </c>
      <c r="U182" s="43">
        <f>SUM(AD182,AL182,AT182)</f>
        <v>0</v>
      </c>
      <c r="V182" s="43">
        <f>SUM(AE182,AM182,AU182)</f>
        <v>0</v>
      </c>
      <c r="W182" s="43">
        <f>SUM(AF182,AN182,AV182)</f>
        <v>0</v>
      </c>
      <c r="X182" s="43">
        <f>SUM(AG182,AO182,AW182)</f>
        <v>0</v>
      </c>
      <c r="Y182" s="43">
        <f>SUM(AH182,AP182,AX182)</f>
        <v>0</v>
      </c>
      <c r="Z182" s="43">
        <f>SUM(AI182,AQ182,AY182)</f>
        <v>0</v>
      </c>
      <c r="AA182" s="43">
        <f>SUM(AJ182,AR182,AZ182)</f>
        <v>0</v>
      </c>
      <c r="AC182" s="631">
        <f>SUM($D182:$E182)*H182</f>
        <v>0</v>
      </c>
      <c r="AD182" s="631">
        <f>SUM($D182:$E182)*I182</f>
        <v>0</v>
      </c>
      <c r="AE182" s="631">
        <f>SUM($D182:$E182)*J182</f>
        <v>0</v>
      </c>
      <c r="AF182" s="631">
        <f>SUM($D182:$E182)*K182</f>
        <v>0</v>
      </c>
      <c r="AG182" s="631">
        <f>SUM($D182:$E182)*L182</f>
        <v>0</v>
      </c>
      <c r="AH182" s="631">
        <f>SUM($D182:$E182)*M182</f>
        <v>0</v>
      </c>
      <c r="AI182" s="631">
        <f>SUM($D182:$E182)*N182</f>
        <v>0</v>
      </c>
      <c r="AJ182" s="631">
        <f>SUM($D182:$E182)*O182</f>
        <v>0</v>
      </c>
      <c r="AK182" s="56">
        <f>IF($G182="",0,IF(NOT(OR($G182="A - All employees not in groups B, C, J, H, M or Z",$G182="B - Married women and widows entitled to reduced NI",$G182="C - Over the State Pension age",$G182="H - Apprentice under 25",$G182="J – Deferment",$G182="M - Under 21",$G182="Z - Deferment (Under 21)",$G182="Please Enter The NI Cont. in ££££")),$G182,SUM(MAX(MIN(AC182-'Input Data'!$BG$3,'Input Data'!$BG$5-'Input Data'!$BG$3),0)*VLOOKUP($G182,'Input Data'!$BI$3:$BL$10,2,FALSE),MAX(MIN(AC182-'Input Data'!$BG$5,IF(OR($G182="M (under 21)",$G182="Z (under 21 - deferment)"),'Input Data'!$BG$6,IF($G182="H (Apprentice under 25)",'Input Data'!$BG$7,'Input Data'!$BG$8))-'Input Data'!$BG$5),0)*VLOOKUP($G182,'Input Data'!$BI$3:$BL$10,3,FALSE),MAX((AC182-IF(OR($G182="M (under 21)",$G182="Z (under 21 - deferment)"),'Input Data'!$BG$6,IF($G182="H (Apprentice under 25)",'Input Data'!$BG$7,'Input Data'!$BG$8))),0)*VLOOKUP($G182,'Input Data'!$BI$3:$BL$10,4,FALSE))))</f>
        <v>0</v>
      </c>
      <c r="AL182" s="56">
        <f>IF($G182="",0,IF(NOT(OR($G182="A - All employees not in groups B, C, J, H, M or Z",$G182="B - Married women and widows entitled to reduced NI",$G182="C - Over the State Pension age",$G182="H - Apprentice under 25",$G182="J – Deferment",$G182="M - Under 21",$G182="Z - Deferment (Under 21)",$G182="Please Enter The NI Cont. in ££££")),$G182,SUM(MAX(MIN(AD182-'Input Data'!$BG$3,'Input Data'!$BG$5-'Input Data'!$BG$3),0)*VLOOKUP($G182,'Input Data'!$BI$3:$BL$10,2,FALSE),MAX(MIN(AD182-'Input Data'!$BG$5,IF(OR($G182="M (under 21)",$G182="Z (under 21 - deferment)"),'Input Data'!$BG$6,IF($G182="H (Apprentice under 25)",'Input Data'!$BG$7,'Input Data'!$BG$8))-'Input Data'!$BG$5),0)*VLOOKUP($G182,'Input Data'!$BI$3:$BL$10,3,FALSE),MAX((AD182-IF(OR($G182="M (under 21)",$G182="Z (under 21 - deferment)"),'Input Data'!$BG$6,IF($G182="H (Apprentice under 25)",'Input Data'!$BG$7,'Input Data'!$BG$8))),0)*VLOOKUP($G182,'Input Data'!$BI$3:$BL$10,4,FALSE))))</f>
        <v>0</v>
      </c>
      <c r="AM182" s="56">
        <f>IF($G182="",0,IF(NOT(OR($G182="A - All employees not in groups B, C, J, H, M or Z",$G182="B - Married women and widows entitled to reduced NI",$G182="C - Over the State Pension age",$G182="H - Apprentice under 25",$G182="J – Deferment",$G182="M - Under 21",$G182="Z - Deferment (Under 21)",$G182="Please Enter The NI Cont. in ££££")),$G182,SUM(MAX(MIN(AE182-'Input Data'!$BG$3,'Input Data'!$BG$5-'Input Data'!$BG$3),0)*VLOOKUP($G182,'Input Data'!$BI$3:$BL$10,2,FALSE),MAX(MIN(AE182-'Input Data'!$BG$5,IF(OR($G182="M (under 21)",$G182="Z (under 21 - deferment)"),'Input Data'!$BG$6,IF($G182="H (Apprentice under 25)",'Input Data'!$BG$7,'Input Data'!$BG$8))-'Input Data'!$BG$5),0)*VLOOKUP($G182,'Input Data'!$BI$3:$BL$10,3,FALSE),MAX((AE182-IF(OR($G182="M (under 21)",$G182="Z (under 21 - deferment)"),'Input Data'!$BG$6,IF($G182="H (Apprentice under 25)",'Input Data'!$BG$7,'Input Data'!$BG$8))),0)*VLOOKUP($G182,'Input Data'!$BI$3:$BL$10,4,FALSE))))</f>
        <v>0</v>
      </c>
      <c r="AN182" s="56">
        <f>IF($G182="",0,IF(NOT(OR($G182="A - All employees not in groups B, C, J, H, M or Z",$G182="B - Married women and widows entitled to reduced NI",$G182="C - Over the State Pension age",$G182="H - Apprentice under 25",$G182="J – Deferment",$G182="M - Under 21",$G182="Z - Deferment (Under 21)",$G182="Please Enter The NI Cont. in ££££")),$G182,SUM(MAX(MIN(AF182-'Input Data'!$BG$3,'Input Data'!$BG$5-'Input Data'!$BG$3),0)*VLOOKUP($G182,'Input Data'!$BI$3:$BL$10,2,FALSE),MAX(MIN(AF182-'Input Data'!$BG$5,IF(OR($G182="M (under 21)",$G182="Z (under 21 - deferment)"),'Input Data'!$BG$6,IF($G182="H (Apprentice under 25)",'Input Data'!$BG$7,'Input Data'!$BG$8))-'Input Data'!$BG$5),0)*VLOOKUP($G182,'Input Data'!$BI$3:$BL$10,3,FALSE),MAX((AF182-IF(OR($G182="M (under 21)",$G182="Z (under 21 - deferment)"),'Input Data'!$BG$6,IF($G182="H (Apprentice under 25)",'Input Data'!$BG$7,'Input Data'!$BG$8))),0)*VLOOKUP($G182,'Input Data'!$BI$3:$BL$10,4,FALSE))))</f>
        <v>0</v>
      </c>
      <c r="AO182" s="56">
        <f>IF($G182="",0,IF(NOT(OR($G182="A - All employees not in groups B, C, J, H, M or Z",$G182="B - Married women and widows entitled to reduced NI",$G182="C - Over the State Pension age",$G182="H - Apprentice under 25",$G182="J – Deferment",$G182="M - Under 21",$G182="Z - Deferment (Under 21)",$G182="Please Enter The NI Cont. in ££££")),$G182,SUM(MAX(MIN(AG182-'Input Data'!$BG$3,'Input Data'!$BG$5-'Input Data'!$BG$3),0)*VLOOKUP($G182,'Input Data'!$BI$3:$BL$10,2,FALSE),MAX(MIN(AG182-'Input Data'!$BG$5,IF(OR($G182="M (under 21)",$G182="Z (under 21 - deferment)"),'Input Data'!$BG$6,IF($G182="H (Apprentice under 25)",'Input Data'!$BG$7,'Input Data'!$BG$8))-'Input Data'!$BG$5),0)*VLOOKUP($G182,'Input Data'!$BI$3:$BL$10,3,FALSE),MAX((AG182-IF(OR($G182="M (under 21)",$G182="Z (under 21 - deferment)"),'Input Data'!$BG$6,IF($G182="H (Apprentice under 25)",'Input Data'!$BG$7,'Input Data'!$BG$8))),0)*VLOOKUP($G182,'Input Data'!$BI$3:$BL$10,4,FALSE))))</f>
        <v>0</v>
      </c>
      <c r="AP182" s="56">
        <f>IF($G182="",0,IF(NOT(OR($G182="A - All employees not in groups B, C, J, H, M or Z",$G182="B - Married women and widows entitled to reduced NI",$G182="C - Over the State Pension age",$G182="H - Apprentice under 25",$G182="J – Deferment",$G182="M - Under 21",$G182="Z - Deferment (Under 21)",$G182="Please Enter The NI Cont. in ££££")),$G182,SUM(MAX(MIN(AH182-'Input Data'!$BG$3,'Input Data'!$BG$5-'Input Data'!$BG$3),0)*VLOOKUP($G182,'Input Data'!$BI$3:$BL$10,2,FALSE),MAX(MIN(AH182-'Input Data'!$BG$5,IF(OR($G182="M (under 21)",$G182="Z (under 21 - deferment)"),'Input Data'!$BG$6,IF($G182="H (Apprentice under 25)",'Input Data'!$BG$7,'Input Data'!$BG$8))-'Input Data'!$BG$5),0)*VLOOKUP($G182,'Input Data'!$BI$3:$BL$10,3,FALSE),MAX((AH182-IF(OR($G182="M (under 21)",$G182="Z (under 21 - deferment)"),'Input Data'!$BG$6,IF($G182="H (Apprentice under 25)",'Input Data'!$BG$7,'Input Data'!$BG$8))),0)*VLOOKUP($G182,'Input Data'!$BI$3:$BL$10,4,FALSE))))</f>
        <v>0</v>
      </c>
      <c r="AQ182" s="56">
        <f>IF($G182="",0,IF(NOT(OR($G182="A - All employees not in groups B, C, J, H, M or Z",$G182="B - Married women and widows entitled to reduced NI",$G182="C - Over the State Pension age",$G182="H - Apprentice under 25",$G182="J – Deferment",$G182="M - Under 21",$G182="Z - Deferment (Under 21)",$G182="Please Enter The NI Cont. in ££££")),$G182,SUM(MAX(MIN(AI182-'Input Data'!$BG$3,'Input Data'!$BG$5-'Input Data'!$BG$3),0)*VLOOKUP($G182,'Input Data'!$BI$3:$BL$10,2,FALSE),MAX(MIN(AI182-'Input Data'!$BG$5,IF(OR($G182="M (under 21)",$G182="Z (under 21 - deferment)"),'Input Data'!$BG$6,IF($G182="H (Apprentice under 25)",'Input Data'!$BG$7,'Input Data'!$BG$8))-'Input Data'!$BG$5),0)*VLOOKUP($G182,'Input Data'!$BI$3:$BL$10,3,FALSE),MAX((AI182-IF(OR($G182="M (under 21)",$G182="Z (under 21 - deferment)"),'Input Data'!$BG$6,IF($G182="H (Apprentice under 25)",'Input Data'!$BG$7,'Input Data'!$BG$8))),0)*VLOOKUP($G182,'Input Data'!$BI$3:$BL$10,4,FALSE))))</f>
        <v>0</v>
      </c>
      <c r="AR182" s="56">
        <f>IF($G182="",0,IF(NOT(OR($G182="A - All employees not in groups B, C, J, H, M or Z",$G182="B - Married women and widows entitled to reduced NI",$G182="C - Over the State Pension age",$G182="H - Apprentice under 25",$G182="J – Deferment",$G182="M - Under 21",$G182="Z - Deferment (Under 21)",$G182="Please Enter The NI Cont. in ££££")),$G182,SUM(MAX(MIN(AJ182-'Input Data'!$BG$3,'Input Data'!$BG$5-'Input Data'!$BG$3),0)*VLOOKUP($G182,'Input Data'!$BI$3:$BL$10,2,FALSE),MAX(MIN(AJ182-'Input Data'!$BG$5,IF(OR($G182="M (under 21)",$G182="Z (under 21 - deferment)"),'Input Data'!$BG$6,IF($G182="H (Apprentice under 25)",'Input Data'!$BG$7,'Input Data'!$BG$8))-'Input Data'!$BG$5),0)*VLOOKUP($G182,'Input Data'!$BI$3:$BL$10,3,FALSE),MAX((AJ182-IF(OR($G182="M (under 21)",$G182="Z (under 21 - deferment)"),'Input Data'!$BG$6,IF($G182="H (Apprentice under 25)",'Input Data'!$BG$7,'Input Data'!$BG$8))),0)*VLOOKUP($G182,'Input Data'!$BI$3:$BL$10,4,FALSE))))</f>
        <v>0</v>
      </c>
      <c r="AS182" s="56">
        <f>AC182*$F182</f>
        <v>0</v>
      </c>
      <c r="AT182" s="56">
        <f>AD182*$F182</f>
        <v>0</v>
      </c>
      <c r="AU182" s="56">
        <f>AE182*$F182</f>
        <v>0</v>
      </c>
      <c r="AV182" s="56">
        <f>AF182*$F182</f>
        <v>0</v>
      </c>
      <c r="AW182" s="56">
        <f>AG182*$F182</f>
        <v>0</v>
      </c>
      <c r="AX182" s="56">
        <f>AH182*$F182</f>
        <v>0</v>
      </c>
      <c r="AY182" s="56">
        <f>AI182*$F182</f>
        <v>0</v>
      </c>
      <c r="AZ182" s="56">
        <f>AJ182*$F182</f>
        <v>0</v>
      </c>
    </row>
    <row r="183" spans="2:52" ht="25.5">
      <c r="B183" s="60"/>
      <c r="C183" s="57" t="s">
        <v>77</v>
      </c>
      <c r="D183" s="58"/>
      <c r="E183" s="58"/>
      <c r="F183" s="535"/>
      <c r="G183" s="693" t="s">
        <v>1149</v>
      </c>
      <c r="H183" s="65"/>
      <c r="I183" s="65"/>
      <c r="J183" s="65"/>
      <c r="K183" s="65"/>
      <c r="L183" s="65"/>
      <c r="M183" s="65"/>
      <c r="N183" s="65"/>
      <c r="O183" s="65"/>
      <c r="P183" s="29"/>
      <c r="Q183" s="597"/>
      <c r="R183" s="61"/>
      <c r="T183" s="43">
        <f>SUM(AC183,AK183,AS183)</f>
        <v>0</v>
      </c>
      <c r="U183" s="43">
        <f>SUM(AD183,AL183,AT183)</f>
        <v>0</v>
      </c>
      <c r="V183" s="43">
        <f>SUM(AE183,AM183,AU183)</f>
        <v>0</v>
      </c>
      <c r="W183" s="43">
        <f>SUM(AF183,AN183,AV183)</f>
        <v>0</v>
      </c>
      <c r="X183" s="43">
        <f>SUM(AG183,AO183,AW183)</f>
        <v>0</v>
      </c>
      <c r="Y183" s="43">
        <f>SUM(AH183,AP183,AX183)</f>
        <v>0</v>
      </c>
      <c r="Z183" s="43">
        <f>SUM(AI183,AQ183,AY183)</f>
        <v>0</v>
      </c>
      <c r="AA183" s="43">
        <f>SUM(AJ183,AR183,AZ183)</f>
        <v>0</v>
      </c>
      <c r="AC183" s="631">
        <f>SUM($D183:$E183)*H183</f>
        <v>0</v>
      </c>
      <c r="AD183" s="631">
        <f>SUM($D183:$E183)*I183</f>
        <v>0</v>
      </c>
      <c r="AE183" s="631">
        <f>SUM($D183:$E183)*J183</f>
        <v>0</v>
      </c>
      <c r="AF183" s="631">
        <f>SUM($D183:$E183)*K183</f>
        <v>0</v>
      </c>
      <c r="AG183" s="631">
        <f>SUM($D183:$E183)*L183</f>
        <v>0</v>
      </c>
      <c r="AH183" s="631">
        <f>SUM($D183:$E183)*M183</f>
        <v>0</v>
      </c>
      <c r="AI183" s="631">
        <f>SUM($D183:$E183)*N183</f>
        <v>0</v>
      </c>
      <c r="AJ183" s="631">
        <f>SUM($D183:$E183)*O183</f>
        <v>0</v>
      </c>
      <c r="AK183" s="56">
        <f>IF($G183="",0,IF(NOT(OR($G183="A - All employees not in groups B, C, J, H, M or Z",$G183="B - Married women and widows entitled to reduced NI",$G183="C - Over the State Pension age",$G183="H - Apprentice under 25",$G183="J – Deferment",$G183="M - Under 21",$G183="Z - Deferment (Under 21)",$G183="Please Enter The NI Cont. in ££££")),$G183,SUM(MAX(MIN(AC183-'Input Data'!$BG$3,'Input Data'!$BG$5-'Input Data'!$BG$3),0)*VLOOKUP($G183,'Input Data'!$BI$3:$BL$10,2,FALSE),MAX(MIN(AC183-'Input Data'!$BG$5,IF(OR($G183="M (under 21)",$G183="Z (under 21 - deferment)"),'Input Data'!$BG$6,IF($G183="H (Apprentice under 25)",'Input Data'!$BG$7,'Input Data'!$BG$8))-'Input Data'!$BG$5),0)*VLOOKUP($G183,'Input Data'!$BI$3:$BL$10,3,FALSE),MAX((AC183-IF(OR($G183="M (under 21)",$G183="Z (under 21 - deferment)"),'Input Data'!$BG$6,IF($G183="H (Apprentice under 25)",'Input Data'!$BG$7,'Input Data'!$BG$8))),0)*VLOOKUP($G183,'Input Data'!$BI$3:$BL$10,4,FALSE))))</f>
        <v>0</v>
      </c>
      <c r="AL183" s="56">
        <f>IF($G183="",0,IF(NOT(OR($G183="A - All employees not in groups B, C, J, H, M or Z",$G183="B - Married women and widows entitled to reduced NI",$G183="C - Over the State Pension age",$G183="H - Apprentice under 25",$G183="J – Deferment",$G183="M - Under 21",$G183="Z - Deferment (Under 21)",$G183="Please Enter The NI Cont. in ££££")),$G183,SUM(MAX(MIN(AD183-'Input Data'!$BG$3,'Input Data'!$BG$5-'Input Data'!$BG$3),0)*VLOOKUP($G183,'Input Data'!$BI$3:$BL$10,2,FALSE),MAX(MIN(AD183-'Input Data'!$BG$5,IF(OR($G183="M (under 21)",$G183="Z (under 21 - deferment)"),'Input Data'!$BG$6,IF($G183="H (Apprentice under 25)",'Input Data'!$BG$7,'Input Data'!$BG$8))-'Input Data'!$BG$5),0)*VLOOKUP($G183,'Input Data'!$BI$3:$BL$10,3,FALSE),MAX((AD183-IF(OR($G183="M (under 21)",$G183="Z (under 21 - deferment)"),'Input Data'!$BG$6,IF($G183="H (Apprentice under 25)",'Input Data'!$BG$7,'Input Data'!$BG$8))),0)*VLOOKUP($G183,'Input Data'!$BI$3:$BL$10,4,FALSE))))</f>
        <v>0</v>
      </c>
      <c r="AM183" s="56">
        <f>IF($G183="",0,IF(NOT(OR($G183="A - All employees not in groups B, C, J, H, M or Z",$G183="B - Married women and widows entitled to reduced NI",$G183="C - Over the State Pension age",$G183="H - Apprentice under 25",$G183="J – Deferment",$G183="M - Under 21",$G183="Z - Deferment (Under 21)",$G183="Please Enter The NI Cont. in ££££")),$G183,SUM(MAX(MIN(AE183-'Input Data'!$BG$3,'Input Data'!$BG$5-'Input Data'!$BG$3),0)*VLOOKUP($G183,'Input Data'!$BI$3:$BL$10,2,FALSE),MAX(MIN(AE183-'Input Data'!$BG$5,IF(OR($G183="M (under 21)",$G183="Z (under 21 - deferment)"),'Input Data'!$BG$6,IF($G183="H (Apprentice under 25)",'Input Data'!$BG$7,'Input Data'!$BG$8))-'Input Data'!$BG$5),0)*VLOOKUP($G183,'Input Data'!$BI$3:$BL$10,3,FALSE),MAX((AE183-IF(OR($G183="M (under 21)",$G183="Z (under 21 - deferment)"),'Input Data'!$BG$6,IF($G183="H (Apprentice under 25)",'Input Data'!$BG$7,'Input Data'!$BG$8))),0)*VLOOKUP($G183,'Input Data'!$BI$3:$BL$10,4,FALSE))))</f>
        <v>0</v>
      </c>
      <c r="AN183" s="56">
        <f>IF($G183="",0,IF(NOT(OR($G183="A - All employees not in groups B, C, J, H, M or Z",$G183="B - Married women and widows entitled to reduced NI",$G183="C - Over the State Pension age",$G183="H - Apprentice under 25",$G183="J – Deferment",$G183="M - Under 21",$G183="Z - Deferment (Under 21)",$G183="Please Enter The NI Cont. in ££££")),$G183,SUM(MAX(MIN(AF183-'Input Data'!$BG$3,'Input Data'!$BG$5-'Input Data'!$BG$3),0)*VLOOKUP($G183,'Input Data'!$BI$3:$BL$10,2,FALSE),MAX(MIN(AF183-'Input Data'!$BG$5,IF(OR($G183="M (under 21)",$G183="Z (under 21 - deferment)"),'Input Data'!$BG$6,IF($G183="H (Apprentice under 25)",'Input Data'!$BG$7,'Input Data'!$BG$8))-'Input Data'!$BG$5),0)*VLOOKUP($G183,'Input Data'!$BI$3:$BL$10,3,FALSE),MAX((AF183-IF(OR($G183="M (under 21)",$G183="Z (under 21 - deferment)"),'Input Data'!$BG$6,IF($G183="H (Apprentice under 25)",'Input Data'!$BG$7,'Input Data'!$BG$8))),0)*VLOOKUP($G183,'Input Data'!$BI$3:$BL$10,4,FALSE))))</f>
        <v>0</v>
      </c>
      <c r="AO183" s="56">
        <f>IF($G183="",0,IF(NOT(OR($G183="A - All employees not in groups B, C, J, H, M or Z",$G183="B - Married women and widows entitled to reduced NI",$G183="C - Over the State Pension age",$G183="H - Apprentice under 25",$G183="J – Deferment",$G183="M - Under 21",$G183="Z - Deferment (Under 21)",$G183="Please Enter The NI Cont. in ££££")),$G183,SUM(MAX(MIN(AG183-'Input Data'!$BG$3,'Input Data'!$BG$5-'Input Data'!$BG$3),0)*VLOOKUP($G183,'Input Data'!$BI$3:$BL$10,2,FALSE),MAX(MIN(AG183-'Input Data'!$BG$5,IF(OR($G183="M (under 21)",$G183="Z (under 21 - deferment)"),'Input Data'!$BG$6,IF($G183="H (Apprentice under 25)",'Input Data'!$BG$7,'Input Data'!$BG$8))-'Input Data'!$BG$5),0)*VLOOKUP($G183,'Input Data'!$BI$3:$BL$10,3,FALSE),MAX((AG183-IF(OR($G183="M (under 21)",$G183="Z (under 21 - deferment)"),'Input Data'!$BG$6,IF($G183="H (Apprentice under 25)",'Input Data'!$BG$7,'Input Data'!$BG$8))),0)*VLOOKUP($G183,'Input Data'!$BI$3:$BL$10,4,FALSE))))</f>
        <v>0</v>
      </c>
      <c r="AP183" s="56">
        <f>IF($G183="",0,IF(NOT(OR($G183="A - All employees not in groups B, C, J, H, M or Z",$G183="B - Married women and widows entitled to reduced NI",$G183="C - Over the State Pension age",$G183="H - Apprentice under 25",$G183="J – Deferment",$G183="M - Under 21",$G183="Z - Deferment (Under 21)",$G183="Please Enter The NI Cont. in ££££")),$G183,SUM(MAX(MIN(AH183-'Input Data'!$BG$3,'Input Data'!$BG$5-'Input Data'!$BG$3),0)*VLOOKUP($G183,'Input Data'!$BI$3:$BL$10,2,FALSE),MAX(MIN(AH183-'Input Data'!$BG$5,IF(OR($G183="M (under 21)",$G183="Z (under 21 - deferment)"),'Input Data'!$BG$6,IF($G183="H (Apprentice under 25)",'Input Data'!$BG$7,'Input Data'!$BG$8))-'Input Data'!$BG$5),0)*VLOOKUP($G183,'Input Data'!$BI$3:$BL$10,3,FALSE),MAX((AH183-IF(OR($G183="M (under 21)",$G183="Z (under 21 - deferment)"),'Input Data'!$BG$6,IF($G183="H (Apprentice under 25)",'Input Data'!$BG$7,'Input Data'!$BG$8))),0)*VLOOKUP($G183,'Input Data'!$BI$3:$BL$10,4,FALSE))))</f>
        <v>0</v>
      </c>
      <c r="AQ183" s="56">
        <f>IF($G183="",0,IF(NOT(OR($G183="A - All employees not in groups B, C, J, H, M or Z",$G183="B - Married women and widows entitled to reduced NI",$G183="C - Over the State Pension age",$G183="H - Apprentice under 25",$G183="J – Deferment",$G183="M - Under 21",$G183="Z - Deferment (Under 21)",$G183="Please Enter The NI Cont. in ££££")),$G183,SUM(MAX(MIN(AI183-'Input Data'!$BG$3,'Input Data'!$BG$5-'Input Data'!$BG$3),0)*VLOOKUP($G183,'Input Data'!$BI$3:$BL$10,2,FALSE),MAX(MIN(AI183-'Input Data'!$BG$5,IF(OR($G183="M (under 21)",$G183="Z (under 21 - deferment)"),'Input Data'!$BG$6,IF($G183="H (Apprentice under 25)",'Input Data'!$BG$7,'Input Data'!$BG$8))-'Input Data'!$BG$5),0)*VLOOKUP($G183,'Input Data'!$BI$3:$BL$10,3,FALSE),MAX((AI183-IF(OR($G183="M (under 21)",$G183="Z (under 21 - deferment)"),'Input Data'!$BG$6,IF($G183="H (Apprentice under 25)",'Input Data'!$BG$7,'Input Data'!$BG$8))),0)*VLOOKUP($G183,'Input Data'!$BI$3:$BL$10,4,FALSE))))</f>
        <v>0</v>
      </c>
      <c r="AR183" s="56">
        <f>IF($G183="",0,IF(NOT(OR($G183="A - All employees not in groups B, C, J, H, M or Z",$G183="B - Married women and widows entitled to reduced NI",$G183="C - Over the State Pension age",$G183="H - Apprentice under 25",$G183="J – Deferment",$G183="M - Under 21",$G183="Z - Deferment (Under 21)",$G183="Please Enter The NI Cont. in ££££")),$G183,SUM(MAX(MIN(AJ183-'Input Data'!$BG$3,'Input Data'!$BG$5-'Input Data'!$BG$3),0)*VLOOKUP($G183,'Input Data'!$BI$3:$BL$10,2,FALSE),MAX(MIN(AJ183-'Input Data'!$BG$5,IF(OR($G183="M (under 21)",$G183="Z (under 21 - deferment)"),'Input Data'!$BG$6,IF($G183="H (Apprentice under 25)",'Input Data'!$BG$7,'Input Data'!$BG$8))-'Input Data'!$BG$5),0)*VLOOKUP($G183,'Input Data'!$BI$3:$BL$10,3,FALSE),MAX((AJ183-IF(OR($G183="M (under 21)",$G183="Z (under 21 - deferment)"),'Input Data'!$BG$6,IF($G183="H (Apprentice under 25)",'Input Data'!$BG$7,'Input Data'!$BG$8))),0)*VLOOKUP($G183,'Input Data'!$BI$3:$BL$10,4,FALSE))))</f>
        <v>0</v>
      </c>
      <c r="AS183" s="56">
        <f>AC183*$F183</f>
        <v>0</v>
      </c>
      <c r="AT183" s="56">
        <f>AD183*$F183</f>
        <v>0</v>
      </c>
      <c r="AU183" s="56">
        <f>AE183*$F183</f>
        <v>0</v>
      </c>
      <c r="AV183" s="56">
        <f>AF183*$F183</f>
        <v>0</v>
      </c>
      <c r="AW183" s="56">
        <f>AG183*$F183</f>
        <v>0</v>
      </c>
      <c r="AX183" s="56">
        <f>AH183*$F183</f>
        <v>0</v>
      </c>
      <c r="AY183" s="56">
        <f>AI183*$F183</f>
        <v>0</v>
      </c>
      <c r="AZ183" s="56">
        <f>AJ183*$F183</f>
        <v>0</v>
      </c>
    </row>
    <row r="184" spans="2:52" ht="25.5">
      <c r="B184" s="60"/>
      <c r="C184" s="57" t="s">
        <v>78</v>
      </c>
      <c r="D184" s="58"/>
      <c r="E184" s="58"/>
      <c r="F184" s="535"/>
      <c r="G184" s="693" t="s">
        <v>1149</v>
      </c>
      <c r="H184" s="65"/>
      <c r="I184" s="65"/>
      <c r="J184" s="65"/>
      <c r="K184" s="65"/>
      <c r="L184" s="65"/>
      <c r="M184" s="65"/>
      <c r="N184" s="65"/>
      <c r="O184" s="65"/>
      <c r="P184" s="29"/>
      <c r="Q184" s="597"/>
      <c r="R184" s="61"/>
      <c r="T184" s="43">
        <f>SUM(AC184,AK184,AS184)</f>
        <v>0</v>
      </c>
      <c r="U184" s="43">
        <f>SUM(AD184,AL184,AT184)</f>
        <v>0</v>
      </c>
      <c r="V184" s="43">
        <f>SUM(AE184,AM184,AU184)</f>
        <v>0</v>
      </c>
      <c r="W184" s="43">
        <f>SUM(AF184,AN184,AV184)</f>
        <v>0</v>
      </c>
      <c r="X184" s="43">
        <f>SUM(AG184,AO184,AW184)</f>
        <v>0</v>
      </c>
      <c r="Y184" s="43">
        <f>SUM(AH184,AP184,AX184)</f>
        <v>0</v>
      </c>
      <c r="Z184" s="43">
        <f>SUM(AI184,AQ184,AY184)</f>
        <v>0</v>
      </c>
      <c r="AA184" s="43">
        <f>SUM(AJ184,AR184,AZ184)</f>
        <v>0</v>
      </c>
      <c r="AC184" s="631">
        <f>SUM($D184:$E184)*H184</f>
        <v>0</v>
      </c>
      <c r="AD184" s="631">
        <f>SUM($D184:$E184)*I184</f>
        <v>0</v>
      </c>
      <c r="AE184" s="631">
        <f>SUM($D184:$E184)*J184</f>
        <v>0</v>
      </c>
      <c r="AF184" s="631">
        <f>SUM($D184:$E184)*K184</f>
        <v>0</v>
      </c>
      <c r="AG184" s="631">
        <f>SUM($D184:$E184)*L184</f>
        <v>0</v>
      </c>
      <c r="AH184" s="631">
        <f>SUM($D184:$E184)*M184</f>
        <v>0</v>
      </c>
      <c r="AI184" s="631">
        <f>SUM($D184:$E184)*N184</f>
        <v>0</v>
      </c>
      <c r="AJ184" s="631">
        <f>SUM($D184:$E184)*O184</f>
        <v>0</v>
      </c>
      <c r="AK184" s="56">
        <f>IF($G184="",0,IF(NOT(OR($G184="A - All employees not in groups B, C, J, H, M or Z",$G184="B - Married women and widows entitled to reduced NI",$G184="C - Over the State Pension age",$G184="H - Apprentice under 25",$G184="J – Deferment",$G184="M - Under 21",$G184="Z - Deferment (Under 21)",$G184="Please Enter The NI Cont. in ££££")),$G184,SUM(MAX(MIN(AC184-'Input Data'!$BG$3,'Input Data'!$BG$5-'Input Data'!$BG$3),0)*VLOOKUP($G184,'Input Data'!$BI$3:$BL$10,2,FALSE),MAX(MIN(AC184-'Input Data'!$BG$5,IF(OR($G184="M (under 21)",$G184="Z (under 21 - deferment)"),'Input Data'!$BG$6,IF($G184="H (Apprentice under 25)",'Input Data'!$BG$7,'Input Data'!$BG$8))-'Input Data'!$BG$5),0)*VLOOKUP($G184,'Input Data'!$BI$3:$BL$10,3,FALSE),MAX((AC184-IF(OR($G184="M (under 21)",$G184="Z (under 21 - deferment)"),'Input Data'!$BG$6,IF($G184="H (Apprentice under 25)",'Input Data'!$BG$7,'Input Data'!$BG$8))),0)*VLOOKUP($G184,'Input Data'!$BI$3:$BL$10,4,FALSE))))</f>
        <v>0</v>
      </c>
      <c r="AL184" s="56">
        <f>IF($G184="",0,IF(NOT(OR($G184="A - All employees not in groups B, C, J, H, M or Z",$G184="B - Married women and widows entitled to reduced NI",$G184="C - Over the State Pension age",$G184="H - Apprentice under 25",$G184="J – Deferment",$G184="M - Under 21",$G184="Z - Deferment (Under 21)",$G184="Please Enter The NI Cont. in ££££")),$G184,SUM(MAX(MIN(AD184-'Input Data'!$BG$3,'Input Data'!$BG$5-'Input Data'!$BG$3),0)*VLOOKUP($G184,'Input Data'!$BI$3:$BL$10,2,FALSE),MAX(MIN(AD184-'Input Data'!$BG$5,IF(OR($G184="M (under 21)",$G184="Z (under 21 - deferment)"),'Input Data'!$BG$6,IF($G184="H (Apprentice under 25)",'Input Data'!$BG$7,'Input Data'!$BG$8))-'Input Data'!$BG$5),0)*VLOOKUP($G184,'Input Data'!$BI$3:$BL$10,3,FALSE),MAX((AD184-IF(OR($G184="M (under 21)",$G184="Z (under 21 - deferment)"),'Input Data'!$BG$6,IF($G184="H (Apprentice under 25)",'Input Data'!$BG$7,'Input Data'!$BG$8))),0)*VLOOKUP($G184,'Input Data'!$BI$3:$BL$10,4,FALSE))))</f>
        <v>0</v>
      </c>
      <c r="AM184" s="56">
        <f>IF($G184="",0,IF(NOT(OR($G184="A - All employees not in groups B, C, J, H, M or Z",$G184="B - Married women and widows entitled to reduced NI",$G184="C - Over the State Pension age",$G184="H - Apprentice under 25",$G184="J – Deferment",$G184="M - Under 21",$G184="Z - Deferment (Under 21)",$G184="Please Enter The NI Cont. in ££££")),$G184,SUM(MAX(MIN(AE184-'Input Data'!$BG$3,'Input Data'!$BG$5-'Input Data'!$BG$3),0)*VLOOKUP($G184,'Input Data'!$BI$3:$BL$10,2,FALSE),MAX(MIN(AE184-'Input Data'!$BG$5,IF(OR($G184="M (under 21)",$G184="Z (under 21 - deferment)"),'Input Data'!$BG$6,IF($G184="H (Apprentice under 25)",'Input Data'!$BG$7,'Input Data'!$BG$8))-'Input Data'!$BG$5),0)*VLOOKUP($G184,'Input Data'!$BI$3:$BL$10,3,FALSE),MAX((AE184-IF(OR($G184="M (under 21)",$G184="Z (under 21 - deferment)"),'Input Data'!$BG$6,IF($G184="H (Apprentice under 25)",'Input Data'!$BG$7,'Input Data'!$BG$8))),0)*VLOOKUP($G184,'Input Data'!$BI$3:$BL$10,4,FALSE))))</f>
        <v>0</v>
      </c>
      <c r="AN184" s="56">
        <f>IF($G184="",0,IF(NOT(OR($G184="A - All employees not in groups B, C, J, H, M or Z",$G184="B - Married women and widows entitled to reduced NI",$G184="C - Over the State Pension age",$G184="H - Apprentice under 25",$G184="J – Deferment",$G184="M - Under 21",$G184="Z - Deferment (Under 21)",$G184="Please Enter The NI Cont. in ££££")),$G184,SUM(MAX(MIN(AF184-'Input Data'!$BG$3,'Input Data'!$BG$5-'Input Data'!$BG$3),0)*VLOOKUP($G184,'Input Data'!$BI$3:$BL$10,2,FALSE),MAX(MIN(AF184-'Input Data'!$BG$5,IF(OR($G184="M (under 21)",$G184="Z (under 21 - deferment)"),'Input Data'!$BG$6,IF($G184="H (Apprentice under 25)",'Input Data'!$BG$7,'Input Data'!$BG$8))-'Input Data'!$BG$5),0)*VLOOKUP($G184,'Input Data'!$BI$3:$BL$10,3,FALSE),MAX((AF184-IF(OR($G184="M (under 21)",$G184="Z (under 21 - deferment)"),'Input Data'!$BG$6,IF($G184="H (Apprentice under 25)",'Input Data'!$BG$7,'Input Data'!$BG$8))),0)*VLOOKUP($G184,'Input Data'!$BI$3:$BL$10,4,FALSE))))</f>
        <v>0</v>
      </c>
      <c r="AO184" s="56">
        <f>IF($G184="",0,IF(NOT(OR($G184="A - All employees not in groups B, C, J, H, M or Z",$G184="B - Married women and widows entitled to reduced NI",$G184="C - Over the State Pension age",$G184="H - Apprentice under 25",$G184="J – Deferment",$G184="M - Under 21",$G184="Z - Deferment (Under 21)",$G184="Please Enter The NI Cont. in ££££")),$G184,SUM(MAX(MIN(AG184-'Input Data'!$BG$3,'Input Data'!$BG$5-'Input Data'!$BG$3),0)*VLOOKUP($G184,'Input Data'!$BI$3:$BL$10,2,FALSE),MAX(MIN(AG184-'Input Data'!$BG$5,IF(OR($G184="M (under 21)",$G184="Z (under 21 - deferment)"),'Input Data'!$BG$6,IF($G184="H (Apprentice under 25)",'Input Data'!$BG$7,'Input Data'!$BG$8))-'Input Data'!$BG$5),0)*VLOOKUP($G184,'Input Data'!$BI$3:$BL$10,3,FALSE),MAX((AG184-IF(OR($G184="M (under 21)",$G184="Z (under 21 - deferment)"),'Input Data'!$BG$6,IF($G184="H (Apprentice under 25)",'Input Data'!$BG$7,'Input Data'!$BG$8))),0)*VLOOKUP($G184,'Input Data'!$BI$3:$BL$10,4,FALSE))))</f>
        <v>0</v>
      </c>
      <c r="AP184" s="56">
        <f>IF($G184="",0,IF(NOT(OR($G184="A - All employees not in groups B, C, J, H, M or Z",$G184="B - Married women and widows entitled to reduced NI",$G184="C - Over the State Pension age",$G184="H - Apprentice under 25",$G184="J – Deferment",$G184="M - Under 21",$G184="Z - Deferment (Under 21)",$G184="Please Enter The NI Cont. in ££££")),$G184,SUM(MAX(MIN(AH184-'Input Data'!$BG$3,'Input Data'!$BG$5-'Input Data'!$BG$3),0)*VLOOKUP($G184,'Input Data'!$BI$3:$BL$10,2,FALSE),MAX(MIN(AH184-'Input Data'!$BG$5,IF(OR($G184="M (under 21)",$G184="Z (under 21 - deferment)"),'Input Data'!$BG$6,IF($G184="H (Apprentice under 25)",'Input Data'!$BG$7,'Input Data'!$BG$8))-'Input Data'!$BG$5),0)*VLOOKUP($G184,'Input Data'!$BI$3:$BL$10,3,FALSE),MAX((AH184-IF(OR($G184="M (under 21)",$G184="Z (under 21 - deferment)"),'Input Data'!$BG$6,IF($G184="H (Apprentice under 25)",'Input Data'!$BG$7,'Input Data'!$BG$8))),0)*VLOOKUP($G184,'Input Data'!$BI$3:$BL$10,4,FALSE))))</f>
        <v>0</v>
      </c>
      <c r="AQ184" s="56">
        <f>IF($G184="",0,IF(NOT(OR($G184="A - All employees not in groups B, C, J, H, M or Z",$G184="B - Married women and widows entitled to reduced NI",$G184="C - Over the State Pension age",$G184="H - Apprentice under 25",$G184="J – Deferment",$G184="M - Under 21",$G184="Z - Deferment (Under 21)",$G184="Please Enter The NI Cont. in ££££")),$G184,SUM(MAX(MIN(AI184-'Input Data'!$BG$3,'Input Data'!$BG$5-'Input Data'!$BG$3),0)*VLOOKUP($G184,'Input Data'!$BI$3:$BL$10,2,FALSE),MAX(MIN(AI184-'Input Data'!$BG$5,IF(OR($G184="M (under 21)",$G184="Z (under 21 - deferment)"),'Input Data'!$BG$6,IF($G184="H (Apprentice under 25)",'Input Data'!$BG$7,'Input Data'!$BG$8))-'Input Data'!$BG$5),0)*VLOOKUP($G184,'Input Data'!$BI$3:$BL$10,3,FALSE),MAX((AI184-IF(OR($G184="M (under 21)",$G184="Z (under 21 - deferment)"),'Input Data'!$BG$6,IF($G184="H (Apprentice under 25)",'Input Data'!$BG$7,'Input Data'!$BG$8))),0)*VLOOKUP($G184,'Input Data'!$BI$3:$BL$10,4,FALSE))))</f>
        <v>0</v>
      </c>
      <c r="AR184" s="56">
        <f>IF($G184="",0,IF(NOT(OR($G184="A - All employees not in groups B, C, J, H, M or Z",$G184="B - Married women and widows entitled to reduced NI",$G184="C - Over the State Pension age",$G184="H - Apprentice under 25",$G184="J – Deferment",$G184="M - Under 21",$G184="Z - Deferment (Under 21)",$G184="Please Enter The NI Cont. in ££££")),$G184,SUM(MAX(MIN(AJ184-'Input Data'!$BG$3,'Input Data'!$BG$5-'Input Data'!$BG$3),0)*VLOOKUP($G184,'Input Data'!$BI$3:$BL$10,2,FALSE),MAX(MIN(AJ184-'Input Data'!$BG$5,IF(OR($G184="M (under 21)",$G184="Z (under 21 - deferment)"),'Input Data'!$BG$6,IF($G184="H (Apprentice under 25)",'Input Data'!$BG$7,'Input Data'!$BG$8))-'Input Data'!$BG$5),0)*VLOOKUP($G184,'Input Data'!$BI$3:$BL$10,3,FALSE),MAX((AJ184-IF(OR($G184="M (under 21)",$G184="Z (under 21 - deferment)"),'Input Data'!$BG$6,IF($G184="H (Apprentice under 25)",'Input Data'!$BG$7,'Input Data'!$BG$8))),0)*VLOOKUP($G184,'Input Data'!$BI$3:$BL$10,4,FALSE))))</f>
        <v>0</v>
      </c>
      <c r="AS184" s="56">
        <f>AC184*$F184</f>
        <v>0</v>
      </c>
      <c r="AT184" s="56">
        <f>AD184*$F184</f>
        <v>0</v>
      </c>
      <c r="AU184" s="56">
        <f>AE184*$F184</f>
        <v>0</v>
      </c>
      <c r="AV184" s="56">
        <f>AF184*$F184</f>
        <v>0</v>
      </c>
      <c r="AW184" s="56">
        <f>AG184*$F184</f>
        <v>0</v>
      </c>
      <c r="AX184" s="56">
        <f>AH184*$F184</f>
        <v>0</v>
      </c>
      <c r="AY184" s="56">
        <f>AI184*$F184</f>
        <v>0</v>
      </c>
      <c r="AZ184" s="56">
        <f>AJ184*$F184</f>
        <v>0</v>
      </c>
    </row>
    <row r="185" spans="2:52" ht="25.5">
      <c r="B185" s="60"/>
      <c r="C185" s="57" t="s">
        <v>79</v>
      </c>
      <c r="D185" s="58"/>
      <c r="E185" s="58"/>
      <c r="F185" s="535"/>
      <c r="G185" s="693" t="s">
        <v>1149</v>
      </c>
      <c r="H185" s="65"/>
      <c r="I185" s="65"/>
      <c r="J185" s="65"/>
      <c r="K185" s="65"/>
      <c r="L185" s="65"/>
      <c r="M185" s="65"/>
      <c r="N185" s="65"/>
      <c r="O185" s="65"/>
      <c r="P185" s="29"/>
      <c r="Q185" s="597"/>
      <c r="R185" s="61"/>
      <c r="T185" s="43">
        <f>SUM(AC185,AK185,AS185)</f>
        <v>0</v>
      </c>
      <c r="U185" s="43">
        <f>SUM(AD185,AL185,AT185)</f>
        <v>0</v>
      </c>
      <c r="V185" s="43">
        <f>SUM(AE185,AM185,AU185)</f>
        <v>0</v>
      </c>
      <c r="W185" s="43">
        <f>SUM(AF185,AN185,AV185)</f>
        <v>0</v>
      </c>
      <c r="X185" s="43">
        <f>SUM(AG185,AO185,AW185)</f>
        <v>0</v>
      </c>
      <c r="Y185" s="43">
        <f>SUM(AH185,AP185,AX185)</f>
        <v>0</v>
      </c>
      <c r="Z185" s="43">
        <f>SUM(AI185,AQ185,AY185)</f>
        <v>0</v>
      </c>
      <c r="AA185" s="43">
        <f>SUM(AJ185,AR185,AZ185)</f>
        <v>0</v>
      </c>
      <c r="AC185" s="631">
        <f>SUM($D185:$E185)*H185</f>
        <v>0</v>
      </c>
      <c r="AD185" s="631">
        <f>SUM($D185:$E185)*I185</f>
        <v>0</v>
      </c>
      <c r="AE185" s="631">
        <f>SUM($D185:$E185)*J185</f>
        <v>0</v>
      </c>
      <c r="AF185" s="631">
        <f>SUM($D185:$E185)*K185</f>
        <v>0</v>
      </c>
      <c r="AG185" s="631">
        <f>SUM($D185:$E185)*L185</f>
        <v>0</v>
      </c>
      <c r="AH185" s="631">
        <f>SUM($D185:$E185)*M185</f>
        <v>0</v>
      </c>
      <c r="AI185" s="631">
        <f>SUM($D185:$E185)*N185</f>
        <v>0</v>
      </c>
      <c r="AJ185" s="631">
        <f>SUM($D185:$E185)*O185</f>
        <v>0</v>
      </c>
      <c r="AK185" s="56">
        <f>IF($G185="",0,IF(NOT(OR($G185="A - All employees not in groups B, C, J, H, M or Z",$G185="B - Married women and widows entitled to reduced NI",$G185="C - Over the State Pension age",$G185="H - Apprentice under 25",$G185="J – Deferment",$G185="M - Under 21",$G185="Z - Deferment (Under 21)",$G185="Please Enter The NI Cont. in ££££")),$G185,SUM(MAX(MIN(AC185-'Input Data'!$BG$3,'Input Data'!$BG$5-'Input Data'!$BG$3),0)*VLOOKUP($G185,'Input Data'!$BI$3:$BL$10,2,FALSE),MAX(MIN(AC185-'Input Data'!$BG$5,IF(OR($G185="M (under 21)",$G185="Z (under 21 - deferment)"),'Input Data'!$BG$6,IF($G185="H (Apprentice under 25)",'Input Data'!$BG$7,'Input Data'!$BG$8))-'Input Data'!$BG$5),0)*VLOOKUP($G185,'Input Data'!$BI$3:$BL$10,3,FALSE),MAX((AC185-IF(OR($G185="M (under 21)",$G185="Z (under 21 - deferment)"),'Input Data'!$BG$6,IF($G185="H (Apprentice under 25)",'Input Data'!$BG$7,'Input Data'!$BG$8))),0)*VLOOKUP($G185,'Input Data'!$BI$3:$BL$10,4,FALSE))))</f>
        <v>0</v>
      </c>
      <c r="AL185" s="56">
        <f>IF($G185="",0,IF(NOT(OR($G185="A - All employees not in groups B, C, J, H, M or Z",$G185="B - Married women and widows entitled to reduced NI",$G185="C - Over the State Pension age",$G185="H - Apprentice under 25",$G185="J – Deferment",$G185="M - Under 21",$G185="Z - Deferment (Under 21)",$G185="Please Enter The NI Cont. in ££££")),$G185,SUM(MAX(MIN(AD185-'Input Data'!$BG$3,'Input Data'!$BG$5-'Input Data'!$BG$3),0)*VLOOKUP($G185,'Input Data'!$BI$3:$BL$10,2,FALSE),MAX(MIN(AD185-'Input Data'!$BG$5,IF(OR($G185="M (under 21)",$G185="Z (under 21 - deferment)"),'Input Data'!$BG$6,IF($G185="H (Apprentice under 25)",'Input Data'!$BG$7,'Input Data'!$BG$8))-'Input Data'!$BG$5),0)*VLOOKUP($G185,'Input Data'!$BI$3:$BL$10,3,FALSE),MAX((AD185-IF(OR($G185="M (under 21)",$G185="Z (under 21 - deferment)"),'Input Data'!$BG$6,IF($G185="H (Apprentice under 25)",'Input Data'!$BG$7,'Input Data'!$BG$8))),0)*VLOOKUP($G185,'Input Data'!$BI$3:$BL$10,4,FALSE))))</f>
        <v>0</v>
      </c>
      <c r="AM185" s="56">
        <f>IF($G185="",0,IF(NOT(OR($G185="A - All employees not in groups B, C, J, H, M or Z",$G185="B - Married women and widows entitled to reduced NI",$G185="C - Over the State Pension age",$G185="H - Apprentice under 25",$G185="J – Deferment",$G185="M - Under 21",$G185="Z - Deferment (Under 21)",$G185="Please Enter The NI Cont. in ££££")),$G185,SUM(MAX(MIN(AE185-'Input Data'!$BG$3,'Input Data'!$BG$5-'Input Data'!$BG$3),0)*VLOOKUP($G185,'Input Data'!$BI$3:$BL$10,2,FALSE),MAX(MIN(AE185-'Input Data'!$BG$5,IF(OR($G185="M (under 21)",$G185="Z (under 21 - deferment)"),'Input Data'!$BG$6,IF($G185="H (Apprentice under 25)",'Input Data'!$BG$7,'Input Data'!$BG$8))-'Input Data'!$BG$5),0)*VLOOKUP($G185,'Input Data'!$BI$3:$BL$10,3,FALSE),MAX((AE185-IF(OR($G185="M (under 21)",$G185="Z (under 21 - deferment)"),'Input Data'!$BG$6,IF($G185="H (Apprentice under 25)",'Input Data'!$BG$7,'Input Data'!$BG$8))),0)*VLOOKUP($G185,'Input Data'!$BI$3:$BL$10,4,FALSE))))</f>
        <v>0</v>
      </c>
      <c r="AN185" s="56">
        <f>IF($G185="",0,IF(NOT(OR($G185="A - All employees not in groups B, C, J, H, M or Z",$G185="B - Married women and widows entitled to reduced NI",$G185="C - Over the State Pension age",$G185="H - Apprentice under 25",$G185="J – Deferment",$G185="M - Under 21",$G185="Z - Deferment (Under 21)",$G185="Please Enter The NI Cont. in ££££")),$G185,SUM(MAX(MIN(AF185-'Input Data'!$BG$3,'Input Data'!$BG$5-'Input Data'!$BG$3),0)*VLOOKUP($G185,'Input Data'!$BI$3:$BL$10,2,FALSE),MAX(MIN(AF185-'Input Data'!$BG$5,IF(OR($G185="M (under 21)",$G185="Z (under 21 - deferment)"),'Input Data'!$BG$6,IF($G185="H (Apprentice under 25)",'Input Data'!$BG$7,'Input Data'!$BG$8))-'Input Data'!$BG$5),0)*VLOOKUP($G185,'Input Data'!$BI$3:$BL$10,3,FALSE),MAX((AF185-IF(OR($G185="M (under 21)",$G185="Z (under 21 - deferment)"),'Input Data'!$BG$6,IF($G185="H (Apprentice under 25)",'Input Data'!$BG$7,'Input Data'!$BG$8))),0)*VLOOKUP($G185,'Input Data'!$BI$3:$BL$10,4,FALSE))))</f>
        <v>0</v>
      </c>
      <c r="AO185" s="56">
        <f>IF($G185="",0,IF(NOT(OR($G185="A - All employees not in groups B, C, J, H, M or Z",$G185="B - Married women and widows entitled to reduced NI",$G185="C - Over the State Pension age",$G185="H - Apprentice under 25",$G185="J – Deferment",$G185="M - Under 21",$G185="Z - Deferment (Under 21)",$G185="Please Enter The NI Cont. in ££££")),$G185,SUM(MAX(MIN(AG185-'Input Data'!$BG$3,'Input Data'!$BG$5-'Input Data'!$BG$3),0)*VLOOKUP($G185,'Input Data'!$BI$3:$BL$10,2,FALSE),MAX(MIN(AG185-'Input Data'!$BG$5,IF(OR($G185="M (under 21)",$G185="Z (under 21 - deferment)"),'Input Data'!$BG$6,IF($G185="H (Apprentice under 25)",'Input Data'!$BG$7,'Input Data'!$BG$8))-'Input Data'!$BG$5),0)*VLOOKUP($G185,'Input Data'!$BI$3:$BL$10,3,FALSE),MAX((AG185-IF(OR($G185="M (under 21)",$G185="Z (under 21 - deferment)"),'Input Data'!$BG$6,IF($G185="H (Apprentice under 25)",'Input Data'!$BG$7,'Input Data'!$BG$8))),0)*VLOOKUP($G185,'Input Data'!$BI$3:$BL$10,4,FALSE))))</f>
        <v>0</v>
      </c>
      <c r="AP185" s="56">
        <f>IF($G185="",0,IF(NOT(OR($G185="A - All employees not in groups B, C, J, H, M or Z",$G185="B - Married women and widows entitled to reduced NI",$G185="C - Over the State Pension age",$G185="H - Apprentice under 25",$G185="J – Deferment",$G185="M - Under 21",$G185="Z - Deferment (Under 21)",$G185="Please Enter The NI Cont. in ££££")),$G185,SUM(MAX(MIN(AH185-'Input Data'!$BG$3,'Input Data'!$BG$5-'Input Data'!$BG$3),0)*VLOOKUP($G185,'Input Data'!$BI$3:$BL$10,2,FALSE),MAX(MIN(AH185-'Input Data'!$BG$5,IF(OR($G185="M (under 21)",$G185="Z (under 21 - deferment)"),'Input Data'!$BG$6,IF($G185="H (Apprentice under 25)",'Input Data'!$BG$7,'Input Data'!$BG$8))-'Input Data'!$BG$5),0)*VLOOKUP($G185,'Input Data'!$BI$3:$BL$10,3,FALSE),MAX((AH185-IF(OR($G185="M (under 21)",$G185="Z (under 21 - deferment)"),'Input Data'!$BG$6,IF($G185="H (Apprentice under 25)",'Input Data'!$BG$7,'Input Data'!$BG$8))),0)*VLOOKUP($G185,'Input Data'!$BI$3:$BL$10,4,FALSE))))</f>
        <v>0</v>
      </c>
      <c r="AQ185" s="56">
        <f>IF($G185="",0,IF(NOT(OR($G185="A - All employees not in groups B, C, J, H, M or Z",$G185="B - Married women and widows entitled to reduced NI",$G185="C - Over the State Pension age",$G185="H - Apprentice under 25",$G185="J – Deferment",$G185="M - Under 21",$G185="Z - Deferment (Under 21)",$G185="Please Enter The NI Cont. in ££££")),$G185,SUM(MAX(MIN(AI185-'Input Data'!$BG$3,'Input Data'!$BG$5-'Input Data'!$BG$3),0)*VLOOKUP($G185,'Input Data'!$BI$3:$BL$10,2,FALSE),MAX(MIN(AI185-'Input Data'!$BG$5,IF(OR($G185="M (under 21)",$G185="Z (under 21 - deferment)"),'Input Data'!$BG$6,IF($G185="H (Apprentice under 25)",'Input Data'!$BG$7,'Input Data'!$BG$8))-'Input Data'!$BG$5),0)*VLOOKUP($G185,'Input Data'!$BI$3:$BL$10,3,FALSE),MAX((AI185-IF(OR($G185="M (under 21)",$G185="Z (under 21 - deferment)"),'Input Data'!$BG$6,IF($G185="H (Apprentice under 25)",'Input Data'!$BG$7,'Input Data'!$BG$8))),0)*VLOOKUP($G185,'Input Data'!$BI$3:$BL$10,4,FALSE))))</f>
        <v>0</v>
      </c>
      <c r="AR185" s="56">
        <f>IF($G185="",0,IF(NOT(OR($G185="A - All employees not in groups B, C, J, H, M or Z",$G185="B - Married women and widows entitled to reduced NI",$G185="C - Over the State Pension age",$G185="H - Apprentice under 25",$G185="J – Deferment",$G185="M - Under 21",$G185="Z - Deferment (Under 21)",$G185="Please Enter The NI Cont. in ££££")),$G185,SUM(MAX(MIN(AJ185-'Input Data'!$BG$3,'Input Data'!$BG$5-'Input Data'!$BG$3),0)*VLOOKUP($G185,'Input Data'!$BI$3:$BL$10,2,FALSE),MAX(MIN(AJ185-'Input Data'!$BG$5,IF(OR($G185="M (under 21)",$G185="Z (under 21 - deferment)"),'Input Data'!$BG$6,IF($G185="H (Apprentice under 25)",'Input Data'!$BG$7,'Input Data'!$BG$8))-'Input Data'!$BG$5),0)*VLOOKUP($G185,'Input Data'!$BI$3:$BL$10,3,FALSE),MAX((AJ185-IF(OR($G185="M (under 21)",$G185="Z (under 21 - deferment)"),'Input Data'!$BG$6,IF($G185="H (Apprentice under 25)",'Input Data'!$BG$7,'Input Data'!$BG$8))),0)*VLOOKUP($G185,'Input Data'!$BI$3:$BL$10,4,FALSE))))</f>
        <v>0</v>
      </c>
      <c r="AS185" s="56">
        <f>AC185*$F185</f>
        <v>0</v>
      </c>
      <c r="AT185" s="56">
        <f>AD185*$F185</f>
        <v>0</v>
      </c>
      <c r="AU185" s="56">
        <f>AE185*$F185</f>
        <v>0</v>
      </c>
      <c r="AV185" s="56">
        <f>AF185*$F185</f>
        <v>0</v>
      </c>
      <c r="AW185" s="56">
        <f>AG185*$F185</f>
        <v>0</v>
      </c>
      <c r="AX185" s="56">
        <f>AH185*$F185</f>
        <v>0</v>
      </c>
      <c r="AY185" s="56">
        <f>AI185*$F185</f>
        <v>0</v>
      </c>
      <c r="AZ185" s="56">
        <f>AJ185*$F185</f>
        <v>0</v>
      </c>
    </row>
    <row r="186" spans="2:52" ht="25.5">
      <c r="B186" s="60"/>
      <c r="C186" s="57" t="s">
        <v>80</v>
      </c>
      <c r="D186" s="58"/>
      <c r="E186" s="58"/>
      <c r="F186" s="535"/>
      <c r="G186" s="693" t="s">
        <v>1149</v>
      </c>
      <c r="H186" s="65"/>
      <c r="I186" s="65"/>
      <c r="J186" s="65"/>
      <c r="K186" s="65"/>
      <c r="L186" s="65"/>
      <c r="M186" s="65"/>
      <c r="N186" s="65"/>
      <c r="O186" s="65"/>
      <c r="P186" s="29"/>
      <c r="Q186" s="597"/>
      <c r="R186" s="61"/>
      <c r="T186" s="43">
        <f>SUM(AC186,AK186,AS186)</f>
        <v>0</v>
      </c>
      <c r="U186" s="43">
        <f>SUM(AD186,AL186,AT186)</f>
        <v>0</v>
      </c>
      <c r="V186" s="43">
        <f>SUM(AE186,AM186,AU186)</f>
        <v>0</v>
      </c>
      <c r="W186" s="43">
        <f>SUM(AF186,AN186,AV186)</f>
        <v>0</v>
      </c>
      <c r="X186" s="43">
        <f>SUM(AG186,AO186,AW186)</f>
        <v>0</v>
      </c>
      <c r="Y186" s="43">
        <f>SUM(AH186,AP186,AX186)</f>
        <v>0</v>
      </c>
      <c r="Z186" s="43">
        <f>SUM(AI186,AQ186,AY186)</f>
        <v>0</v>
      </c>
      <c r="AA186" s="43">
        <f>SUM(AJ186,AR186,AZ186)</f>
        <v>0</v>
      </c>
      <c r="AC186" s="631">
        <f>SUM($D186:$E186)*H186</f>
        <v>0</v>
      </c>
      <c r="AD186" s="631">
        <f>SUM($D186:$E186)*I186</f>
        <v>0</v>
      </c>
      <c r="AE186" s="631">
        <f>SUM($D186:$E186)*J186</f>
        <v>0</v>
      </c>
      <c r="AF186" s="631">
        <f>SUM($D186:$E186)*K186</f>
        <v>0</v>
      </c>
      <c r="AG186" s="631">
        <f>SUM($D186:$E186)*L186</f>
        <v>0</v>
      </c>
      <c r="AH186" s="631">
        <f>SUM($D186:$E186)*M186</f>
        <v>0</v>
      </c>
      <c r="AI186" s="631">
        <f>SUM($D186:$E186)*N186</f>
        <v>0</v>
      </c>
      <c r="AJ186" s="631">
        <f>SUM($D186:$E186)*O186</f>
        <v>0</v>
      </c>
      <c r="AK186" s="56">
        <f>IF($G186="",0,IF(NOT(OR($G186="A - All employees not in groups B, C, J, H, M or Z",$G186="B - Married women and widows entitled to reduced NI",$G186="C - Over the State Pension age",$G186="H - Apprentice under 25",$G186="J – Deferment",$G186="M - Under 21",$G186="Z - Deferment (Under 21)",$G186="Please Enter The NI Cont. in ££££")),$G186,SUM(MAX(MIN(AC186-'Input Data'!$BG$3,'Input Data'!$BG$5-'Input Data'!$BG$3),0)*VLOOKUP($G186,'Input Data'!$BI$3:$BL$10,2,FALSE),MAX(MIN(AC186-'Input Data'!$BG$5,IF(OR($G186="M (under 21)",$G186="Z (under 21 - deferment)"),'Input Data'!$BG$6,IF($G186="H (Apprentice under 25)",'Input Data'!$BG$7,'Input Data'!$BG$8))-'Input Data'!$BG$5),0)*VLOOKUP($G186,'Input Data'!$BI$3:$BL$10,3,FALSE),MAX((AC186-IF(OR($G186="M (under 21)",$G186="Z (under 21 - deferment)"),'Input Data'!$BG$6,IF($G186="H (Apprentice under 25)",'Input Data'!$BG$7,'Input Data'!$BG$8))),0)*VLOOKUP($G186,'Input Data'!$BI$3:$BL$10,4,FALSE))))</f>
        <v>0</v>
      </c>
      <c r="AL186" s="56">
        <f>IF($G186="",0,IF(NOT(OR($G186="A - All employees not in groups B, C, J, H, M or Z",$G186="B - Married women and widows entitled to reduced NI",$G186="C - Over the State Pension age",$G186="H - Apprentice under 25",$G186="J – Deferment",$G186="M - Under 21",$G186="Z - Deferment (Under 21)",$G186="Please Enter The NI Cont. in ££££")),$G186,SUM(MAX(MIN(AD186-'Input Data'!$BG$3,'Input Data'!$BG$5-'Input Data'!$BG$3),0)*VLOOKUP($G186,'Input Data'!$BI$3:$BL$10,2,FALSE),MAX(MIN(AD186-'Input Data'!$BG$5,IF(OR($G186="M (under 21)",$G186="Z (under 21 - deferment)"),'Input Data'!$BG$6,IF($G186="H (Apprentice under 25)",'Input Data'!$BG$7,'Input Data'!$BG$8))-'Input Data'!$BG$5),0)*VLOOKUP($G186,'Input Data'!$BI$3:$BL$10,3,FALSE),MAX((AD186-IF(OR($G186="M (under 21)",$G186="Z (under 21 - deferment)"),'Input Data'!$BG$6,IF($G186="H (Apprentice under 25)",'Input Data'!$BG$7,'Input Data'!$BG$8))),0)*VLOOKUP($G186,'Input Data'!$BI$3:$BL$10,4,FALSE))))</f>
        <v>0</v>
      </c>
      <c r="AM186" s="56">
        <f>IF($G186="",0,IF(NOT(OR($G186="A - All employees not in groups B, C, J, H, M or Z",$G186="B - Married women and widows entitled to reduced NI",$G186="C - Over the State Pension age",$G186="H - Apprentice under 25",$G186="J – Deferment",$G186="M - Under 21",$G186="Z - Deferment (Under 21)",$G186="Please Enter The NI Cont. in ££££")),$G186,SUM(MAX(MIN(AE186-'Input Data'!$BG$3,'Input Data'!$BG$5-'Input Data'!$BG$3),0)*VLOOKUP($G186,'Input Data'!$BI$3:$BL$10,2,FALSE),MAX(MIN(AE186-'Input Data'!$BG$5,IF(OR($G186="M (under 21)",$G186="Z (under 21 - deferment)"),'Input Data'!$BG$6,IF($G186="H (Apprentice under 25)",'Input Data'!$BG$7,'Input Data'!$BG$8))-'Input Data'!$BG$5),0)*VLOOKUP($G186,'Input Data'!$BI$3:$BL$10,3,FALSE),MAX((AE186-IF(OR($G186="M (under 21)",$G186="Z (under 21 - deferment)"),'Input Data'!$BG$6,IF($G186="H (Apprentice under 25)",'Input Data'!$BG$7,'Input Data'!$BG$8))),0)*VLOOKUP($G186,'Input Data'!$BI$3:$BL$10,4,FALSE))))</f>
        <v>0</v>
      </c>
      <c r="AN186" s="56">
        <f>IF($G186="",0,IF(NOT(OR($G186="A - All employees not in groups B, C, J, H, M or Z",$G186="B - Married women and widows entitled to reduced NI",$G186="C - Over the State Pension age",$G186="H - Apprentice under 25",$G186="J – Deferment",$G186="M - Under 21",$G186="Z - Deferment (Under 21)",$G186="Please Enter The NI Cont. in ££££")),$G186,SUM(MAX(MIN(AF186-'Input Data'!$BG$3,'Input Data'!$BG$5-'Input Data'!$BG$3),0)*VLOOKUP($G186,'Input Data'!$BI$3:$BL$10,2,FALSE),MAX(MIN(AF186-'Input Data'!$BG$5,IF(OR($G186="M (under 21)",$G186="Z (under 21 - deferment)"),'Input Data'!$BG$6,IF($G186="H (Apprentice under 25)",'Input Data'!$BG$7,'Input Data'!$BG$8))-'Input Data'!$BG$5),0)*VLOOKUP($G186,'Input Data'!$BI$3:$BL$10,3,FALSE),MAX((AF186-IF(OR($G186="M (under 21)",$G186="Z (under 21 - deferment)"),'Input Data'!$BG$6,IF($G186="H (Apprentice under 25)",'Input Data'!$BG$7,'Input Data'!$BG$8))),0)*VLOOKUP($G186,'Input Data'!$BI$3:$BL$10,4,FALSE))))</f>
        <v>0</v>
      </c>
      <c r="AO186" s="56">
        <f>IF($G186="",0,IF(NOT(OR($G186="A - All employees not in groups B, C, J, H, M or Z",$G186="B - Married women and widows entitled to reduced NI",$G186="C - Over the State Pension age",$G186="H - Apprentice under 25",$G186="J – Deferment",$G186="M - Under 21",$G186="Z - Deferment (Under 21)",$G186="Please Enter The NI Cont. in ££££")),$G186,SUM(MAX(MIN(AG186-'Input Data'!$BG$3,'Input Data'!$BG$5-'Input Data'!$BG$3),0)*VLOOKUP($G186,'Input Data'!$BI$3:$BL$10,2,FALSE),MAX(MIN(AG186-'Input Data'!$BG$5,IF(OR($G186="M (under 21)",$G186="Z (under 21 - deferment)"),'Input Data'!$BG$6,IF($G186="H (Apprentice under 25)",'Input Data'!$BG$7,'Input Data'!$BG$8))-'Input Data'!$BG$5),0)*VLOOKUP($G186,'Input Data'!$BI$3:$BL$10,3,FALSE),MAX((AG186-IF(OR($G186="M (under 21)",$G186="Z (under 21 - deferment)"),'Input Data'!$BG$6,IF($G186="H (Apprentice under 25)",'Input Data'!$BG$7,'Input Data'!$BG$8))),0)*VLOOKUP($G186,'Input Data'!$BI$3:$BL$10,4,FALSE))))</f>
        <v>0</v>
      </c>
      <c r="AP186" s="56">
        <f>IF($G186="",0,IF(NOT(OR($G186="A - All employees not in groups B, C, J, H, M or Z",$G186="B - Married women and widows entitled to reduced NI",$G186="C - Over the State Pension age",$G186="H - Apprentice under 25",$G186="J – Deferment",$G186="M - Under 21",$G186="Z - Deferment (Under 21)",$G186="Please Enter The NI Cont. in ££££")),$G186,SUM(MAX(MIN(AH186-'Input Data'!$BG$3,'Input Data'!$BG$5-'Input Data'!$BG$3),0)*VLOOKUP($G186,'Input Data'!$BI$3:$BL$10,2,FALSE),MAX(MIN(AH186-'Input Data'!$BG$5,IF(OR($G186="M (under 21)",$G186="Z (under 21 - deferment)"),'Input Data'!$BG$6,IF($G186="H (Apprentice under 25)",'Input Data'!$BG$7,'Input Data'!$BG$8))-'Input Data'!$BG$5),0)*VLOOKUP($G186,'Input Data'!$BI$3:$BL$10,3,FALSE),MAX((AH186-IF(OR($G186="M (under 21)",$G186="Z (under 21 - deferment)"),'Input Data'!$BG$6,IF($G186="H (Apprentice under 25)",'Input Data'!$BG$7,'Input Data'!$BG$8))),0)*VLOOKUP($G186,'Input Data'!$BI$3:$BL$10,4,FALSE))))</f>
        <v>0</v>
      </c>
      <c r="AQ186" s="56">
        <f>IF($G186="",0,IF(NOT(OR($G186="A - All employees not in groups B, C, J, H, M or Z",$G186="B - Married women and widows entitled to reduced NI",$G186="C - Over the State Pension age",$G186="H - Apprentice under 25",$G186="J – Deferment",$G186="M - Under 21",$G186="Z - Deferment (Under 21)",$G186="Please Enter The NI Cont. in ££££")),$G186,SUM(MAX(MIN(AI186-'Input Data'!$BG$3,'Input Data'!$BG$5-'Input Data'!$BG$3),0)*VLOOKUP($G186,'Input Data'!$BI$3:$BL$10,2,FALSE),MAX(MIN(AI186-'Input Data'!$BG$5,IF(OR($G186="M (under 21)",$G186="Z (under 21 - deferment)"),'Input Data'!$BG$6,IF($G186="H (Apprentice under 25)",'Input Data'!$BG$7,'Input Data'!$BG$8))-'Input Data'!$BG$5),0)*VLOOKUP($G186,'Input Data'!$BI$3:$BL$10,3,FALSE),MAX((AI186-IF(OR($G186="M (under 21)",$G186="Z (under 21 - deferment)"),'Input Data'!$BG$6,IF($G186="H (Apprentice under 25)",'Input Data'!$BG$7,'Input Data'!$BG$8))),0)*VLOOKUP($G186,'Input Data'!$BI$3:$BL$10,4,FALSE))))</f>
        <v>0</v>
      </c>
      <c r="AR186" s="56">
        <f>IF($G186="",0,IF(NOT(OR($G186="A - All employees not in groups B, C, J, H, M or Z",$G186="B - Married women and widows entitled to reduced NI",$G186="C - Over the State Pension age",$G186="H - Apprentice under 25",$G186="J – Deferment",$G186="M - Under 21",$G186="Z - Deferment (Under 21)",$G186="Please Enter The NI Cont. in ££££")),$G186,SUM(MAX(MIN(AJ186-'Input Data'!$BG$3,'Input Data'!$BG$5-'Input Data'!$BG$3),0)*VLOOKUP($G186,'Input Data'!$BI$3:$BL$10,2,FALSE),MAX(MIN(AJ186-'Input Data'!$BG$5,IF(OR($G186="M (under 21)",$G186="Z (under 21 - deferment)"),'Input Data'!$BG$6,IF($G186="H (Apprentice under 25)",'Input Data'!$BG$7,'Input Data'!$BG$8))-'Input Data'!$BG$5),0)*VLOOKUP($G186,'Input Data'!$BI$3:$BL$10,3,FALSE),MAX((AJ186-IF(OR($G186="M (under 21)",$G186="Z (under 21 - deferment)"),'Input Data'!$BG$6,IF($G186="H (Apprentice under 25)",'Input Data'!$BG$7,'Input Data'!$BG$8))),0)*VLOOKUP($G186,'Input Data'!$BI$3:$BL$10,4,FALSE))))</f>
        <v>0</v>
      </c>
      <c r="AS186" s="56">
        <f>AC186*$F186</f>
        <v>0</v>
      </c>
      <c r="AT186" s="56">
        <f>AD186*$F186</f>
        <v>0</v>
      </c>
      <c r="AU186" s="56">
        <f>AE186*$F186</f>
        <v>0</v>
      </c>
      <c r="AV186" s="56">
        <f>AF186*$F186</f>
        <v>0</v>
      </c>
      <c r="AW186" s="56">
        <f>AG186*$F186</f>
        <v>0</v>
      </c>
      <c r="AX186" s="56">
        <f>AH186*$F186</f>
        <v>0</v>
      </c>
      <c r="AY186" s="56">
        <f>AI186*$F186</f>
        <v>0</v>
      </c>
      <c r="AZ186" s="56">
        <f>AJ186*$F186</f>
        <v>0</v>
      </c>
    </row>
    <row r="187" spans="2:52" ht="25.5">
      <c r="B187" s="60"/>
      <c r="C187" s="57" t="s">
        <v>81</v>
      </c>
      <c r="D187" s="58"/>
      <c r="E187" s="58"/>
      <c r="F187" s="535"/>
      <c r="G187" s="693" t="s">
        <v>1149</v>
      </c>
      <c r="H187" s="65"/>
      <c r="I187" s="65"/>
      <c r="J187" s="65"/>
      <c r="K187" s="65"/>
      <c r="L187" s="65"/>
      <c r="M187" s="65"/>
      <c r="N187" s="65"/>
      <c r="O187" s="65"/>
      <c r="P187" s="29"/>
      <c r="Q187" s="597"/>
      <c r="R187" s="61"/>
      <c r="T187" s="43">
        <f>SUM(AC187,AK187,AS187)</f>
        <v>0</v>
      </c>
      <c r="U187" s="43">
        <f>SUM(AD187,AL187,AT187)</f>
        <v>0</v>
      </c>
      <c r="V187" s="43">
        <f>SUM(AE187,AM187,AU187)</f>
        <v>0</v>
      </c>
      <c r="W187" s="43">
        <f>SUM(AF187,AN187,AV187)</f>
        <v>0</v>
      </c>
      <c r="X187" s="43">
        <f>SUM(AG187,AO187,AW187)</f>
        <v>0</v>
      </c>
      <c r="Y187" s="43">
        <f>SUM(AH187,AP187,AX187)</f>
        <v>0</v>
      </c>
      <c r="Z187" s="43">
        <f>SUM(AI187,AQ187,AY187)</f>
        <v>0</v>
      </c>
      <c r="AA187" s="43">
        <f>SUM(AJ187,AR187,AZ187)</f>
        <v>0</v>
      </c>
      <c r="AC187" s="631">
        <f>SUM($D187:$E187)*H187</f>
        <v>0</v>
      </c>
      <c r="AD187" s="631">
        <f>SUM($D187:$E187)*I187</f>
        <v>0</v>
      </c>
      <c r="AE187" s="631">
        <f>SUM($D187:$E187)*J187</f>
        <v>0</v>
      </c>
      <c r="AF187" s="631">
        <f>SUM($D187:$E187)*K187</f>
        <v>0</v>
      </c>
      <c r="AG187" s="631">
        <f>SUM($D187:$E187)*L187</f>
        <v>0</v>
      </c>
      <c r="AH187" s="631">
        <f>SUM($D187:$E187)*M187</f>
        <v>0</v>
      </c>
      <c r="AI187" s="631">
        <f>SUM($D187:$E187)*N187</f>
        <v>0</v>
      </c>
      <c r="AJ187" s="631">
        <f>SUM($D187:$E187)*O187</f>
        <v>0</v>
      </c>
      <c r="AK187" s="56">
        <f>IF($G187="",0,IF(NOT(OR($G187="A - All employees not in groups B, C, J, H, M or Z",$G187="B - Married women and widows entitled to reduced NI",$G187="C - Over the State Pension age",$G187="H - Apprentice under 25",$G187="J – Deferment",$G187="M - Under 21",$G187="Z - Deferment (Under 21)",$G187="Please Enter The NI Cont. in ££££")),$G187,SUM(MAX(MIN(AC187-'Input Data'!$BG$3,'Input Data'!$BG$5-'Input Data'!$BG$3),0)*VLOOKUP($G187,'Input Data'!$BI$3:$BL$10,2,FALSE),MAX(MIN(AC187-'Input Data'!$BG$5,IF(OR($G187="M (under 21)",$G187="Z (under 21 - deferment)"),'Input Data'!$BG$6,IF($G187="H (Apprentice under 25)",'Input Data'!$BG$7,'Input Data'!$BG$8))-'Input Data'!$BG$5),0)*VLOOKUP($G187,'Input Data'!$BI$3:$BL$10,3,FALSE),MAX((AC187-IF(OR($G187="M (under 21)",$G187="Z (under 21 - deferment)"),'Input Data'!$BG$6,IF($G187="H (Apprentice under 25)",'Input Data'!$BG$7,'Input Data'!$BG$8))),0)*VLOOKUP($G187,'Input Data'!$BI$3:$BL$10,4,FALSE))))</f>
        <v>0</v>
      </c>
      <c r="AL187" s="56">
        <f>IF($G187="",0,IF(NOT(OR($G187="A - All employees not in groups B, C, J, H, M or Z",$G187="B - Married women and widows entitled to reduced NI",$G187="C - Over the State Pension age",$G187="H - Apprentice under 25",$G187="J – Deferment",$G187="M - Under 21",$G187="Z - Deferment (Under 21)",$G187="Please Enter The NI Cont. in ££££")),$G187,SUM(MAX(MIN(AD187-'Input Data'!$BG$3,'Input Data'!$BG$5-'Input Data'!$BG$3),0)*VLOOKUP($G187,'Input Data'!$BI$3:$BL$10,2,FALSE),MAX(MIN(AD187-'Input Data'!$BG$5,IF(OR($G187="M (under 21)",$G187="Z (under 21 - deferment)"),'Input Data'!$BG$6,IF($G187="H (Apprentice under 25)",'Input Data'!$BG$7,'Input Data'!$BG$8))-'Input Data'!$BG$5),0)*VLOOKUP($G187,'Input Data'!$BI$3:$BL$10,3,FALSE),MAX((AD187-IF(OR($G187="M (under 21)",$G187="Z (under 21 - deferment)"),'Input Data'!$BG$6,IF($G187="H (Apprentice under 25)",'Input Data'!$BG$7,'Input Data'!$BG$8))),0)*VLOOKUP($G187,'Input Data'!$BI$3:$BL$10,4,FALSE))))</f>
        <v>0</v>
      </c>
      <c r="AM187" s="56">
        <f>IF($G187="",0,IF(NOT(OR($G187="A - All employees not in groups B, C, J, H, M or Z",$G187="B - Married women and widows entitled to reduced NI",$G187="C - Over the State Pension age",$G187="H - Apprentice under 25",$G187="J – Deferment",$G187="M - Under 21",$G187="Z - Deferment (Under 21)",$G187="Please Enter The NI Cont. in ££££")),$G187,SUM(MAX(MIN(AE187-'Input Data'!$BG$3,'Input Data'!$BG$5-'Input Data'!$BG$3),0)*VLOOKUP($G187,'Input Data'!$BI$3:$BL$10,2,FALSE),MAX(MIN(AE187-'Input Data'!$BG$5,IF(OR($G187="M (under 21)",$G187="Z (under 21 - deferment)"),'Input Data'!$BG$6,IF($G187="H (Apprentice under 25)",'Input Data'!$BG$7,'Input Data'!$BG$8))-'Input Data'!$BG$5),0)*VLOOKUP($G187,'Input Data'!$BI$3:$BL$10,3,FALSE),MAX((AE187-IF(OR($G187="M (under 21)",$G187="Z (under 21 - deferment)"),'Input Data'!$BG$6,IF($G187="H (Apprentice under 25)",'Input Data'!$BG$7,'Input Data'!$BG$8))),0)*VLOOKUP($G187,'Input Data'!$BI$3:$BL$10,4,FALSE))))</f>
        <v>0</v>
      </c>
      <c r="AN187" s="56">
        <f>IF($G187="",0,IF(NOT(OR($G187="A - All employees not in groups B, C, J, H, M or Z",$G187="B - Married women and widows entitled to reduced NI",$G187="C - Over the State Pension age",$G187="H - Apprentice under 25",$G187="J – Deferment",$G187="M - Under 21",$G187="Z - Deferment (Under 21)",$G187="Please Enter The NI Cont. in ££££")),$G187,SUM(MAX(MIN(AF187-'Input Data'!$BG$3,'Input Data'!$BG$5-'Input Data'!$BG$3),0)*VLOOKUP($G187,'Input Data'!$BI$3:$BL$10,2,FALSE),MAX(MIN(AF187-'Input Data'!$BG$5,IF(OR($G187="M (under 21)",$G187="Z (under 21 - deferment)"),'Input Data'!$BG$6,IF($G187="H (Apprentice under 25)",'Input Data'!$BG$7,'Input Data'!$BG$8))-'Input Data'!$BG$5),0)*VLOOKUP($G187,'Input Data'!$BI$3:$BL$10,3,FALSE),MAX((AF187-IF(OR($G187="M (under 21)",$G187="Z (under 21 - deferment)"),'Input Data'!$BG$6,IF($G187="H (Apprentice under 25)",'Input Data'!$BG$7,'Input Data'!$BG$8))),0)*VLOOKUP($G187,'Input Data'!$BI$3:$BL$10,4,FALSE))))</f>
        <v>0</v>
      </c>
      <c r="AO187" s="56">
        <f>IF($G187="",0,IF(NOT(OR($G187="A - All employees not in groups B, C, J, H, M or Z",$G187="B - Married women and widows entitled to reduced NI",$G187="C - Over the State Pension age",$G187="H - Apprentice under 25",$G187="J – Deferment",$G187="M - Under 21",$G187="Z - Deferment (Under 21)",$G187="Please Enter The NI Cont. in ££££")),$G187,SUM(MAX(MIN(AG187-'Input Data'!$BG$3,'Input Data'!$BG$5-'Input Data'!$BG$3),0)*VLOOKUP($G187,'Input Data'!$BI$3:$BL$10,2,FALSE),MAX(MIN(AG187-'Input Data'!$BG$5,IF(OR($G187="M (under 21)",$G187="Z (under 21 - deferment)"),'Input Data'!$BG$6,IF($G187="H (Apprentice under 25)",'Input Data'!$BG$7,'Input Data'!$BG$8))-'Input Data'!$BG$5),0)*VLOOKUP($G187,'Input Data'!$BI$3:$BL$10,3,FALSE),MAX((AG187-IF(OR($G187="M (under 21)",$G187="Z (under 21 - deferment)"),'Input Data'!$BG$6,IF($G187="H (Apprentice under 25)",'Input Data'!$BG$7,'Input Data'!$BG$8))),0)*VLOOKUP($G187,'Input Data'!$BI$3:$BL$10,4,FALSE))))</f>
        <v>0</v>
      </c>
      <c r="AP187" s="56">
        <f>IF($G187="",0,IF(NOT(OR($G187="A - All employees not in groups B, C, J, H, M or Z",$G187="B - Married women and widows entitled to reduced NI",$G187="C - Over the State Pension age",$G187="H - Apprentice under 25",$G187="J – Deferment",$G187="M - Under 21",$G187="Z - Deferment (Under 21)",$G187="Please Enter The NI Cont. in ££££")),$G187,SUM(MAX(MIN(AH187-'Input Data'!$BG$3,'Input Data'!$BG$5-'Input Data'!$BG$3),0)*VLOOKUP($G187,'Input Data'!$BI$3:$BL$10,2,FALSE),MAX(MIN(AH187-'Input Data'!$BG$5,IF(OR($G187="M (under 21)",$G187="Z (under 21 - deferment)"),'Input Data'!$BG$6,IF($G187="H (Apprentice under 25)",'Input Data'!$BG$7,'Input Data'!$BG$8))-'Input Data'!$BG$5),0)*VLOOKUP($G187,'Input Data'!$BI$3:$BL$10,3,FALSE),MAX((AH187-IF(OR($G187="M (under 21)",$G187="Z (under 21 - deferment)"),'Input Data'!$BG$6,IF($G187="H (Apprentice under 25)",'Input Data'!$BG$7,'Input Data'!$BG$8))),0)*VLOOKUP($G187,'Input Data'!$BI$3:$BL$10,4,FALSE))))</f>
        <v>0</v>
      </c>
      <c r="AQ187" s="56">
        <f>IF($G187="",0,IF(NOT(OR($G187="A - All employees not in groups B, C, J, H, M or Z",$G187="B - Married women and widows entitled to reduced NI",$G187="C - Over the State Pension age",$G187="H - Apprentice under 25",$G187="J – Deferment",$G187="M - Under 21",$G187="Z - Deferment (Under 21)",$G187="Please Enter The NI Cont. in ££££")),$G187,SUM(MAX(MIN(AI187-'Input Data'!$BG$3,'Input Data'!$BG$5-'Input Data'!$BG$3),0)*VLOOKUP($G187,'Input Data'!$BI$3:$BL$10,2,FALSE),MAX(MIN(AI187-'Input Data'!$BG$5,IF(OR($G187="M (under 21)",$G187="Z (under 21 - deferment)"),'Input Data'!$BG$6,IF($G187="H (Apprentice under 25)",'Input Data'!$BG$7,'Input Data'!$BG$8))-'Input Data'!$BG$5),0)*VLOOKUP($G187,'Input Data'!$BI$3:$BL$10,3,FALSE),MAX((AI187-IF(OR($G187="M (under 21)",$G187="Z (under 21 - deferment)"),'Input Data'!$BG$6,IF($G187="H (Apprentice under 25)",'Input Data'!$BG$7,'Input Data'!$BG$8))),0)*VLOOKUP($G187,'Input Data'!$BI$3:$BL$10,4,FALSE))))</f>
        <v>0</v>
      </c>
      <c r="AR187" s="56">
        <f>IF($G187="",0,IF(NOT(OR($G187="A - All employees not in groups B, C, J, H, M or Z",$G187="B - Married women and widows entitled to reduced NI",$G187="C - Over the State Pension age",$G187="H - Apprentice under 25",$G187="J – Deferment",$G187="M - Under 21",$G187="Z - Deferment (Under 21)",$G187="Please Enter The NI Cont. in ££££")),$G187,SUM(MAX(MIN(AJ187-'Input Data'!$BG$3,'Input Data'!$BG$5-'Input Data'!$BG$3),0)*VLOOKUP($G187,'Input Data'!$BI$3:$BL$10,2,FALSE),MAX(MIN(AJ187-'Input Data'!$BG$5,IF(OR($G187="M (under 21)",$G187="Z (under 21 - deferment)"),'Input Data'!$BG$6,IF($G187="H (Apprentice under 25)",'Input Data'!$BG$7,'Input Data'!$BG$8))-'Input Data'!$BG$5),0)*VLOOKUP($G187,'Input Data'!$BI$3:$BL$10,3,FALSE),MAX((AJ187-IF(OR($G187="M (under 21)",$G187="Z (under 21 - deferment)"),'Input Data'!$BG$6,IF($G187="H (Apprentice under 25)",'Input Data'!$BG$7,'Input Data'!$BG$8))),0)*VLOOKUP($G187,'Input Data'!$BI$3:$BL$10,4,FALSE))))</f>
        <v>0</v>
      </c>
      <c r="AS187" s="56">
        <f>AC187*$F187</f>
        <v>0</v>
      </c>
      <c r="AT187" s="56">
        <f>AD187*$F187</f>
        <v>0</v>
      </c>
      <c r="AU187" s="56">
        <f>AE187*$F187</f>
        <v>0</v>
      </c>
      <c r="AV187" s="56">
        <f>AF187*$F187</f>
        <v>0</v>
      </c>
      <c r="AW187" s="56">
        <f>AG187*$F187</f>
        <v>0</v>
      </c>
      <c r="AX187" s="56">
        <f>AH187*$F187</f>
        <v>0</v>
      </c>
      <c r="AY187" s="56">
        <f>AI187*$F187</f>
        <v>0</v>
      </c>
      <c r="AZ187" s="56">
        <f>AJ187*$F187</f>
        <v>0</v>
      </c>
    </row>
    <row r="188" spans="2:52" ht="25.5">
      <c r="B188" s="60"/>
      <c r="C188" s="57" t="s">
        <v>82</v>
      </c>
      <c r="D188" s="58"/>
      <c r="E188" s="58"/>
      <c r="F188" s="535"/>
      <c r="G188" s="693" t="s">
        <v>1149</v>
      </c>
      <c r="H188" s="65"/>
      <c r="I188" s="65"/>
      <c r="J188" s="65"/>
      <c r="K188" s="65"/>
      <c r="L188" s="65"/>
      <c r="M188" s="65"/>
      <c r="N188" s="65"/>
      <c r="O188" s="65"/>
      <c r="P188" s="29"/>
      <c r="Q188" s="597"/>
      <c r="R188" s="61"/>
      <c r="T188" s="43">
        <f>SUM(AC188,AK188,AS188)</f>
        <v>0</v>
      </c>
      <c r="U188" s="43">
        <f>SUM(AD188,AL188,AT188)</f>
        <v>0</v>
      </c>
      <c r="V188" s="43">
        <f>SUM(AE188,AM188,AU188)</f>
        <v>0</v>
      </c>
      <c r="W188" s="43">
        <f>SUM(AF188,AN188,AV188)</f>
        <v>0</v>
      </c>
      <c r="X188" s="43">
        <f>SUM(AG188,AO188,AW188)</f>
        <v>0</v>
      </c>
      <c r="Y188" s="43">
        <f>SUM(AH188,AP188,AX188)</f>
        <v>0</v>
      </c>
      <c r="Z188" s="43">
        <f>SUM(AI188,AQ188,AY188)</f>
        <v>0</v>
      </c>
      <c r="AA188" s="43">
        <f>SUM(AJ188,AR188,AZ188)</f>
        <v>0</v>
      </c>
      <c r="AC188" s="631">
        <f>SUM($D188:$E188)*H188</f>
        <v>0</v>
      </c>
      <c r="AD188" s="631">
        <f>SUM($D188:$E188)*I188</f>
        <v>0</v>
      </c>
      <c r="AE188" s="631">
        <f>SUM($D188:$E188)*J188</f>
        <v>0</v>
      </c>
      <c r="AF188" s="631">
        <f>SUM($D188:$E188)*K188</f>
        <v>0</v>
      </c>
      <c r="AG188" s="631">
        <f>SUM($D188:$E188)*L188</f>
        <v>0</v>
      </c>
      <c r="AH188" s="631">
        <f>SUM($D188:$E188)*M188</f>
        <v>0</v>
      </c>
      <c r="AI188" s="631">
        <f>SUM($D188:$E188)*N188</f>
        <v>0</v>
      </c>
      <c r="AJ188" s="631">
        <f>SUM($D188:$E188)*O188</f>
        <v>0</v>
      </c>
      <c r="AK188" s="56">
        <f>IF($G188="",0,IF(NOT(OR($G188="A - All employees not in groups B, C, J, H, M or Z",$G188="B - Married women and widows entitled to reduced NI",$G188="C - Over the State Pension age",$G188="H - Apprentice under 25",$G188="J – Deferment",$G188="M - Under 21",$G188="Z - Deferment (Under 21)",$G188="Please Enter The NI Cont. in ££££")),$G188,SUM(MAX(MIN(AC188-'Input Data'!$BG$3,'Input Data'!$BG$5-'Input Data'!$BG$3),0)*VLOOKUP($G188,'Input Data'!$BI$3:$BL$10,2,FALSE),MAX(MIN(AC188-'Input Data'!$BG$5,IF(OR($G188="M (under 21)",$G188="Z (under 21 - deferment)"),'Input Data'!$BG$6,IF($G188="H (Apprentice under 25)",'Input Data'!$BG$7,'Input Data'!$BG$8))-'Input Data'!$BG$5),0)*VLOOKUP($G188,'Input Data'!$BI$3:$BL$10,3,FALSE),MAX((AC188-IF(OR($G188="M (under 21)",$G188="Z (under 21 - deferment)"),'Input Data'!$BG$6,IF($G188="H (Apprentice under 25)",'Input Data'!$BG$7,'Input Data'!$BG$8))),0)*VLOOKUP($G188,'Input Data'!$BI$3:$BL$10,4,FALSE))))</f>
        <v>0</v>
      </c>
      <c r="AL188" s="56">
        <f>IF($G188="",0,IF(NOT(OR($G188="A - All employees not in groups B, C, J, H, M or Z",$G188="B - Married women and widows entitled to reduced NI",$G188="C - Over the State Pension age",$G188="H - Apprentice under 25",$G188="J – Deferment",$G188="M - Under 21",$G188="Z - Deferment (Under 21)",$G188="Please Enter The NI Cont. in ££££")),$G188,SUM(MAX(MIN(AD188-'Input Data'!$BG$3,'Input Data'!$BG$5-'Input Data'!$BG$3),0)*VLOOKUP($G188,'Input Data'!$BI$3:$BL$10,2,FALSE),MAX(MIN(AD188-'Input Data'!$BG$5,IF(OR($G188="M (under 21)",$G188="Z (under 21 - deferment)"),'Input Data'!$BG$6,IF($G188="H (Apprentice under 25)",'Input Data'!$BG$7,'Input Data'!$BG$8))-'Input Data'!$BG$5),0)*VLOOKUP($G188,'Input Data'!$BI$3:$BL$10,3,FALSE),MAX((AD188-IF(OR($G188="M (under 21)",$G188="Z (under 21 - deferment)"),'Input Data'!$BG$6,IF($G188="H (Apprentice under 25)",'Input Data'!$BG$7,'Input Data'!$BG$8))),0)*VLOOKUP($G188,'Input Data'!$BI$3:$BL$10,4,FALSE))))</f>
        <v>0</v>
      </c>
      <c r="AM188" s="56">
        <f>IF($G188="",0,IF(NOT(OR($G188="A - All employees not in groups B, C, J, H, M or Z",$G188="B - Married women and widows entitled to reduced NI",$G188="C - Over the State Pension age",$G188="H - Apprentice under 25",$G188="J – Deferment",$G188="M - Under 21",$G188="Z - Deferment (Under 21)",$G188="Please Enter The NI Cont. in ££££")),$G188,SUM(MAX(MIN(AE188-'Input Data'!$BG$3,'Input Data'!$BG$5-'Input Data'!$BG$3),0)*VLOOKUP($G188,'Input Data'!$BI$3:$BL$10,2,FALSE),MAX(MIN(AE188-'Input Data'!$BG$5,IF(OR($G188="M (under 21)",$G188="Z (under 21 - deferment)"),'Input Data'!$BG$6,IF($G188="H (Apprentice under 25)",'Input Data'!$BG$7,'Input Data'!$BG$8))-'Input Data'!$BG$5),0)*VLOOKUP($G188,'Input Data'!$BI$3:$BL$10,3,FALSE),MAX((AE188-IF(OR($G188="M (under 21)",$G188="Z (under 21 - deferment)"),'Input Data'!$BG$6,IF($G188="H (Apprentice under 25)",'Input Data'!$BG$7,'Input Data'!$BG$8))),0)*VLOOKUP($G188,'Input Data'!$BI$3:$BL$10,4,FALSE))))</f>
        <v>0</v>
      </c>
      <c r="AN188" s="56">
        <f>IF($G188="",0,IF(NOT(OR($G188="A - All employees not in groups B, C, J, H, M or Z",$G188="B - Married women and widows entitled to reduced NI",$G188="C - Over the State Pension age",$G188="H - Apprentice under 25",$G188="J – Deferment",$G188="M - Under 21",$G188="Z - Deferment (Under 21)",$G188="Please Enter The NI Cont. in ££££")),$G188,SUM(MAX(MIN(AF188-'Input Data'!$BG$3,'Input Data'!$BG$5-'Input Data'!$BG$3),0)*VLOOKUP($G188,'Input Data'!$BI$3:$BL$10,2,FALSE),MAX(MIN(AF188-'Input Data'!$BG$5,IF(OR($G188="M (under 21)",$G188="Z (under 21 - deferment)"),'Input Data'!$BG$6,IF($G188="H (Apprentice under 25)",'Input Data'!$BG$7,'Input Data'!$BG$8))-'Input Data'!$BG$5),0)*VLOOKUP($G188,'Input Data'!$BI$3:$BL$10,3,FALSE),MAX((AF188-IF(OR($G188="M (under 21)",$G188="Z (under 21 - deferment)"),'Input Data'!$BG$6,IF($G188="H (Apprentice under 25)",'Input Data'!$BG$7,'Input Data'!$BG$8))),0)*VLOOKUP($G188,'Input Data'!$BI$3:$BL$10,4,FALSE))))</f>
        <v>0</v>
      </c>
      <c r="AO188" s="56">
        <f>IF($G188="",0,IF(NOT(OR($G188="A - All employees not in groups B, C, J, H, M or Z",$G188="B - Married women and widows entitled to reduced NI",$G188="C - Over the State Pension age",$G188="H - Apprentice under 25",$G188="J – Deferment",$G188="M - Under 21",$G188="Z - Deferment (Under 21)",$G188="Please Enter The NI Cont. in ££££")),$G188,SUM(MAX(MIN(AG188-'Input Data'!$BG$3,'Input Data'!$BG$5-'Input Data'!$BG$3),0)*VLOOKUP($G188,'Input Data'!$BI$3:$BL$10,2,FALSE),MAX(MIN(AG188-'Input Data'!$BG$5,IF(OR($G188="M (under 21)",$G188="Z (under 21 - deferment)"),'Input Data'!$BG$6,IF($G188="H (Apprentice under 25)",'Input Data'!$BG$7,'Input Data'!$BG$8))-'Input Data'!$BG$5),0)*VLOOKUP($G188,'Input Data'!$BI$3:$BL$10,3,FALSE),MAX((AG188-IF(OR($G188="M (under 21)",$G188="Z (under 21 - deferment)"),'Input Data'!$BG$6,IF($G188="H (Apprentice under 25)",'Input Data'!$BG$7,'Input Data'!$BG$8))),0)*VLOOKUP($G188,'Input Data'!$BI$3:$BL$10,4,FALSE))))</f>
        <v>0</v>
      </c>
      <c r="AP188" s="56">
        <f>IF($G188="",0,IF(NOT(OR($G188="A - All employees not in groups B, C, J, H, M or Z",$G188="B - Married women and widows entitled to reduced NI",$G188="C - Over the State Pension age",$G188="H - Apprentice under 25",$G188="J – Deferment",$G188="M - Under 21",$G188="Z - Deferment (Under 21)",$G188="Please Enter The NI Cont. in ££££")),$G188,SUM(MAX(MIN(AH188-'Input Data'!$BG$3,'Input Data'!$BG$5-'Input Data'!$BG$3),0)*VLOOKUP($G188,'Input Data'!$BI$3:$BL$10,2,FALSE),MAX(MIN(AH188-'Input Data'!$BG$5,IF(OR($G188="M (under 21)",$G188="Z (under 21 - deferment)"),'Input Data'!$BG$6,IF($G188="H (Apprentice under 25)",'Input Data'!$BG$7,'Input Data'!$BG$8))-'Input Data'!$BG$5),0)*VLOOKUP($G188,'Input Data'!$BI$3:$BL$10,3,FALSE),MAX((AH188-IF(OR($G188="M (under 21)",$G188="Z (under 21 - deferment)"),'Input Data'!$BG$6,IF($G188="H (Apprentice under 25)",'Input Data'!$BG$7,'Input Data'!$BG$8))),0)*VLOOKUP($G188,'Input Data'!$BI$3:$BL$10,4,FALSE))))</f>
        <v>0</v>
      </c>
      <c r="AQ188" s="56">
        <f>IF($G188="",0,IF(NOT(OR($G188="A - All employees not in groups B, C, J, H, M or Z",$G188="B - Married women and widows entitled to reduced NI",$G188="C - Over the State Pension age",$G188="H - Apprentice under 25",$G188="J – Deferment",$G188="M - Under 21",$G188="Z - Deferment (Under 21)",$G188="Please Enter The NI Cont. in ££££")),$G188,SUM(MAX(MIN(AI188-'Input Data'!$BG$3,'Input Data'!$BG$5-'Input Data'!$BG$3),0)*VLOOKUP($G188,'Input Data'!$BI$3:$BL$10,2,FALSE),MAX(MIN(AI188-'Input Data'!$BG$5,IF(OR($G188="M (under 21)",$G188="Z (under 21 - deferment)"),'Input Data'!$BG$6,IF($G188="H (Apprentice under 25)",'Input Data'!$BG$7,'Input Data'!$BG$8))-'Input Data'!$BG$5),0)*VLOOKUP($G188,'Input Data'!$BI$3:$BL$10,3,FALSE),MAX((AI188-IF(OR($G188="M (under 21)",$G188="Z (under 21 - deferment)"),'Input Data'!$BG$6,IF($G188="H (Apprentice under 25)",'Input Data'!$BG$7,'Input Data'!$BG$8))),0)*VLOOKUP($G188,'Input Data'!$BI$3:$BL$10,4,FALSE))))</f>
        <v>0</v>
      </c>
      <c r="AR188" s="56">
        <f>IF($G188="",0,IF(NOT(OR($G188="A - All employees not in groups B, C, J, H, M or Z",$G188="B - Married women and widows entitled to reduced NI",$G188="C - Over the State Pension age",$G188="H - Apprentice under 25",$G188="J – Deferment",$G188="M - Under 21",$G188="Z - Deferment (Under 21)",$G188="Please Enter The NI Cont. in ££££")),$G188,SUM(MAX(MIN(AJ188-'Input Data'!$BG$3,'Input Data'!$BG$5-'Input Data'!$BG$3),0)*VLOOKUP($G188,'Input Data'!$BI$3:$BL$10,2,FALSE),MAX(MIN(AJ188-'Input Data'!$BG$5,IF(OR($G188="M (under 21)",$G188="Z (under 21 - deferment)"),'Input Data'!$BG$6,IF($G188="H (Apprentice under 25)",'Input Data'!$BG$7,'Input Data'!$BG$8))-'Input Data'!$BG$5),0)*VLOOKUP($G188,'Input Data'!$BI$3:$BL$10,3,FALSE),MAX((AJ188-IF(OR($G188="M (under 21)",$G188="Z (under 21 - deferment)"),'Input Data'!$BG$6,IF($G188="H (Apprentice under 25)",'Input Data'!$BG$7,'Input Data'!$BG$8))),0)*VLOOKUP($G188,'Input Data'!$BI$3:$BL$10,4,FALSE))))</f>
        <v>0</v>
      </c>
      <c r="AS188" s="56">
        <f>AC188*$F188</f>
        <v>0</v>
      </c>
      <c r="AT188" s="56">
        <f>AD188*$F188</f>
        <v>0</v>
      </c>
      <c r="AU188" s="56">
        <f>AE188*$F188</f>
        <v>0</v>
      </c>
      <c r="AV188" s="56">
        <f>AF188*$F188</f>
        <v>0</v>
      </c>
      <c r="AW188" s="56">
        <f>AG188*$F188</f>
        <v>0</v>
      </c>
      <c r="AX188" s="56">
        <f>AH188*$F188</f>
        <v>0</v>
      </c>
      <c r="AY188" s="56">
        <f>AI188*$F188</f>
        <v>0</v>
      </c>
      <c r="AZ188" s="56">
        <f>AJ188*$F188</f>
        <v>0</v>
      </c>
    </row>
    <row r="189" spans="2:52" ht="25.5">
      <c r="B189" s="60"/>
      <c r="C189" s="57" t="s">
        <v>83</v>
      </c>
      <c r="D189" s="58"/>
      <c r="E189" s="58"/>
      <c r="F189" s="535"/>
      <c r="G189" s="693" t="s">
        <v>1149</v>
      </c>
      <c r="H189" s="65"/>
      <c r="I189" s="65"/>
      <c r="J189" s="65"/>
      <c r="K189" s="65"/>
      <c r="L189" s="65"/>
      <c r="M189" s="65"/>
      <c r="N189" s="65"/>
      <c r="O189" s="65"/>
      <c r="P189" s="29"/>
      <c r="Q189" s="597"/>
      <c r="R189" s="61"/>
      <c r="T189" s="43">
        <f>SUM(AC189,AK189,AS189)</f>
        <v>0</v>
      </c>
      <c r="U189" s="43">
        <f>SUM(AD189,AL189,AT189)</f>
        <v>0</v>
      </c>
      <c r="V189" s="43">
        <f>SUM(AE189,AM189,AU189)</f>
        <v>0</v>
      </c>
      <c r="W189" s="43">
        <f>SUM(AF189,AN189,AV189)</f>
        <v>0</v>
      </c>
      <c r="X189" s="43">
        <f>SUM(AG189,AO189,AW189)</f>
        <v>0</v>
      </c>
      <c r="Y189" s="43">
        <f>SUM(AH189,AP189,AX189)</f>
        <v>0</v>
      </c>
      <c r="Z189" s="43">
        <f>SUM(AI189,AQ189,AY189)</f>
        <v>0</v>
      </c>
      <c r="AA189" s="43">
        <f>SUM(AJ189,AR189,AZ189)</f>
        <v>0</v>
      </c>
      <c r="AC189" s="631">
        <f>SUM($D189:$E189)*H189</f>
        <v>0</v>
      </c>
      <c r="AD189" s="631">
        <f>SUM($D189:$E189)*I189</f>
        <v>0</v>
      </c>
      <c r="AE189" s="631">
        <f>SUM($D189:$E189)*J189</f>
        <v>0</v>
      </c>
      <c r="AF189" s="631">
        <f>SUM($D189:$E189)*K189</f>
        <v>0</v>
      </c>
      <c r="AG189" s="631">
        <f>SUM($D189:$E189)*L189</f>
        <v>0</v>
      </c>
      <c r="AH189" s="631">
        <f>SUM($D189:$E189)*M189</f>
        <v>0</v>
      </c>
      <c r="AI189" s="631">
        <f>SUM($D189:$E189)*N189</f>
        <v>0</v>
      </c>
      <c r="AJ189" s="631">
        <f>SUM($D189:$E189)*O189</f>
        <v>0</v>
      </c>
      <c r="AK189" s="56">
        <f>IF($G189="",0,IF(NOT(OR($G189="A - All employees not in groups B, C, J, H, M or Z",$G189="B - Married women and widows entitled to reduced NI",$G189="C - Over the State Pension age",$G189="H - Apprentice under 25",$G189="J – Deferment",$G189="M - Under 21",$G189="Z - Deferment (Under 21)",$G189="Please Enter The NI Cont. in ££££")),$G189,SUM(MAX(MIN(AC189-'Input Data'!$BG$3,'Input Data'!$BG$5-'Input Data'!$BG$3),0)*VLOOKUP($G189,'Input Data'!$BI$3:$BL$10,2,FALSE),MAX(MIN(AC189-'Input Data'!$BG$5,IF(OR($G189="M (under 21)",$G189="Z (under 21 - deferment)"),'Input Data'!$BG$6,IF($G189="H (Apprentice under 25)",'Input Data'!$BG$7,'Input Data'!$BG$8))-'Input Data'!$BG$5),0)*VLOOKUP($G189,'Input Data'!$BI$3:$BL$10,3,FALSE),MAX((AC189-IF(OR($G189="M (under 21)",$G189="Z (under 21 - deferment)"),'Input Data'!$BG$6,IF($G189="H (Apprentice under 25)",'Input Data'!$BG$7,'Input Data'!$BG$8))),0)*VLOOKUP($G189,'Input Data'!$BI$3:$BL$10,4,FALSE))))</f>
        <v>0</v>
      </c>
      <c r="AL189" s="56">
        <f>IF($G189="",0,IF(NOT(OR($G189="A - All employees not in groups B, C, J, H, M or Z",$G189="B - Married women and widows entitled to reduced NI",$G189="C - Over the State Pension age",$G189="H - Apprentice under 25",$G189="J – Deferment",$G189="M - Under 21",$G189="Z - Deferment (Under 21)",$G189="Please Enter The NI Cont. in ££££")),$G189,SUM(MAX(MIN(AD189-'Input Data'!$BG$3,'Input Data'!$BG$5-'Input Data'!$BG$3),0)*VLOOKUP($G189,'Input Data'!$BI$3:$BL$10,2,FALSE),MAX(MIN(AD189-'Input Data'!$BG$5,IF(OR($G189="M (under 21)",$G189="Z (under 21 - deferment)"),'Input Data'!$BG$6,IF($G189="H (Apprentice under 25)",'Input Data'!$BG$7,'Input Data'!$BG$8))-'Input Data'!$BG$5),0)*VLOOKUP($G189,'Input Data'!$BI$3:$BL$10,3,FALSE),MAX((AD189-IF(OR($G189="M (under 21)",$G189="Z (under 21 - deferment)"),'Input Data'!$BG$6,IF($G189="H (Apprentice under 25)",'Input Data'!$BG$7,'Input Data'!$BG$8))),0)*VLOOKUP($G189,'Input Data'!$BI$3:$BL$10,4,FALSE))))</f>
        <v>0</v>
      </c>
      <c r="AM189" s="56">
        <f>IF($G189="",0,IF(NOT(OR($G189="A - All employees not in groups B, C, J, H, M or Z",$G189="B - Married women and widows entitled to reduced NI",$G189="C - Over the State Pension age",$G189="H - Apprentice under 25",$G189="J – Deferment",$G189="M - Under 21",$G189="Z - Deferment (Under 21)",$G189="Please Enter The NI Cont. in ££££")),$G189,SUM(MAX(MIN(AE189-'Input Data'!$BG$3,'Input Data'!$BG$5-'Input Data'!$BG$3),0)*VLOOKUP($G189,'Input Data'!$BI$3:$BL$10,2,FALSE),MAX(MIN(AE189-'Input Data'!$BG$5,IF(OR($G189="M (under 21)",$G189="Z (under 21 - deferment)"),'Input Data'!$BG$6,IF($G189="H (Apprentice under 25)",'Input Data'!$BG$7,'Input Data'!$BG$8))-'Input Data'!$BG$5),0)*VLOOKUP($G189,'Input Data'!$BI$3:$BL$10,3,FALSE),MAX((AE189-IF(OR($G189="M (under 21)",$G189="Z (under 21 - deferment)"),'Input Data'!$BG$6,IF($G189="H (Apprentice under 25)",'Input Data'!$BG$7,'Input Data'!$BG$8))),0)*VLOOKUP($G189,'Input Data'!$BI$3:$BL$10,4,FALSE))))</f>
        <v>0</v>
      </c>
      <c r="AN189" s="56">
        <f>IF($G189="",0,IF(NOT(OR($G189="A - All employees not in groups B, C, J, H, M or Z",$G189="B - Married women and widows entitled to reduced NI",$G189="C - Over the State Pension age",$G189="H - Apprentice under 25",$G189="J – Deferment",$G189="M - Under 21",$G189="Z - Deferment (Under 21)",$G189="Please Enter The NI Cont. in ££££")),$G189,SUM(MAX(MIN(AF189-'Input Data'!$BG$3,'Input Data'!$BG$5-'Input Data'!$BG$3),0)*VLOOKUP($G189,'Input Data'!$BI$3:$BL$10,2,FALSE),MAX(MIN(AF189-'Input Data'!$BG$5,IF(OR($G189="M (under 21)",$G189="Z (under 21 - deferment)"),'Input Data'!$BG$6,IF($G189="H (Apprentice under 25)",'Input Data'!$BG$7,'Input Data'!$BG$8))-'Input Data'!$BG$5),0)*VLOOKUP($G189,'Input Data'!$BI$3:$BL$10,3,FALSE),MAX((AF189-IF(OR($G189="M (under 21)",$G189="Z (under 21 - deferment)"),'Input Data'!$BG$6,IF($G189="H (Apprentice under 25)",'Input Data'!$BG$7,'Input Data'!$BG$8))),0)*VLOOKUP($G189,'Input Data'!$BI$3:$BL$10,4,FALSE))))</f>
        <v>0</v>
      </c>
      <c r="AO189" s="56">
        <f>IF($G189="",0,IF(NOT(OR($G189="A - All employees not in groups B, C, J, H, M or Z",$G189="B - Married women and widows entitled to reduced NI",$G189="C - Over the State Pension age",$G189="H - Apprentice under 25",$G189="J – Deferment",$G189="M - Under 21",$G189="Z - Deferment (Under 21)",$G189="Please Enter The NI Cont. in ££££")),$G189,SUM(MAX(MIN(AG189-'Input Data'!$BG$3,'Input Data'!$BG$5-'Input Data'!$BG$3),0)*VLOOKUP($G189,'Input Data'!$BI$3:$BL$10,2,FALSE),MAX(MIN(AG189-'Input Data'!$BG$5,IF(OR($G189="M (under 21)",$G189="Z (under 21 - deferment)"),'Input Data'!$BG$6,IF($G189="H (Apprentice under 25)",'Input Data'!$BG$7,'Input Data'!$BG$8))-'Input Data'!$BG$5),0)*VLOOKUP($G189,'Input Data'!$BI$3:$BL$10,3,FALSE),MAX((AG189-IF(OR($G189="M (under 21)",$G189="Z (under 21 - deferment)"),'Input Data'!$BG$6,IF($G189="H (Apprentice under 25)",'Input Data'!$BG$7,'Input Data'!$BG$8))),0)*VLOOKUP($G189,'Input Data'!$BI$3:$BL$10,4,FALSE))))</f>
        <v>0</v>
      </c>
      <c r="AP189" s="56">
        <f>IF($G189="",0,IF(NOT(OR($G189="A - All employees not in groups B, C, J, H, M or Z",$G189="B - Married women and widows entitled to reduced NI",$G189="C - Over the State Pension age",$G189="H - Apprentice under 25",$G189="J – Deferment",$G189="M - Under 21",$G189="Z - Deferment (Under 21)",$G189="Please Enter The NI Cont. in ££££")),$G189,SUM(MAX(MIN(AH189-'Input Data'!$BG$3,'Input Data'!$BG$5-'Input Data'!$BG$3),0)*VLOOKUP($G189,'Input Data'!$BI$3:$BL$10,2,FALSE),MAX(MIN(AH189-'Input Data'!$BG$5,IF(OR($G189="M (under 21)",$G189="Z (under 21 - deferment)"),'Input Data'!$BG$6,IF($G189="H (Apprentice under 25)",'Input Data'!$BG$7,'Input Data'!$BG$8))-'Input Data'!$BG$5),0)*VLOOKUP($G189,'Input Data'!$BI$3:$BL$10,3,FALSE),MAX((AH189-IF(OR($G189="M (under 21)",$G189="Z (under 21 - deferment)"),'Input Data'!$BG$6,IF($G189="H (Apprentice under 25)",'Input Data'!$BG$7,'Input Data'!$BG$8))),0)*VLOOKUP($G189,'Input Data'!$BI$3:$BL$10,4,FALSE))))</f>
        <v>0</v>
      </c>
      <c r="AQ189" s="56">
        <f>IF($G189="",0,IF(NOT(OR($G189="A - All employees not in groups B, C, J, H, M or Z",$G189="B - Married women and widows entitled to reduced NI",$G189="C - Over the State Pension age",$G189="H - Apprentice under 25",$G189="J – Deferment",$G189="M - Under 21",$G189="Z - Deferment (Under 21)",$G189="Please Enter The NI Cont. in ££££")),$G189,SUM(MAX(MIN(AI189-'Input Data'!$BG$3,'Input Data'!$BG$5-'Input Data'!$BG$3),0)*VLOOKUP($G189,'Input Data'!$BI$3:$BL$10,2,FALSE),MAX(MIN(AI189-'Input Data'!$BG$5,IF(OR($G189="M (under 21)",$G189="Z (under 21 - deferment)"),'Input Data'!$BG$6,IF($G189="H (Apprentice under 25)",'Input Data'!$BG$7,'Input Data'!$BG$8))-'Input Data'!$BG$5),0)*VLOOKUP($G189,'Input Data'!$BI$3:$BL$10,3,FALSE),MAX((AI189-IF(OR($G189="M (under 21)",$G189="Z (under 21 - deferment)"),'Input Data'!$BG$6,IF($G189="H (Apprentice under 25)",'Input Data'!$BG$7,'Input Data'!$BG$8))),0)*VLOOKUP($G189,'Input Data'!$BI$3:$BL$10,4,FALSE))))</f>
        <v>0</v>
      </c>
      <c r="AR189" s="56">
        <f>IF($G189="",0,IF(NOT(OR($G189="A - All employees not in groups B, C, J, H, M or Z",$G189="B - Married women and widows entitled to reduced NI",$G189="C - Over the State Pension age",$G189="H - Apprentice under 25",$G189="J – Deferment",$G189="M - Under 21",$G189="Z - Deferment (Under 21)",$G189="Please Enter The NI Cont. in ££££")),$G189,SUM(MAX(MIN(AJ189-'Input Data'!$BG$3,'Input Data'!$BG$5-'Input Data'!$BG$3),0)*VLOOKUP($G189,'Input Data'!$BI$3:$BL$10,2,FALSE),MAX(MIN(AJ189-'Input Data'!$BG$5,IF(OR($G189="M (under 21)",$G189="Z (under 21 - deferment)"),'Input Data'!$BG$6,IF($G189="H (Apprentice under 25)",'Input Data'!$BG$7,'Input Data'!$BG$8))-'Input Data'!$BG$5),0)*VLOOKUP($G189,'Input Data'!$BI$3:$BL$10,3,FALSE),MAX((AJ189-IF(OR($G189="M (under 21)",$G189="Z (under 21 - deferment)"),'Input Data'!$BG$6,IF($G189="H (Apprentice under 25)",'Input Data'!$BG$7,'Input Data'!$BG$8))),0)*VLOOKUP($G189,'Input Data'!$BI$3:$BL$10,4,FALSE))))</f>
        <v>0</v>
      </c>
      <c r="AS189" s="56">
        <f>AC189*$F189</f>
        <v>0</v>
      </c>
      <c r="AT189" s="56">
        <f>AD189*$F189</f>
        <v>0</v>
      </c>
      <c r="AU189" s="56">
        <f>AE189*$F189</f>
        <v>0</v>
      </c>
      <c r="AV189" s="56">
        <f>AF189*$F189</f>
        <v>0</v>
      </c>
      <c r="AW189" s="56">
        <f>AG189*$F189</f>
        <v>0</v>
      </c>
      <c r="AX189" s="56">
        <f>AH189*$F189</f>
        <v>0</v>
      </c>
      <c r="AY189" s="56">
        <f>AI189*$F189</f>
        <v>0</v>
      </c>
      <c r="AZ189" s="56">
        <f>AJ189*$F189</f>
        <v>0</v>
      </c>
    </row>
    <row r="190" spans="2:52" ht="25.5">
      <c r="B190" s="60"/>
      <c r="C190" s="57" t="s">
        <v>84</v>
      </c>
      <c r="D190" s="58"/>
      <c r="E190" s="58"/>
      <c r="F190" s="535"/>
      <c r="G190" s="693" t="s">
        <v>1149</v>
      </c>
      <c r="H190" s="65"/>
      <c r="I190" s="65"/>
      <c r="J190" s="65"/>
      <c r="K190" s="65"/>
      <c r="L190" s="65"/>
      <c r="M190" s="65"/>
      <c r="N190" s="65"/>
      <c r="O190" s="65"/>
      <c r="P190" s="29"/>
      <c r="Q190" s="597"/>
      <c r="R190" s="61"/>
      <c r="T190" s="43">
        <f>SUM(AC190,AK190,AS190)</f>
        <v>0</v>
      </c>
      <c r="U190" s="43">
        <f>SUM(AD190,AL190,AT190)</f>
        <v>0</v>
      </c>
      <c r="V190" s="43">
        <f>SUM(AE190,AM190,AU190)</f>
        <v>0</v>
      </c>
      <c r="W190" s="43">
        <f>SUM(AF190,AN190,AV190)</f>
        <v>0</v>
      </c>
      <c r="X190" s="43">
        <f>SUM(AG190,AO190,AW190)</f>
        <v>0</v>
      </c>
      <c r="Y190" s="43">
        <f>SUM(AH190,AP190,AX190)</f>
        <v>0</v>
      </c>
      <c r="Z190" s="43">
        <f>SUM(AI190,AQ190,AY190)</f>
        <v>0</v>
      </c>
      <c r="AA190" s="43">
        <f>SUM(AJ190,AR190,AZ190)</f>
        <v>0</v>
      </c>
      <c r="AC190" s="631">
        <f>SUM($D190:$E190)*H190</f>
        <v>0</v>
      </c>
      <c r="AD190" s="631">
        <f>SUM($D190:$E190)*I190</f>
        <v>0</v>
      </c>
      <c r="AE190" s="631">
        <f>SUM($D190:$E190)*J190</f>
        <v>0</v>
      </c>
      <c r="AF190" s="631">
        <f>SUM($D190:$E190)*K190</f>
        <v>0</v>
      </c>
      <c r="AG190" s="631">
        <f>SUM($D190:$E190)*L190</f>
        <v>0</v>
      </c>
      <c r="AH190" s="631">
        <f>SUM($D190:$E190)*M190</f>
        <v>0</v>
      </c>
      <c r="AI190" s="631">
        <f>SUM($D190:$E190)*N190</f>
        <v>0</v>
      </c>
      <c r="AJ190" s="631">
        <f>SUM($D190:$E190)*O190</f>
        <v>0</v>
      </c>
      <c r="AK190" s="56">
        <f>IF($G190="",0,IF(NOT(OR($G190="A - All employees not in groups B, C, J, H, M or Z",$G190="B - Married women and widows entitled to reduced NI",$G190="C - Over the State Pension age",$G190="H - Apprentice under 25",$G190="J – Deferment",$G190="M - Under 21",$G190="Z - Deferment (Under 21)",$G190="Please Enter The NI Cont. in ££££")),$G190,SUM(MAX(MIN(AC190-'Input Data'!$BG$3,'Input Data'!$BG$5-'Input Data'!$BG$3),0)*VLOOKUP($G190,'Input Data'!$BI$3:$BL$10,2,FALSE),MAX(MIN(AC190-'Input Data'!$BG$5,IF(OR($G190="M (under 21)",$G190="Z (under 21 - deferment)"),'Input Data'!$BG$6,IF($G190="H (Apprentice under 25)",'Input Data'!$BG$7,'Input Data'!$BG$8))-'Input Data'!$BG$5),0)*VLOOKUP($G190,'Input Data'!$BI$3:$BL$10,3,FALSE),MAX((AC190-IF(OR($G190="M (under 21)",$G190="Z (under 21 - deferment)"),'Input Data'!$BG$6,IF($G190="H (Apprentice under 25)",'Input Data'!$BG$7,'Input Data'!$BG$8))),0)*VLOOKUP($G190,'Input Data'!$BI$3:$BL$10,4,FALSE))))</f>
        <v>0</v>
      </c>
      <c r="AL190" s="56">
        <f>IF($G190="",0,IF(NOT(OR($G190="A - All employees not in groups B, C, J, H, M or Z",$G190="B - Married women and widows entitled to reduced NI",$G190="C - Over the State Pension age",$G190="H - Apprentice under 25",$G190="J – Deferment",$G190="M - Under 21",$G190="Z - Deferment (Under 21)",$G190="Please Enter The NI Cont. in ££££")),$G190,SUM(MAX(MIN(AD190-'Input Data'!$BG$3,'Input Data'!$BG$5-'Input Data'!$BG$3),0)*VLOOKUP($G190,'Input Data'!$BI$3:$BL$10,2,FALSE),MAX(MIN(AD190-'Input Data'!$BG$5,IF(OR($G190="M (under 21)",$G190="Z (under 21 - deferment)"),'Input Data'!$BG$6,IF($G190="H (Apprentice under 25)",'Input Data'!$BG$7,'Input Data'!$BG$8))-'Input Data'!$BG$5),0)*VLOOKUP($G190,'Input Data'!$BI$3:$BL$10,3,FALSE),MAX((AD190-IF(OR($G190="M (under 21)",$G190="Z (under 21 - deferment)"),'Input Data'!$BG$6,IF($G190="H (Apprentice under 25)",'Input Data'!$BG$7,'Input Data'!$BG$8))),0)*VLOOKUP($G190,'Input Data'!$BI$3:$BL$10,4,FALSE))))</f>
        <v>0</v>
      </c>
      <c r="AM190" s="56">
        <f>IF($G190="",0,IF(NOT(OR($G190="A - All employees not in groups B, C, J, H, M or Z",$G190="B - Married women and widows entitled to reduced NI",$G190="C - Over the State Pension age",$G190="H - Apprentice under 25",$G190="J – Deferment",$G190="M - Under 21",$G190="Z - Deferment (Under 21)",$G190="Please Enter The NI Cont. in ££££")),$G190,SUM(MAX(MIN(AE190-'Input Data'!$BG$3,'Input Data'!$BG$5-'Input Data'!$BG$3),0)*VLOOKUP($G190,'Input Data'!$BI$3:$BL$10,2,FALSE),MAX(MIN(AE190-'Input Data'!$BG$5,IF(OR($G190="M (under 21)",$G190="Z (under 21 - deferment)"),'Input Data'!$BG$6,IF($G190="H (Apprentice under 25)",'Input Data'!$BG$7,'Input Data'!$BG$8))-'Input Data'!$BG$5),0)*VLOOKUP($G190,'Input Data'!$BI$3:$BL$10,3,FALSE),MAX((AE190-IF(OR($G190="M (under 21)",$G190="Z (under 21 - deferment)"),'Input Data'!$BG$6,IF($G190="H (Apprentice under 25)",'Input Data'!$BG$7,'Input Data'!$BG$8))),0)*VLOOKUP($G190,'Input Data'!$BI$3:$BL$10,4,FALSE))))</f>
        <v>0</v>
      </c>
      <c r="AN190" s="56">
        <f>IF($G190="",0,IF(NOT(OR($G190="A - All employees not in groups B, C, J, H, M or Z",$G190="B - Married women and widows entitled to reduced NI",$G190="C - Over the State Pension age",$G190="H - Apprentice under 25",$G190="J – Deferment",$G190="M - Under 21",$G190="Z - Deferment (Under 21)",$G190="Please Enter The NI Cont. in ££££")),$G190,SUM(MAX(MIN(AF190-'Input Data'!$BG$3,'Input Data'!$BG$5-'Input Data'!$BG$3),0)*VLOOKUP($G190,'Input Data'!$BI$3:$BL$10,2,FALSE),MAX(MIN(AF190-'Input Data'!$BG$5,IF(OR($G190="M (under 21)",$G190="Z (under 21 - deferment)"),'Input Data'!$BG$6,IF($G190="H (Apprentice under 25)",'Input Data'!$BG$7,'Input Data'!$BG$8))-'Input Data'!$BG$5),0)*VLOOKUP($G190,'Input Data'!$BI$3:$BL$10,3,FALSE),MAX((AF190-IF(OR($G190="M (under 21)",$G190="Z (under 21 - deferment)"),'Input Data'!$BG$6,IF($G190="H (Apprentice under 25)",'Input Data'!$BG$7,'Input Data'!$BG$8))),0)*VLOOKUP($G190,'Input Data'!$BI$3:$BL$10,4,FALSE))))</f>
        <v>0</v>
      </c>
      <c r="AO190" s="56">
        <f>IF($G190="",0,IF(NOT(OR($G190="A - All employees not in groups B, C, J, H, M or Z",$G190="B - Married women and widows entitled to reduced NI",$G190="C - Over the State Pension age",$G190="H - Apprentice under 25",$G190="J – Deferment",$G190="M - Under 21",$G190="Z - Deferment (Under 21)",$G190="Please Enter The NI Cont. in ££££")),$G190,SUM(MAX(MIN(AG190-'Input Data'!$BG$3,'Input Data'!$BG$5-'Input Data'!$BG$3),0)*VLOOKUP($G190,'Input Data'!$BI$3:$BL$10,2,FALSE),MAX(MIN(AG190-'Input Data'!$BG$5,IF(OR($G190="M (under 21)",$G190="Z (under 21 - deferment)"),'Input Data'!$BG$6,IF($G190="H (Apprentice under 25)",'Input Data'!$BG$7,'Input Data'!$BG$8))-'Input Data'!$BG$5),0)*VLOOKUP($G190,'Input Data'!$BI$3:$BL$10,3,FALSE),MAX((AG190-IF(OR($G190="M (under 21)",$G190="Z (under 21 - deferment)"),'Input Data'!$BG$6,IF($G190="H (Apprentice under 25)",'Input Data'!$BG$7,'Input Data'!$BG$8))),0)*VLOOKUP($G190,'Input Data'!$BI$3:$BL$10,4,FALSE))))</f>
        <v>0</v>
      </c>
      <c r="AP190" s="56">
        <f>IF($G190="",0,IF(NOT(OR($G190="A - All employees not in groups B, C, J, H, M or Z",$G190="B - Married women and widows entitled to reduced NI",$G190="C - Over the State Pension age",$G190="H - Apprentice under 25",$G190="J – Deferment",$G190="M - Under 21",$G190="Z - Deferment (Under 21)",$G190="Please Enter The NI Cont. in ££££")),$G190,SUM(MAX(MIN(AH190-'Input Data'!$BG$3,'Input Data'!$BG$5-'Input Data'!$BG$3),0)*VLOOKUP($G190,'Input Data'!$BI$3:$BL$10,2,FALSE),MAX(MIN(AH190-'Input Data'!$BG$5,IF(OR($G190="M (under 21)",$G190="Z (under 21 - deferment)"),'Input Data'!$BG$6,IF($G190="H (Apprentice under 25)",'Input Data'!$BG$7,'Input Data'!$BG$8))-'Input Data'!$BG$5),0)*VLOOKUP($G190,'Input Data'!$BI$3:$BL$10,3,FALSE),MAX((AH190-IF(OR($G190="M (under 21)",$G190="Z (under 21 - deferment)"),'Input Data'!$BG$6,IF($G190="H (Apprentice under 25)",'Input Data'!$BG$7,'Input Data'!$BG$8))),0)*VLOOKUP($G190,'Input Data'!$BI$3:$BL$10,4,FALSE))))</f>
        <v>0</v>
      </c>
      <c r="AQ190" s="56">
        <f>IF($G190="",0,IF(NOT(OR($G190="A - All employees not in groups B, C, J, H, M or Z",$G190="B - Married women and widows entitled to reduced NI",$G190="C - Over the State Pension age",$G190="H - Apprentice under 25",$G190="J – Deferment",$G190="M - Under 21",$G190="Z - Deferment (Under 21)",$G190="Please Enter The NI Cont. in ££££")),$G190,SUM(MAX(MIN(AI190-'Input Data'!$BG$3,'Input Data'!$BG$5-'Input Data'!$BG$3),0)*VLOOKUP($G190,'Input Data'!$BI$3:$BL$10,2,FALSE),MAX(MIN(AI190-'Input Data'!$BG$5,IF(OR($G190="M (under 21)",$G190="Z (under 21 - deferment)"),'Input Data'!$BG$6,IF($G190="H (Apprentice under 25)",'Input Data'!$BG$7,'Input Data'!$BG$8))-'Input Data'!$BG$5),0)*VLOOKUP($G190,'Input Data'!$BI$3:$BL$10,3,FALSE),MAX((AI190-IF(OR($G190="M (under 21)",$G190="Z (under 21 - deferment)"),'Input Data'!$BG$6,IF($G190="H (Apprentice under 25)",'Input Data'!$BG$7,'Input Data'!$BG$8))),0)*VLOOKUP($G190,'Input Data'!$BI$3:$BL$10,4,FALSE))))</f>
        <v>0</v>
      </c>
      <c r="AR190" s="56">
        <f>IF($G190="",0,IF(NOT(OR($G190="A - All employees not in groups B, C, J, H, M or Z",$G190="B - Married women and widows entitled to reduced NI",$G190="C - Over the State Pension age",$G190="H - Apprentice under 25",$G190="J – Deferment",$G190="M - Under 21",$G190="Z - Deferment (Under 21)",$G190="Please Enter The NI Cont. in ££££")),$G190,SUM(MAX(MIN(AJ190-'Input Data'!$BG$3,'Input Data'!$BG$5-'Input Data'!$BG$3),0)*VLOOKUP($G190,'Input Data'!$BI$3:$BL$10,2,FALSE),MAX(MIN(AJ190-'Input Data'!$BG$5,IF(OR($G190="M (under 21)",$G190="Z (under 21 - deferment)"),'Input Data'!$BG$6,IF($G190="H (Apprentice under 25)",'Input Data'!$BG$7,'Input Data'!$BG$8))-'Input Data'!$BG$5),0)*VLOOKUP($G190,'Input Data'!$BI$3:$BL$10,3,FALSE),MAX((AJ190-IF(OR($G190="M (under 21)",$G190="Z (under 21 - deferment)"),'Input Data'!$BG$6,IF($G190="H (Apprentice under 25)",'Input Data'!$BG$7,'Input Data'!$BG$8))),0)*VLOOKUP($G190,'Input Data'!$BI$3:$BL$10,4,FALSE))))</f>
        <v>0</v>
      </c>
      <c r="AS190" s="56">
        <f>AC190*$F190</f>
        <v>0</v>
      </c>
      <c r="AT190" s="56">
        <f>AD190*$F190</f>
        <v>0</v>
      </c>
      <c r="AU190" s="56">
        <f>AE190*$F190</f>
        <v>0</v>
      </c>
      <c r="AV190" s="56">
        <f>AF190*$F190</f>
        <v>0</v>
      </c>
      <c r="AW190" s="56">
        <f>AG190*$F190</f>
        <v>0</v>
      </c>
      <c r="AX190" s="56">
        <f>AH190*$F190</f>
        <v>0</v>
      </c>
      <c r="AY190" s="56">
        <f>AI190*$F190</f>
        <v>0</v>
      </c>
      <c r="AZ190" s="56">
        <f>AJ190*$F190</f>
        <v>0</v>
      </c>
    </row>
    <row r="191" spans="2:52" ht="15">
      <c r="B191" s="60"/>
      <c r="C191" s="33"/>
      <c r="D191" s="33"/>
      <c r="E191" s="33"/>
      <c r="F191" s="33"/>
      <c r="G191" s="34"/>
      <c r="H191" s="53"/>
      <c r="I191" s="53"/>
      <c r="J191" s="53"/>
      <c r="K191" s="53"/>
      <c r="L191" s="53"/>
      <c r="M191" s="53"/>
      <c r="N191" s="53"/>
      <c r="O191" s="53"/>
      <c r="P191" s="26"/>
      <c r="Q191" s="33"/>
      <c r="R191" s="61"/>
      <c r="T191"/>
      <c r="U191"/>
      <c r="V191"/>
      <c r="W191"/>
      <c r="X191"/>
      <c r="Y191"/>
      <c r="Z191"/>
      <c r="AA191"/>
      <c r="AB191"/>
      <c r="AC191" s="631"/>
      <c r="AD191" s="631"/>
      <c r="AE191" s="631"/>
      <c r="AF191" s="631"/>
      <c r="AG191" s="631"/>
      <c r="AH191" s="631"/>
      <c r="AI191" s="631"/>
      <c r="AJ191" s="631"/>
      <c r="AK191" s="56"/>
      <c r="AL191" s="56"/>
      <c r="AM191" s="56"/>
      <c r="AN191" s="56"/>
      <c r="AO191" s="56"/>
      <c r="AP191" s="56"/>
      <c r="AQ191" s="56"/>
      <c r="AR191" s="56"/>
      <c r="AS191"/>
      <c r="AT191"/>
      <c r="AU191"/>
      <c r="AV191"/>
      <c r="AW191"/>
      <c r="AX191"/>
      <c r="AY191"/>
      <c r="AZ191"/>
    </row>
    <row r="192" spans="2:52" ht="15">
      <c r="B192" s="60"/>
      <c r="C192" s="33"/>
      <c r="D192" s="33"/>
      <c r="E192" s="33"/>
      <c r="F192" s="33"/>
      <c r="G192" s="35" t="s">
        <v>1142</v>
      </c>
      <c r="H192" s="53"/>
      <c r="I192" s="53"/>
      <c r="J192" s="53"/>
      <c r="K192" s="53"/>
      <c r="L192" s="53"/>
      <c r="M192" s="53"/>
      <c r="N192" s="53"/>
      <c r="O192" s="53"/>
      <c r="P192" s="26"/>
      <c r="Q192" s="33"/>
      <c r="R192" s="61"/>
      <c r="T192"/>
      <c r="U192"/>
      <c r="V192"/>
      <c r="W192"/>
      <c r="X192"/>
      <c r="Y192"/>
      <c r="Z192"/>
      <c r="AA192"/>
      <c r="AB192"/>
      <c r="AC192" s="631"/>
      <c r="AD192" s="631"/>
      <c r="AE192" s="631"/>
      <c r="AF192" s="631"/>
      <c r="AG192" s="631"/>
      <c r="AH192" s="631"/>
      <c r="AI192" s="631"/>
      <c r="AJ192" s="631"/>
      <c r="AK192" s="56"/>
      <c r="AL192" s="56"/>
      <c r="AM192" s="56"/>
      <c r="AN192" s="56"/>
      <c r="AO192" s="56"/>
      <c r="AP192" s="56"/>
      <c r="AQ192" s="56"/>
      <c r="AR192" s="56"/>
      <c r="AS192"/>
      <c r="AT192"/>
      <c r="AU192"/>
      <c r="AV192"/>
      <c r="AW192"/>
      <c r="AX192"/>
      <c r="AY192"/>
      <c r="AZ192"/>
    </row>
    <row r="193" spans="2:52" ht="15">
      <c r="B193" s="60"/>
      <c r="C193" s="33" t="s">
        <v>129</v>
      </c>
      <c r="D193" s="33"/>
      <c r="E193" s="33"/>
      <c r="F193" s="33"/>
      <c r="G193" s="34"/>
      <c r="H193" s="53"/>
      <c r="I193" s="53"/>
      <c r="J193" s="53"/>
      <c r="K193" s="53"/>
      <c r="L193" s="53"/>
      <c r="M193" s="53"/>
      <c r="N193" s="53"/>
      <c r="O193" s="53"/>
      <c r="P193" s="26"/>
      <c r="Q193" s="33"/>
      <c r="R193" s="61"/>
      <c r="T193"/>
      <c r="U193"/>
      <c r="V193"/>
      <c r="W193"/>
      <c r="X193"/>
      <c r="Y193"/>
      <c r="Z193"/>
      <c r="AA193"/>
      <c r="AB193"/>
      <c r="AC193" s="631"/>
      <c r="AD193" s="631"/>
      <c r="AE193" s="631"/>
      <c r="AF193" s="631"/>
      <c r="AG193" s="631"/>
      <c r="AH193" s="631"/>
      <c r="AI193" s="631"/>
      <c r="AJ193" s="631"/>
      <c r="AK193" s="56"/>
      <c r="AL193" s="56"/>
      <c r="AM193" s="56"/>
      <c r="AN193" s="56"/>
      <c r="AO193" s="56"/>
      <c r="AP193" s="56"/>
      <c r="AQ193" s="56"/>
      <c r="AR193" s="56"/>
      <c r="AS193"/>
      <c r="AT193"/>
      <c r="AU193"/>
      <c r="AV193"/>
      <c r="AW193"/>
      <c r="AX193"/>
      <c r="AY193"/>
      <c r="AZ193"/>
    </row>
    <row r="194" spans="2:52" ht="25.5">
      <c r="B194" s="60"/>
      <c r="C194" s="57" t="s">
        <v>65</v>
      </c>
      <c r="D194" s="58"/>
      <c r="E194" s="58"/>
      <c r="F194" s="535"/>
      <c r="G194" s="693" t="s">
        <v>1149</v>
      </c>
      <c r="H194" s="65"/>
      <c r="I194" s="65"/>
      <c r="J194" s="65"/>
      <c r="K194" s="65"/>
      <c r="L194" s="65"/>
      <c r="M194" s="65"/>
      <c r="N194" s="65"/>
      <c r="O194" s="65"/>
      <c r="P194" s="29"/>
      <c r="Q194" s="597"/>
      <c r="R194" s="61"/>
      <c r="T194" s="43">
        <f>SUM(AC194,AK194,AS194)</f>
        <v>0</v>
      </c>
      <c r="U194" s="43">
        <f>SUM(AD194,AL194,AT194)</f>
        <v>0</v>
      </c>
      <c r="V194" s="43">
        <f>SUM(AE194,AM194,AU194)</f>
        <v>0</v>
      </c>
      <c r="W194" s="43">
        <f>SUM(AF194,AN194,AV194)</f>
        <v>0</v>
      </c>
      <c r="X194" s="43">
        <f>SUM(AG194,AO194,AW194)</f>
        <v>0</v>
      </c>
      <c r="Y194" s="43">
        <f>SUM(AH194,AP194,AX194)</f>
        <v>0</v>
      </c>
      <c r="Z194" s="43">
        <f>SUM(AI194,AQ194,AY194)</f>
        <v>0</v>
      </c>
      <c r="AA194" s="43">
        <f>SUM(AJ194,AR194,AZ194)</f>
        <v>0</v>
      </c>
      <c r="AC194" s="631">
        <f>SUM($D194:$E194)*H194</f>
        <v>0</v>
      </c>
      <c r="AD194" s="631">
        <f>SUM($D194:$E194)*I194</f>
        <v>0</v>
      </c>
      <c r="AE194" s="631">
        <f>SUM($D194:$E194)*J194</f>
        <v>0</v>
      </c>
      <c r="AF194" s="631">
        <f>SUM($D194:$E194)*K194</f>
        <v>0</v>
      </c>
      <c r="AG194" s="631">
        <f>SUM($D194:$E194)*L194</f>
        <v>0</v>
      </c>
      <c r="AH194" s="631">
        <f>SUM($D194:$E194)*M194</f>
        <v>0</v>
      </c>
      <c r="AI194" s="631">
        <f>SUM($D194:$E194)*N194</f>
        <v>0</v>
      </c>
      <c r="AJ194" s="631">
        <f>SUM($D194:$E194)*O194</f>
        <v>0</v>
      </c>
      <c r="AK194" s="56">
        <f>IF($G194="",0,IF(NOT(OR($G194="A - All employees not in groups B, C, J, H, M or Z",$G194="B - Married women and widows entitled to reduced NI",$G194="C - Over the State Pension age",$G194="H - Apprentice under 25",$G194="J – Deferment",$G194="M - Under 21",$G194="Z - Deferment (Under 21)",$G194="Please Enter The NI Cont. in ££££")),$G194,SUM(MAX(MIN(AC194-'Input Data'!$BG$3,'Input Data'!$BG$5-'Input Data'!$BG$3),0)*VLOOKUP($G194,'Input Data'!$BI$3:$BL$10,2,FALSE),MAX(MIN(AC194-'Input Data'!$BG$5,IF(OR($G194="M (under 21)",$G194="Z (under 21 - deferment)"),'Input Data'!$BG$6,IF($G194="H (Apprentice under 25)",'Input Data'!$BG$7,'Input Data'!$BG$8))-'Input Data'!$BG$5),0)*VLOOKUP($G194,'Input Data'!$BI$3:$BL$10,3,FALSE),MAX((AC194-IF(OR($G194="M (under 21)",$G194="Z (under 21 - deferment)"),'Input Data'!$BG$6,IF($G194="H (Apprentice under 25)",'Input Data'!$BG$7,'Input Data'!$BG$8))),0)*VLOOKUP($G194,'Input Data'!$BI$3:$BL$10,4,FALSE))))</f>
        <v>0</v>
      </c>
      <c r="AL194" s="56">
        <f>IF($G194="",0,IF(NOT(OR($G194="A - All employees not in groups B, C, J, H, M or Z",$G194="B - Married women and widows entitled to reduced NI",$G194="C - Over the State Pension age",$G194="H - Apprentice under 25",$G194="J – Deferment",$G194="M - Under 21",$G194="Z - Deferment (Under 21)",$G194="Please Enter The NI Cont. in ££££")),$G194,SUM(MAX(MIN(AD194-'Input Data'!$BG$3,'Input Data'!$BG$5-'Input Data'!$BG$3),0)*VLOOKUP($G194,'Input Data'!$BI$3:$BL$10,2,FALSE),MAX(MIN(AD194-'Input Data'!$BG$5,IF(OR($G194="M (under 21)",$G194="Z (under 21 - deferment)"),'Input Data'!$BG$6,IF($G194="H (Apprentice under 25)",'Input Data'!$BG$7,'Input Data'!$BG$8))-'Input Data'!$BG$5),0)*VLOOKUP($G194,'Input Data'!$BI$3:$BL$10,3,FALSE),MAX((AD194-IF(OR($G194="M (under 21)",$G194="Z (under 21 - deferment)"),'Input Data'!$BG$6,IF($G194="H (Apprentice under 25)",'Input Data'!$BG$7,'Input Data'!$BG$8))),0)*VLOOKUP($G194,'Input Data'!$BI$3:$BL$10,4,FALSE))))</f>
        <v>0</v>
      </c>
      <c r="AM194" s="56">
        <f>IF($G194="",0,IF(NOT(OR($G194="A - All employees not in groups B, C, J, H, M or Z",$G194="B - Married women and widows entitled to reduced NI",$G194="C - Over the State Pension age",$G194="H - Apprentice under 25",$G194="J – Deferment",$G194="M - Under 21",$G194="Z - Deferment (Under 21)",$G194="Please Enter The NI Cont. in ££££")),$G194,SUM(MAX(MIN(AE194-'Input Data'!$BG$3,'Input Data'!$BG$5-'Input Data'!$BG$3),0)*VLOOKUP($G194,'Input Data'!$BI$3:$BL$10,2,FALSE),MAX(MIN(AE194-'Input Data'!$BG$5,IF(OR($G194="M (under 21)",$G194="Z (under 21 - deferment)"),'Input Data'!$BG$6,IF($G194="H (Apprentice under 25)",'Input Data'!$BG$7,'Input Data'!$BG$8))-'Input Data'!$BG$5),0)*VLOOKUP($G194,'Input Data'!$BI$3:$BL$10,3,FALSE),MAX((AE194-IF(OR($G194="M (under 21)",$G194="Z (under 21 - deferment)"),'Input Data'!$BG$6,IF($G194="H (Apprentice under 25)",'Input Data'!$BG$7,'Input Data'!$BG$8))),0)*VLOOKUP($G194,'Input Data'!$BI$3:$BL$10,4,FALSE))))</f>
        <v>0</v>
      </c>
      <c r="AN194" s="56">
        <f>IF($G194="",0,IF(NOT(OR($G194="A - All employees not in groups B, C, J, H, M or Z",$G194="B - Married women and widows entitled to reduced NI",$G194="C - Over the State Pension age",$G194="H - Apprentice under 25",$G194="J – Deferment",$G194="M - Under 21",$G194="Z - Deferment (Under 21)",$G194="Please Enter The NI Cont. in ££££")),$G194,SUM(MAX(MIN(AF194-'Input Data'!$BG$3,'Input Data'!$BG$5-'Input Data'!$BG$3),0)*VLOOKUP($G194,'Input Data'!$BI$3:$BL$10,2,FALSE),MAX(MIN(AF194-'Input Data'!$BG$5,IF(OR($G194="M (under 21)",$G194="Z (under 21 - deferment)"),'Input Data'!$BG$6,IF($G194="H (Apprentice under 25)",'Input Data'!$BG$7,'Input Data'!$BG$8))-'Input Data'!$BG$5),0)*VLOOKUP($G194,'Input Data'!$BI$3:$BL$10,3,FALSE),MAX((AF194-IF(OR($G194="M (under 21)",$G194="Z (under 21 - deferment)"),'Input Data'!$BG$6,IF($G194="H (Apprentice under 25)",'Input Data'!$BG$7,'Input Data'!$BG$8))),0)*VLOOKUP($G194,'Input Data'!$BI$3:$BL$10,4,FALSE))))</f>
        <v>0</v>
      </c>
      <c r="AO194" s="56">
        <f>IF($G194="",0,IF(NOT(OR($G194="A - All employees not in groups B, C, J, H, M or Z",$G194="B - Married women and widows entitled to reduced NI",$G194="C - Over the State Pension age",$G194="H - Apprentice under 25",$G194="J – Deferment",$G194="M - Under 21",$G194="Z - Deferment (Under 21)",$G194="Please Enter The NI Cont. in ££££")),$G194,SUM(MAX(MIN(AG194-'Input Data'!$BG$3,'Input Data'!$BG$5-'Input Data'!$BG$3),0)*VLOOKUP($G194,'Input Data'!$BI$3:$BL$10,2,FALSE),MAX(MIN(AG194-'Input Data'!$BG$5,IF(OR($G194="M (under 21)",$G194="Z (under 21 - deferment)"),'Input Data'!$BG$6,IF($G194="H (Apprentice under 25)",'Input Data'!$BG$7,'Input Data'!$BG$8))-'Input Data'!$BG$5),0)*VLOOKUP($G194,'Input Data'!$BI$3:$BL$10,3,FALSE),MAX((AG194-IF(OR($G194="M (under 21)",$G194="Z (under 21 - deferment)"),'Input Data'!$BG$6,IF($G194="H (Apprentice under 25)",'Input Data'!$BG$7,'Input Data'!$BG$8))),0)*VLOOKUP($G194,'Input Data'!$BI$3:$BL$10,4,FALSE))))</f>
        <v>0</v>
      </c>
      <c r="AP194" s="56">
        <f>IF($G194="",0,IF(NOT(OR($G194="A - All employees not in groups B, C, J, H, M or Z",$G194="B - Married women and widows entitled to reduced NI",$G194="C - Over the State Pension age",$G194="H - Apprentice under 25",$G194="J – Deferment",$G194="M - Under 21",$G194="Z - Deferment (Under 21)",$G194="Please Enter The NI Cont. in ££££")),$G194,SUM(MAX(MIN(AH194-'Input Data'!$BG$3,'Input Data'!$BG$5-'Input Data'!$BG$3),0)*VLOOKUP($G194,'Input Data'!$BI$3:$BL$10,2,FALSE),MAX(MIN(AH194-'Input Data'!$BG$5,IF(OR($G194="M (under 21)",$G194="Z (under 21 - deferment)"),'Input Data'!$BG$6,IF($G194="H (Apprentice under 25)",'Input Data'!$BG$7,'Input Data'!$BG$8))-'Input Data'!$BG$5),0)*VLOOKUP($G194,'Input Data'!$BI$3:$BL$10,3,FALSE),MAX((AH194-IF(OR($G194="M (under 21)",$G194="Z (under 21 - deferment)"),'Input Data'!$BG$6,IF($G194="H (Apprentice under 25)",'Input Data'!$BG$7,'Input Data'!$BG$8))),0)*VLOOKUP($G194,'Input Data'!$BI$3:$BL$10,4,FALSE))))</f>
        <v>0</v>
      </c>
      <c r="AQ194" s="56">
        <f>IF($G194="",0,IF(NOT(OR($G194="A - All employees not in groups B, C, J, H, M or Z",$G194="B - Married women and widows entitled to reduced NI",$G194="C - Over the State Pension age",$G194="H - Apprentice under 25",$G194="J – Deferment",$G194="M - Under 21",$G194="Z - Deferment (Under 21)",$G194="Please Enter The NI Cont. in ££££")),$G194,SUM(MAX(MIN(AI194-'Input Data'!$BG$3,'Input Data'!$BG$5-'Input Data'!$BG$3),0)*VLOOKUP($G194,'Input Data'!$BI$3:$BL$10,2,FALSE),MAX(MIN(AI194-'Input Data'!$BG$5,IF(OR($G194="M (under 21)",$G194="Z (under 21 - deferment)"),'Input Data'!$BG$6,IF($G194="H (Apprentice under 25)",'Input Data'!$BG$7,'Input Data'!$BG$8))-'Input Data'!$BG$5),0)*VLOOKUP($G194,'Input Data'!$BI$3:$BL$10,3,FALSE),MAX((AI194-IF(OR($G194="M (under 21)",$G194="Z (under 21 - deferment)"),'Input Data'!$BG$6,IF($G194="H (Apprentice under 25)",'Input Data'!$BG$7,'Input Data'!$BG$8))),0)*VLOOKUP($G194,'Input Data'!$BI$3:$BL$10,4,FALSE))))</f>
        <v>0</v>
      </c>
      <c r="AR194" s="56">
        <f>IF($G194="",0,IF(NOT(OR($G194="A - All employees not in groups B, C, J, H, M or Z",$G194="B - Married women and widows entitled to reduced NI",$G194="C - Over the State Pension age",$G194="H - Apprentice under 25",$G194="J – Deferment",$G194="M - Under 21",$G194="Z - Deferment (Under 21)",$G194="Please Enter The NI Cont. in ££££")),$G194,SUM(MAX(MIN(AJ194-'Input Data'!$BG$3,'Input Data'!$BG$5-'Input Data'!$BG$3),0)*VLOOKUP($G194,'Input Data'!$BI$3:$BL$10,2,FALSE),MAX(MIN(AJ194-'Input Data'!$BG$5,IF(OR($G194="M (under 21)",$G194="Z (under 21 - deferment)"),'Input Data'!$BG$6,IF($G194="H (Apprentice under 25)",'Input Data'!$BG$7,'Input Data'!$BG$8))-'Input Data'!$BG$5),0)*VLOOKUP($G194,'Input Data'!$BI$3:$BL$10,3,FALSE),MAX((AJ194-IF(OR($G194="M (under 21)",$G194="Z (under 21 - deferment)"),'Input Data'!$BG$6,IF($G194="H (Apprentice under 25)",'Input Data'!$BG$7,'Input Data'!$BG$8))),0)*VLOOKUP($G194,'Input Data'!$BI$3:$BL$10,4,FALSE))))</f>
        <v>0</v>
      </c>
      <c r="AS194" s="56">
        <f>AC194*$F194</f>
        <v>0</v>
      </c>
      <c r="AT194" s="56">
        <f>AD194*$F194</f>
        <v>0</v>
      </c>
      <c r="AU194" s="56">
        <f>AE194*$F194</f>
        <v>0</v>
      </c>
      <c r="AV194" s="56">
        <f>AF194*$F194</f>
        <v>0</v>
      </c>
      <c r="AW194" s="56">
        <f>AG194*$F194</f>
        <v>0</v>
      </c>
      <c r="AX194" s="56">
        <f>AH194*$F194</f>
        <v>0</v>
      </c>
      <c r="AY194" s="56">
        <f>AI194*$F194</f>
        <v>0</v>
      </c>
      <c r="AZ194" s="56">
        <f>AJ194*$F194</f>
        <v>0</v>
      </c>
    </row>
    <row r="195" spans="2:52" ht="25.5">
      <c r="B195" s="60"/>
      <c r="C195" s="57" t="s">
        <v>66</v>
      </c>
      <c r="D195" s="58"/>
      <c r="E195" s="58"/>
      <c r="F195" s="535"/>
      <c r="G195" s="693" t="s">
        <v>1149</v>
      </c>
      <c r="H195" s="65"/>
      <c r="I195" s="65"/>
      <c r="J195" s="65"/>
      <c r="K195" s="65"/>
      <c r="L195" s="65"/>
      <c r="M195" s="65"/>
      <c r="N195" s="65"/>
      <c r="O195" s="65"/>
      <c r="P195" s="29"/>
      <c r="Q195" s="597"/>
      <c r="R195" s="61"/>
      <c r="T195" s="43">
        <f>SUM(AC195,AK195,AS195)</f>
        <v>0</v>
      </c>
      <c r="U195" s="43">
        <f>SUM(AD195,AL195,AT195)</f>
        <v>0</v>
      </c>
      <c r="V195" s="43">
        <f>SUM(AE195,AM195,AU195)</f>
        <v>0</v>
      </c>
      <c r="W195" s="43">
        <f>SUM(AF195,AN195,AV195)</f>
        <v>0</v>
      </c>
      <c r="X195" s="43">
        <f>SUM(AG195,AO195,AW195)</f>
        <v>0</v>
      </c>
      <c r="Y195" s="43">
        <f>SUM(AH195,AP195,AX195)</f>
        <v>0</v>
      </c>
      <c r="Z195" s="43">
        <f>SUM(AI195,AQ195,AY195)</f>
        <v>0</v>
      </c>
      <c r="AA195" s="43">
        <f>SUM(AJ195,AR195,AZ195)</f>
        <v>0</v>
      </c>
      <c r="AC195" s="631">
        <f>SUM($D195:$E195)*H195</f>
        <v>0</v>
      </c>
      <c r="AD195" s="631">
        <f>SUM($D195:$E195)*I195</f>
        <v>0</v>
      </c>
      <c r="AE195" s="631">
        <f>SUM($D195:$E195)*J195</f>
        <v>0</v>
      </c>
      <c r="AF195" s="631">
        <f>SUM($D195:$E195)*K195</f>
        <v>0</v>
      </c>
      <c r="AG195" s="631">
        <f>SUM($D195:$E195)*L195</f>
        <v>0</v>
      </c>
      <c r="AH195" s="631">
        <f>SUM($D195:$E195)*M195</f>
        <v>0</v>
      </c>
      <c r="AI195" s="631">
        <f>SUM($D195:$E195)*N195</f>
        <v>0</v>
      </c>
      <c r="AJ195" s="631">
        <f>SUM($D195:$E195)*O195</f>
        <v>0</v>
      </c>
      <c r="AK195" s="56">
        <f>IF($G195="",0,IF(NOT(OR($G195="A - All employees not in groups B, C, J, H, M or Z",$G195="B - Married women and widows entitled to reduced NI",$G195="C - Over the State Pension age",$G195="H - Apprentice under 25",$G195="J – Deferment",$G195="M - Under 21",$G195="Z - Deferment (Under 21)",$G195="Please Enter The NI Cont. in ££££")),$G195,SUM(MAX(MIN(AC195-'Input Data'!$BG$3,'Input Data'!$BG$5-'Input Data'!$BG$3),0)*VLOOKUP($G195,'Input Data'!$BI$3:$BL$10,2,FALSE),MAX(MIN(AC195-'Input Data'!$BG$5,IF(OR($G195="M (under 21)",$G195="Z (under 21 - deferment)"),'Input Data'!$BG$6,IF($G195="H (Apprentice under 25)",'Input Data'!$BG$7,'Input Data'!$BG$8))-'Input Data'!$BG$5),0)*VLOOKUP($G195,'Input Data'!$BI$3:$BL$10,3,FALSE),MAX((AC195-IF(OR($G195="M (under 21)",$G195="Z (under 21 - deferment)"),'Input Data'!$BG$6,IF($G195="H (Apprentice under 25)",'Input Data'!$BG$7,'Input Data'!$BG$8))),0)*VLOOKUP($G195,'Input Data'!$BI$3:$BL$10,4,FALSE))))</f>
        <v>0</v>
      </c>
      <c r="AL195" s="56">
        <f>IF($G195="",0,IF(NOT(OR($G195="A - All employees not in groups B, C, J, H, M or Z",$G195="B - Married women and widows entitled to reduced NI",$G195="C - Over the State Pension age",$G195="H - Apprentice under 25",$G195="J – Deferment",$G195="M - Under 21",$G195="Z - Deferment (Under 21)",$G195="Please Enter The NI Cont. in ££££")),$G195,SUM(MAX(MIN(AD195-'Input Data'!$BG$3,'Input Data'!$BG$5-'Input Data'!$BG$3),0)*VLOOKUP($G195,'Input Data'!$BI$3:$BL$10,2,FALSE),MAX(MIN(AD195-'Input Data'!$BG$5,IF(OR($G195="M (under 21)",$G195="Z (under 21 - deferment)"),'Input Data'!$BG$6,IF($G195="H (Apprentice under 25)",'Input Data'!$BG$7,'Input Data'!$BG$8))-'Input Data'!$BG$5),0)*VLOOKUP($G195,'Input Data'!$BI$3:$BL$10,3,FALSE),MAX((AD195-IF(OR($G195="M (under 21)",$G195="Z (under 21 - deferment)"),'Input Data'!$BG$6,IF($G195="H (Apprentice under 25)",'Input Data'!$BG$7,'Input Data'!$BG$8))),0)*VLOOKUP($G195,'Input Data'!$BI$3:$BL$10,4,FALSE))))</f>
        <v>0</v>
      </c>
      <c r="AM195" s="56">
        <f>IF($G195="",0,IF(NOT(OR($G195="A - All employees not in groups B, C, J, H, M or Z",$G195="B - Married women and widows entitled to reduced NI",$G195="C - Over the State Pension age",$G195="H - Apprentice under 25",$G195="J – Deferment",$G195="M - Under 21",$G195="Z - Deferment (Under 21)",$G195="Please Enter The NI Cont. in ££££")),$G195,SUM(MAX(MIN(AE195-'Input Data'!$BG$3,'Input Data'!$BG$5-'Input Data'!$BG$3),0)*VLOOKUP($G195,'Input Data'!$BI$3:$BL$10,2,FALSE),MAX(MIN(AE195-'Input Data'!$BG$5,IF(OR($G195="M (under 21)",$G195="Z (under 21 - deferment)"),'Input Data'!$BG$6,IF($G195="H (Apprentice under 25)",'Input Data'!$BG$7,'Input Data'!$BG$8))-'Input Data'!$BG$5),0)*VLOOKUP($G195,'Input Data'!$BI$3:$BL$10,3,FALSE),MAX((AE195-IF(OR($G195="M (under 21)",$G195="Z (under 21 - deferment)"),'Input Data'!$BG$6,IF($G195="H (Apprentice under 25)",'Input Data'!$BG$7,'Input Data'!$BG$8))),0)*VLOOKUP($G195,'Input Data'!$BI$3:$BL$10,4,FALSE))))</f>
        <v>0</v>
      </c>
      <c r="AN195" s="56">
        <f>IF($G195="",0,IF(NOT(OR($G195="A - All employees not in groups B, C, J, H, M or Z",$G195="B - Married women and widows entitled to reduced NI",$G195="C - Over the State Pension age",$G195="H - Apprentice under 25",$G195="J – Deferment",$G195="M - Under 21",$G195="Z - Deferment (Under 21)",$G195="Please Enter The NI Cont. in ££££")),$G195,SUM(MAX(MIN(AF195-'Input Data'!$BG$3,'Input Data'!$BG$5-'Input Data'!$BG$3),0)*VLOOKUP($G195,'Input Data'!$BI$3:$BL$10,2,FALSE),MAX(MIN(AF195-'Input Data'!$BG$5,IF(OR($G195="M (under 21)",$G195="Z (under 21 - deferment)"),'Input Data'!$BG$6,IF($G195="H (Apprentice under 25)",'Input Data'!$BG$7,'Input Data'!$BG$8))-'Input Data'!$BG$5),0)*VLOOKUP($G195,'Input Data'!$BI$3:$BL$10,3,FALSE),MAX((AF195-IF(OR($G195="M (under 21)",$G195="Z (under 21 - deferment)"),'Input Data'!$BG$6,IF($G195="H (Apprentice under 25)",'Input Data'!$BG$7,'Input Data'!$BG$8))),0)*VLOOKUP($G195,'Input Data'!$BI$3:$BL$10,4,FALSE))))</f>
        <v>0</v>
      </c>
      <c r="AO195" s="56">
        <f>IF($G195="",0,IF(NOT(OR($G195="A - All employees not in groups B, C, J, H, M or Z",$G195="B - Married women and widows entitled to reduced NI",$G195="C - Over the State Pension age",$G195="H - Apprentice under 25",$G195="J – Deferment",$G195="M - Under 21",$G195="Z - Deferment (Under 21)",$G195="Please Enter The NI Cont. in ££££")),$G195,SUM(MAX(MIN(AG195-'Input Data'!$BG$3,'Input Data'!$BG$5-'Input Data'!$BG$3),0)*VLOOKUP($G195,'Input Data'!$BI$3:$BL$10,2,FALSE),MAX(MIN(AG195-'Input Data'!$BG$5,IF(OR($G195="M (under 21)",$G195="Z (under 21 - deferment)"),'Input Data'!$BG$6,IF($G195="H (Apprentice under 25)",'Input Data'!$BG$7,'Input Data'!$BG$8))-'Input Data'!$BG$5),0)*VLOOKUP($G195,'Input Data'!$BI$3:$BL$10,3,FALSE),MAX((AG195-IF(OR($G195="M (under 21)",$G195="Z (under 21 - deferment)"),'Input Data'!$BG$6,IF($G195="H (Apprentice under 25)",'Input Data'!$BG$7,'Input Data'!$BG$8))),0)*VLOOKUP($G195,'Input Data'!$BI$3:$BL$10,4,FALSE))))</f>
        <v>0</v>
      </c>
      <c r="AP195" s="56">
        <f>IF($G195="",0,IF(NOT(OR($G195="A - All employees not in groups B, C, J, H, M or Z",$G195="B - Married women and widows entitled to reduced NI",$G195="C - Over the State Pension age",$G195="H - Apprentice under 25",$G195="J – Deferment",$G195="M - Under 21",$G195="Z - Deferment (Under 21)",$G195="Please Enter The NI Cont. in ££££")),$G195,SUM(MAX(MIN(AH195-'Input Data'!$BG$3,'Input Data'!$BG$5-'Input Data'!$BG$3),0)*VLOOKUP($G195,'Input Data'!$BI$3:$BL$10,2,FALSE),MAX(MIN(AH195-'Input Data'!$BG$5,IF(OR($G195="M (under 21)",$G195="Z (under 21 - deferment)"),'Input Data'!$BG$6,IF($G195="H (Apprentice under 25)",'Input Data'!$BG$7,'Input Data'!$BG$8))-'Input Data'!$BG$5),0)*VLOOKUP($G195,'Input Data'!$BI$3:$BL$10,3,FALSE),MAX((AH195-IF(OR($G195="M (under 21)",$G195="Z (under 21 - deferment)"),'Input Data'!$BG$6,IF($G195="H (Apprentice under 25)",'Input Data'!$BG$7,'Input Data'!$BG$8))),0)*VLOOKUP($G195,'Input Data'!$BI$3:$BL$10,4,FALSE))))</f>
        <v>0</v>
      </c>
      <c r="AQ195" s="56">
        <f>IF($G195="",0,IF(NOT(OR($G195="A - All employees not in groups B, C, J, H, M or Z",$G195="B - Married women and widows entitled to reduced NI",$G195="C - Over the State Pension age",$G195="H - Apprentice under 25",$G195="J – Deferment",$G195="M - Under 21",$G195="Z - Deferment (Under 21)",$G195="Please Enter The NI Cont. in ££££")),$G195,SUM(MAX(MIN(AI195-'Input Data'!$BG$3,'Input Data'!$BG$5-'Input Data'!$BG$3),0)*VLOOKUP($G195,'Input Data'!$BI$3:$BL$10,2,FALSE),MAX(MIN(AI195-'Input Data'!$BG$5,IF(OR($G195="M (under 21)",$G195="Z (under 21 - deferment)"),'Input Data'!$BG$6,IF($G195="H (Apprentice under 25)",'Input Data'!$BG$7,'Input Data'!$BG$8))-'Input Data'!$BG$5),0)*VLOOKUP($G195,'Input Data'!$BI$3:$BL$10,3,FALSE),MAX((AI195-IF(OR($G195="M (under 21)",$G195="Z (under 21 - deferment)"),'Input Data'!$BG$6,IF($G195="H (Apprentice under 25)",'Input Data'!$BG$7,'Input Data'!$BG$8))),0)*VLOOKUP($G195,'Input Data'!$BI$3:$BL$10,4,FALSE))))</f>
        <v>0</v>
      </c>
      <c r="AR195" s="56">
        <f>IF($G195="",0,IF(NOT(OR($G195="A - All employees not in groups B, C, J, H, M or Z",$G195="B - Married women and widows entitled to reduced NI",$G195="C - Over the State Pension age",$G195="H - Apprentice under 25",$G195="J – Deferment",$G195="M - Under 21",$G195="Z - Deferment (Under 21)",$G195="Please Enter The NI Cont. in ££££")),$G195,SUM(MAX(MIN(AJ195-'Input Data'!$BG$3,'Input Data'!$BG$5-'Input Data'!$BG$3),0)*VLOOKUP($G195,'Input Data'!$BI$3:$BL$10,2,FALSE),MAX(MIN(AJ195-'Input Data'!$BG$5,IF(OR($G195="M (under 21)",$G195="Z (under 21 - deferment)"),'Input Data'!$BG$6,IF($G195="H (Apprentice under 25)",'Input Data'!$BG$7,'Input Data'!$BG$8))-'Input Data'!$BG$5),0)*VLOOKUP($G195,'Input Data'!$BI$3:$BL$10,3,FALSE),MAX((AJ195-IF(OR($G195="M (under 21)",$G195="Z (under 21 - deferment)"),'Input Data'!$BG$6,IF($G195="H (Apprentice under 25)",'Input Data'!$BG$7,'Input Data'!$BG$8))),0)*VLOOKUP($G195,'Input Data'!$BI$3:$BL$10,4,FALSE))))</f>
        <v>0</v>
      </c>
      <c r="AS195" s="56">
        <f>AC195*$F195</f>
        <v>0</v>
      </c>
      <c r="AT195" s="56">
        <f>AD195*$F195</f>
        <v>0</v>
      </c>
      <c r="AU195" s="56">
        <f>AE195*$F195</f>
        <v>0</v>
      </c>
      <c r="AV195" s="56">
        <f>AF195*$F195</f>
        <v>0</v>
      </c>
      <c r="AW195" s="56">
        <f>AG195*$F195</f>
        <v>0</v>
      </c>
      <c r="AX195" s="56">
        <f>AH195*$F195</f>
        <v>0</v>
      </c>
      <c r="AY195" s="56">
        <f>AI195*$F195</f>
        <v>0</v>
      </c>
      <c r="AZ195" s="56">
        <f>AJ195*$F195</f>
        <v>0</v>
      </c>
    </row>
    <row r="196" spans="2:52" ht="25.5">
      <c r="B196" s="60"/>
      <c r="C196" s="57" t="s">
        <v>67</v>
      </c>
      <c r="D196" s="58"/>
      <c r="E196" s="58"/>
      <c r="F196" s="535"/>
      <c r="G196" s="693" t="s">
        <v>1149</v>
      </c>
      <c r="H196" s="65"/>
      <c r="I196" s="65"/>
      <c r="J196" s="65"/>
      <c r="K196" s="65"/>
      <c r="L196" s="65"/>
      <c r="M196" s="65"/>
      <c r="N196" s="65"/>
      <c r="O196" s="65"/>
      <c r="P196" s="29"/>
      <c r="Q196" s="597"/>
      <c r="R196" s="61"/>
      <c r="T196" s="43">
        <f>SUM(AC196,AK196,AS196)</f>
        <v>0</v>
      </c>
      <c r="U196" s="43">
        <f>SUM(AD196,AL196,AT196)</f>
        <v>0</v>
      </c>
      <c r="V196" s="43">
        <f>SUM(AE196,AM196,AU196)</f>
        <v>0</v>
      </c>
      <c r="W196" s="43">
        <f>SUM(AF196,AN196,AV196)</f>
        <v>0</v>
      </c>
      <c r="X196" s="43">
        <f>SUM(AG196,AO196,AW196)</f>
        <v>0</v>
      </c>
      <c r="Y196" s="43">
        <f>SUM(AH196,AP196,AX196)</f>
        <v>0</v>
      </c>
      <c r="Z196" s="43">
        <f>SUM(AI196,AQ196,AY196)</f>
        <v>0</v>
      </c>
      <c r="AA196" s="43">
        <f>SUM(AJ196,AR196,AZ196)</f>
        <v>0</v>
      </c>
      <c r="AC196" s="631">
        <f>SUM($D196:$E196)*H196</f>
        <v>0</v>
      </c>
      <c r="AD196" s="631">
        <f>SUM($D196:$E196)*I196</f>
        <v>0</v>
      </c>
      <c r="AE196" s="631">
        <f>SUM($D196:$E196)*J196</f>
        <v>0</v>
      </c>
      <c r="AF196" s="631">
        <f>SUM($D196:$E196)*K196</f>
        <v>0</v>
      </c>
      <c r="AG196" s="631">
        <f>SUM($D196:$E196)*L196</f>
        <v>0</v>
      </c>
      <c r="AH196" s="631">
        <f>SUM($D196:$E196)*M196</f>
        <v>0</v>
      </c>
      <c r="AI196" s="631">
        <f>SUM($D196:$E196)*N196</f>
        <v>0</v>
      </c>
      <c r="AJ196" s="631">
        <f>SUM($D196:$E196)*O196</f>
        <v>0</v>
      </c>
      <c r="AK196" s="56">
        <f>IF($G196="",0,IF(NOT(OR($G196="A - All employees not in groups B, C, J, H, M or Z",$G196="B - Married women and widows entitled to reduced NI",$G196="C - Over the State Pension age",$G196="H - Apprentice under 25",$G196="J – Deferment",$G196="M - Under 21",$G196="Z - Deferment (Under 21)",$G196="Please Enter The NI Cont. in ££££")),$G196,SUM(MAX(MIN(AC196-'Input Data'!$BG$3,'Input Data'!$BG$5-'Input Data'!$BG$3),0)*VLOOKUP($G196,'Input Data'!$BI$3:$BL$10,2,FALSE),MAX(MIN(AC196-'Input Data'!$BG$5,IF(OR($G196="M (under 21)",$G196="Z (under 21 - deferment)"),'Input Data'!$BG$6,IF($G196="H (Apprentice under 25)",'Input Data'!$BG$7,'Input Data'!$BG$8))-'Input Data'!$BG$5),0)*VLOOKUP($G196,'Input Data'!$BI$3:$BL$10,3,FALSE),MAX((AC196-IF(OR($G196="M (under 21)",$G196="Z (under 21 - deferment)"),'Input Data'!$BG$6,IF($G196="H (Apprentice under 25)",'Input Data'!$BG$7,'Input Data'!$BG$8))),0)*VLOOKUP($G196,'Input Data'!$BI$3:$BL$10,4,FALSE))))</f>
        <v>0</v>
      </c>
      <c r="AL196" s="56">
        <f>IF($G196="",0,IF(NOT(OR($G196="A - All employees not in groups B, C, J, H, M or Z",$G196="B - Married women and widows entitled to reduced NI",$G196="C - Over the State Pension age",$G196="H - Apprentice under 25",$G196="J – Deferment",$G196="M - Under 21",$G196="Z - Deferment (Under 21)",$G196="Please Enter The NI Cont. in ££££")),$G196,SUM(MAX(MIN(AD196-'Input Data'!$BG$3,'Input Data'!$BG$5-'Input Data'!$BG$3),0)*VLOOKUP($G196,'Input Data'!$BI$3:$BL$10,2,FALSE),MAX(MIN(AD196-'Input Data'!$BG$5,IF(OR($G196="M (under 21)",$G196="Z (under 21 - deferment)"),'Input Data'!$BG$6,IF($G196="H (Apprentice under 25)",'Input Data'!$BG$7,'Input Data'!$BG$8))-'Input Data'!$BG$5),0)*VLOOKUP($G196,'Input Data'!$BI$3:$BL$10,3,FALSE),MAX((AD196-IF(OR($G196="M (under 21)",$G196="Z (under 21 - deferment)"),'Input Data'!$BG$6,IF($G196="H (Apprentice under 25)",'Input Data'!$BG$7,'Input Data'!$BG$8))),0)*VLOOKUP($G196,'Input Data'!$BI$3:$BL$10,4,FALSE))))</f>
        <v>0</v>
      </c>
      <c r="AM196" s="56">
        <f>IF($G196="",0,IF(NOT(OR($G196="A - All employees not in groups B, C, J, H, M or Z",$G196="B - Married women and widows entitled to reduced NI",$G196="C - Over the State Pension age",$G196="H - Apprentice under 25",$G196="J – Deferment",$G196="M - Under 21",$G196="Z - Deferment (Under 21)",$G196="Please Enter The NI Cont. in ££££")),$G196,SUM(MAX(MIN(AE196-'Input Data'!$BG$3,'Input Data'!$BG$5-'Input Data'!$BG$3),0)*VLOOKUP($G196,'Input Data'!$BI$3:$BL$10,2,FALSE),MAX(MIN(AE196-'Input Data'!$BG$5,IF(OR($G196="M (under 21)",$G196="Z (under 21 - deferment)"),'Input Data'!$BG$6,IF($G196="H (Apprentice under 25)",'Input Data'!$BG$7,'Input Data'!$BG$8))-'Input Data'!$BG$5),0)*VLOOKUP($G196,'Input Data'!$BI$3:$BL$10,3,FALSE),MAX((AE196-IF(OR($G196="M (under 21)",$G196="Z (under 21 - deferment)"),'Input Data'!$BG$6,IF($G196="H (Apprentice under 25)",'Input Data'!$BG$7,'Input Data'!$BG$8))),0)*VLOOKUP($G196,'Input Data'!$BI$3:$BL$10,4,FALSE))))</f>
        <v>0</v>
      </c>
      <c r="AN196" s="56">
        <f>IF($G196="",0,IF(NOT(OR($G196="A - All employees not in groups B, C, J, H, M or Z",$G196="B - Married women and widows entitled to reduced NI",$G196="C - Over the State Pension age",$G196="H - Apprentice under 25",$G196="J – Deferment",$G196="M - Under 21",$G196="Z - Deferment (Under 21)",$G196="Please Enter The NI Cont. in ££££")),$G196,SUM(MAX(MIN(AF196-'Input Data'!$BG$3,'Input Data'!$BG$5-'Input Data'!$BG$3),0)*VLOOKUP($G196,'Input Data'!$BI$3:$BL$10,2,FALSE),MAX(MIN(AF196-'Input Data'!$BG$5,IF(OR($G196="M (under 21)",$G196="Z (under 21 - deferment)"),'Input Data'!$BG$6,IF($G196="H (Apprentice under 25)",'Input Data'!$BG$7,'Input Data'!$BG$8))-'Input Data'!$BG$5),0)*VLOOKUP($G196,'Input Data'!$BI$3:$BL$10,3,FALSE),MAX((AF196-IF(OR($G196="M (under 21)",$G196="Z (under 21 - deferment)"),'Input Data'!$BG$6,IF($G196="H (Apprentice under 25)",'Input Data'!$BG$7,'Input Data'!$BG$8))),0)*VLOOKUP($G196,'Input Data'!$BI$3:$BL$10,4,FALSE))))</f>
        <v>0</v>
      </c>
      <c r="AO196" s="56">
        <f>IF($G196="",0,IF(NOT(OR($G196="A - All employees not in groups B, C, J, H, M or Z",$G196="B - Married women and widows entitled to reduced NI",$G196="C - Over the State Pension age",$G196="H - Apprentice under 25",$G196="J – Deferment",$G196="M - Under 21",$G196="Z - Deferment (Under 21)",$G196="Please Enter The NI Cont. in ££££")),$G196,SUM(MAX(MIN(AG196-'Input Data'!$BG$3,'Input Data'!$BG$5-'Input Data'!$BG$3),0)*VLOOKUP($G196,'Input Data'!$BI$3:$BL$10,2,FALSE),MAX(MIN(AG196-'Input Data'!$BG$5,IF(OR($G196="M (under 21)",$G196="Z (under 21 - deferment)"),'Input Data'!$BG$6,IF($G196="H (Apprentice under 25)",'Input Data'!$BG$7,'Input Data'!$BG$8))-'Input Data'!$BG$5),0)*VLOOKUP($G196,'Input Data'!$BI$3:$BL$10,3,FALSE),MAX((AG196-IF(OR($G196="M (under 21)",$G196="Z (under 21 - deferment)"),'Input Data'!$BG$6,IF($G196="H (Apprentice under 25)",'Input Data'!$BG$7,'Input Data'!$BG$8))),0)*VLOOKUP($G196,'Input Data'!$BI$3:$BL$10,4,FALSE))))</f>
        <v>0</v>
      </c>
      <c r="AP196" s="56">
        <f>IF($G196="",0,IF(NOT(OR($G196="A - All employees not in groups B, C, J, H, M or Z",$G196="B - Married women and widows entitled to reduced NI",$G196="C - Over the State Pension age",$G196="H - Apprentice under 25",$G196="J – Deferment",$G196="M - Under 21",$G196="Z - Deferment (Under 21)",$G196="Please Enter The NI Cont. in ££££")),$G196,SUM(MAX(MIN(AH196-'Input Data'!$BG$3,'Input Data'!$BG$5-'Input Data'!$BG$3),0)*VLOOKUP($G196,'Input Data'!$BI$3:$BL$10,2,FALSE),MAX(MIN(AH196-'Input Data'!$BG$5,IF(OR($G196="M (under 21)",$G196="Z (under 21 - deferment)"),'Input Data'!$BG$6,IF($G196="H (Apprentice under 25)",'Input Data'!$BG$7,'Input Data'!$BG$8))-'Input Data'!$BG$5),0)*VLOOKUP($G196,'Input Data'!$BI$3:$BL$10,3,FALSE),MAX((AH196-IF(OR($G196="M (under 21)",$G196="Z (under 21 - deferment)"),'Input Data'!$BG$6,IF($G196="H (Apprentice under 25)",'Input Data'!$BG$7,'Input Data'!$BG$8))),0)*VLOOKUP($G196,'Input Data'!$BI$3:$BL$10,4,FALSE))))</f>
        <v>0</v>
      </c>
      <c r="AQ196" s="56">
        <f>IF($G196="",0,IF(NOT(OR($G196="A - All employees not in groups B, C, J, H, M or Z",$G196="B - Married women and widows entitled to reduced NI",$G196="C - Over the State Pension age",$G196="H - Apprentice under 25",$G196="J – Deferment",$G196="M - Under 21",$G196="Z - Deferment (Under 21)",$G196="Please Enter The NI Cont. in ££££")),$G196,SUM(MAX(MIN(AI196-'Input Data'!$BG$3,'Input Data'!$BG$5-'Input Data'!$BG$3),0)*VLOOKUP($G196,'Input Data'!$BI$3:$BL$10,2,FALSE),MAX(MIN(AI196-'Input Data'!$BG$5,IF(OR($G196="M (under 21)",$G196="Z (under 21 - deferment)"),'Input Data'!$BG$6,IF($G196="H (Apprentice under 25)",'Input Data'!$BG$7,'Input Data'!$BG$8))-'Input Data'!$BG$5),0)*VLOOKUP($G196,'Input Data'!$BI$3:$BL$10,3,FALSE),MAX((AI196-IF(OR($G196="M (under 21)",$G196="Z (under 21 - deferment)"),'Input Data'!$BG$6,IF($G196="H (Apprentice under 25)",'Input Data'!$BG$7,'Input Data'!$BG$8))),0)*VLOOKUP($G196,'Input Data'!$BI$3:$BL$10,4,FALSE))))</f>
        <v>0</v>
      </c>
      <c r="AR196" s="56">
        <f>IF($G196="",0,IF(NOT(OR($G196="A - All employees not in groups B, C, J, H, M or Z",$G196="B - Married women and widows entitled to reduced NI",$G196="C - Over the State Pension age",$G196="H - Apprentice under 25",$G196="J – Deferment",$G196="M - Under 21",$G196="Z - Deferment (Under 21)",$G196="Please Enter The NI Cont. in ££££")),$G196,SUM(MAX(MIN(AJ196-'Input Data'!$BG$3,'Input Data'!$BG$5-'Input Data'!$BG$3),0)*VLOOKUP($G196,'Input Data'!$BI$3:$BL$10,2,FALSE),MAX(MIN(AJ196-'Input Data'!$BG$5,IF(OR($G196="M (under 21)",$G196="Z (under 21 - deferment)"),'Input Data'!$BG$6,IF($G196="H (Apprentice under 25)",'Input Data'!$BG$7,'Input Data'!$BG$8))-'Input Data'!$BG$5),0)*VLOOKUP($G196,'Input Data'!$BI$3:$BL$10,3,FALSE),MAX((AJ196-IF(OR($G196="M (under 21)",$G196="Z (under 21 - deferment)"),'Input Data'!$BG$6,IF($G196="H (Apprentice under 25)",'Input Data'!$BG$7,'Input Data'!$BG$8))),0)*VLOOKUP($G196,'Input Data'!$BI$3:$BL$10,4,FALSE))))</f>
        <v>0</v>
      </c>
      <c r="AS196" s="56">
        <f>AC196*$F196</f>
        <v>0</v>
      </c>
      <c r="AT196" s="56">
        <f>AD196*$F196</f>
        <v>0</v>
      </c>
      <c r="AU196" s="56">
        <f>AE196*$F196</f>
        <v>0</v>
      </c>
      <c r="AV196" s="56">
        <f>AF196*$F196</f>
        <v>0</v>
      </c>
      <c r="AW196" s="56">
        <f>AG196*$F196</f>
        <v>0</v>
      </c>
      <c r="AX196" s="56">
        <f>AH196*$F196</f>
        <v>0</v>
      </c>
      <c r="AY196" s="56">
        <f>AI196*$F196</f>
        <v>0</v>
      </c>
      <c r="AZ196" s="56">
        <f>AJ196*$F196</f>
        <v>0</v>
      </c>
    </row>
    <row r="197" spans="2:52" ht="25.5">
      <c r="B197" s="60"/>
      <c r="C197" s="57" t="s">
        <v>68</v>
      </c>
      <c r="D197" s="58"/>
      <c r="E197" s="58"/>
      <c r="F197" s="535"/>
      <c r="G197" s="693" t="s">
        <v>1149</v>
      </c>
      <c r="H197" s="65"/>
      <c r="I197" s="65"/>
      <c r="J197" s="65"/>
      <c r="K197" s="65"/>
      <c r="L197" s="65"/>
      <c r="M197" s="65"/>
      <c r="N197" s="65"/>
      <c r="O197" s="65"/>
      <c r="P197" s="29"/>
      <c r="Q197" s="597"/>
      <c r="R197" s="61"/>
      <c r="T197" s="43">
        <f>SUM(AC197,AK197,AS197)</f>
        <v>0</v>
      </c>
      <c r="U197" s="43">
        <f>SUM(AD197,AL197,AT197)</f>
        <v>0</v>
      </c>
      <c r="V197" s="43">
        <f>SUM(AE197,AM197,AU197)</f>
        <v>0</v>
      </c>
      <c r="W197" s="43">
        <f>SUM(AF197,AN197,AV197)</f>
        <v>0</v>
      </c>
      <c r="X197" s="43">
        <f>SUM(AG197,AO197,AW197)</f>
        <v>0</v>
      </c>
      <c r="Y197" s="43">
        <f>SUM(AH197,AP197,AX197)</f>
        <v>0</v>
      </c>
      <c r="Z197" s="43">
        <f>SUM(AI197,AQ197,AY197)</f>
        <v>0</v>
      </c>
      <c r="AA197" s="43">
        <f>SUM(AJ197,AR197,AZ197)</f>
        <v>0</v>
      </c>
      <c r="AC197" s="631">
        <f>SUM($D197:$E197)*H197</f>
        <v>0</v>
      </c>
      <c r="AD197" s="631">
        <f>SUM($D197:$E197)*I197</f>
        <v>0</v>
      </c>
      <c r="AE197" s="631">
        <f>SUM($D197:$E197)*J197</f>
        <v>0</v>
      </c>
      <c r="AF197" s="631">
        <f>SUM($D197:$E197)*K197</f>
        <v>0</v>
      </c>
      <c r="AG197" s="631">
        <f>SUM($D197:$E197)*L197</f>
        <v>0</v>
      </c>
      <c r="AH197" s="631">
        <f>SUM($D197:$E197)*M197</f>
        <v>0</v>
      </c>
      <c r="AI197" s="631">
        <f>SUM($D197:$E197)*N197</f>
        <v>0</v>
      </c>
      <c r="AJ197" s="631">
        <f>SUM($D197:$E197)*O197</f>
        <v>0</v>
      </c>
      <c r="AK197" s="56">
        <f>IF($G197="",0,IF(NOT(OR($G197="A - All employees not in groups B, C, J, H, M or Z",$G197="B - Married women and widows entitled to reduced NI",$G197="C - Over the State Pension age",$G197="H - Apprentice under 25",$G197="J – Deferment",$G197="M - Under 21",$G197="Z - Deferment (Under 21)",$G197="Please Enter The NI Cont. in ££££")),$G197,SUM(MAX(MIN(AC197-'Input Data'!$BG$3,'Input Data'!$BG$5-'Input Data'!$BG$3),0)*VLOOKUP($G197,'Input Data'!$BI$3:$BL$10,2,FALSE),MAX(MIN(AC197-'Input Data'!$BG$5,IF(OR($G197="M (under 21)",$G197="Z (under 21 - deferment)"),'Input Data'!$BG$6,IF($G197="H (Apprentice under 25)",'Input Data'!$BG$7,'Input Data'!$BG$8))-'Input Data'!$BG$5),0)*VLOOKUP($G197,'Input Data'!$BI$3:$BL$10,3,FALSE),MAX((AC197-IF(OR($G197="M (under 21)",$G197="Z (under 21 - deferment)"),'Input Data'!$BG$6,IF($G197="H (Apprentice under 25)",'Input Data'!$BG$7,'Input Data'!$BG$8))),0)*VLOOKUP($G197,'Input Data'!$BI$3:$BL$10,4,FALSE))))</f>
        <v>0</v>
      </c>
      <c r="AL197" s="56">
        <f>IF($G197="",0,IF(NOT(OR($G197="A - All employees not in groups B, C, J, H, M or Z",$G197="B - Married women and widows entitled to reduced NI",$G197="C - Over the State Pension age",$G197="H - Apprentice under 25",$G197="J – Deferment",$G197="M - Under 21",$G197="Z - Deferment (Under 21)",$G197="Please Enter The NI Cont. in ££££")),$G197,SUM(MAX(MIN(AD197-'Input Data'!$BG$3,'Input Data'!$BG$5-'Input Data'!$BG$3),0)*VLOOKUP($G197,'Input Data'!$BI$3:$BL$10,2,FALSE),MAX(MIN(AD197-'Input Data'!$BG$5,IF(OR($G197="M (under 21)",$G197="Z (under 21 - deferment)"),'Input Data'!$BG$6,IF($G197="H (Apprentice under 25)",'Input Data'!$BG$7,'Input Data'!$BG$8))-'Input Data'!$BG$5),0)*VLOOKUP($G197,'Input Data'!$BI$3:$BL$10,3,FALSE),MAX((AD197-IF(OR($G197="M (under 21)",$G197="Z (under 21 - deferment)"),'Input Data'!$BG$6,IF($G197="H (Apprentice under 25)",'Input Data'!$BG$7,'Input Data'!$BG$8))),0)*VLOOKUP($G197,'Input Data'!$BI$3:$BL$10,4,FALSE))))</f>
        <v>0</v>
      </c>
      <c r="AM197" s="56">
        <f>IF($G197="",0,IF(NOT(OR($G197="A - All employees not in groups B, C, J, H, M or Z",$G197="B - Married women and widows entitled to reduced NI",$G197="C - Over the State Pension age",$G197="H - Apprentice under 25",$G197="J – Deferment",$G197="M - Under 21",$G197="Z - Deferment (Under 21)",$G197="Please Enter The NI Cont. in ££££")),$G197,SUM(MAX(MIN(AE197-'Input Data'!$BG$3,'Input Data'!$BG$5-'Input Data'!$BG$3),0)*VLOOKUP($G197,'Input Data'!$BI$3:$BL$10,2,FALSE),MAX(MIN(AE197-'Input Data'!$BG$5,IF(OR($G197="M (under 21)",$G197="Z (under 21 - deferment)"),'Input Data'!$BG$6,IF($G197="H (Apprentice under 25)",'Input Data'!$BG$7,'Input Data'!$BG$8))-'Input Data'!$BG$5),0)*VLOOKUP($G197,'Input Data'!$BI$3:$BL$10,3,FALSE),MAX((AE197-IF(OR($G197="M (under 21)",$G197="Z (under 21 - deferment)"),'Input Data'!$BG$6,IF($G197="H (Apprentice under 25)",'Input Data'!$BG$7,'Input Data'!$BG$8))),0)*VLOOKUP($G197,'Input Data'!$BI$3:$BL$10,4,FALSE))))</f>
        <v>0</v>
      </c>
      <c r="AN197" s="56">
        <f>IF($G197="",0,IF(NOT(OR($G197="A - All employees not in groups B, C, J, H, M or Z",$G197="B - Married women and widows entitled to reduced NI",$G197="C - Over the State Pension age",$G197="H - Apprentice under 25",$G197="J – Deferment",$G197="M - Under 21",$G197="Z - Deferment (Under 21)",$G197="Please Enter The NI Cont. in ££££")),$G197,SUM(MAX(MIN(AF197-'Input Data'!$BG$3,'Input Data'!$BG$5-'Input Data'!$BG$3),0)*VLOOKUP($G197,'Input Data'!$BI$3:$BL$10,2,FALSE),MAX(MIN(AF197-'Input Data'!$BG$5,IF(OR($G197="M (under 21)",$G197="Z (under 21 - deferment)"),'Input Data'!$BG$6,IF($G197="H (Apprentice under 25)",'Input Data'!$BG$7,'Input Data'!$BG$8))-'Input Data'!$BG$5),0)*VLOOKUP($G197,'Input Data'!$BI$3:$BL$10,3,FALSE),MAX((AF197-IF(OR($G197="M (under 21)",$G197="Z (under 21 - deferment)"),'Input Data'!$BG$6,IF($G197="H (Apprentice under 25)",'Input Data'!$BG$7,'Input Data'!$BG$8))),0)*VLOOKUP($G197,'Input Data'!$BI$3:$BL$10,4,FALSE))))</f>
        <v>0</v>
      </c>
      <c r="AO197" s="56">
        <f>IF($G197="",0,IF(NOT(OR($G197="A - All employees not in groups B, C, J, H, M or Z",$G197="B - Married women and widows entitled to reduced NI",$G197="C - Over the State Pension age",$G197="H - Apprentice under 25",$G197="J – Deferment",$G197="M - Under 21",$G197="Z - Deferment (Under 21)",$G197="Please Enter The NI Cont. in ££££")),$G197,SUM(MAX(MIN(AG197-'Input Data'!$BG$3,'Input Data'!$BG$5-'Input Data'!$BG$3),0)*VLOOKUP($G197,'Input Data'!$BI$3:$BL$10,2,FALSE),MAX(MIN(AG197-'Input Data'!$BG$5,IF(OR($G197="M (under 21)",$G197="Z (under 21 - deferment)"),'Input Data'!$BG$6,IF($G197="H (Apprentice under 25)",'Input Data'!$BG$7,'Input Data'!$BG$8))-'Input Data'!$BG$5),0)*VLOOKUP($G197,'Input Data'!$BI$3:$BL$10,3,FALSE),MAX((AG197-IF(OR($G197="M (under 21)",$G197="Z (under 21 - deferment)"),'Input Data'!$BG$6,IF($G197="H (Apprentice under 25)",'Input Data'!$BG$7,'Input Data'!$BG$8))),0)*VLOOKUP($G197,'Input Data'!$BI$3:$BL$10,4,FALSE))))</f>
        <v>0</v>
      </c>
      <c r="AP197" s="56">
        <f>IF($G197="",0,IF(NOT(OR($G197="A - All employees not in groups B, C, J, H, M or Z",$G197="B - Married women and widows entitled to reduced NI",$G197="C - Over the State Pension age",$G197="H - Apprentice under 25",$G197="J – Deferment",$G197="M - Under 21",$G197="Z - Deferment (Under 21)",$G197="Please Enter The NI Cont. in ££££")),$G197,SUM(MAX(MIN(AH197-'Input Data'!$BG$3,'Input Data'!$BG$5-'Input Data'!$BG$3),0)*VLOOKUP($G197,'Input Data'!$BI$3:$BL$10,2,FALSE),MAX(MIN(AH197-'Input Data'!$BG$5,IF(OR($G197="M (under 21)",$G197="Z (under 21 - deferment)"),'Input Data'!$BG$6,IF($G197="H (Apprentice under 25)",'Input Data'!$BG$7,'Input Data'!$BG$8))-'Input Data'!$BG$5),0)*VLOOKUP($G197,'Input Data'!$BI$3:$BL$10,3,FALSE),MAX((AH197-IF(OR($G197="M (under 21)",$G197="Z (under 21 - deferment)"),'Input Data'!$BG$6,IF($G197="H (Apprentice under 25)",'Input Data'!$BG$7,'Input Data'!$BG$8))),0)*VLOOKUP($G197,'Input Data'!$BI$3:$BL$10,4,FALSE))))</f>
        <v>0</v>
      </c>
      <c r="AQ197" s="56">
        <f>IF($G197="",0,IF(NOT(OR($G197="A - All employees not in groups B, C, J, H, M or Z",$G197="B - Married women and widows entitled to reduced NI",$G197="C - Over the State Pension age",$G197="H - Apprentice under 25",$G197="J – Deferment",$G197="M - Under 21",$G197="Z - Deferment (Under 21)",$G197="Please Enter The NI Cont. in ££££")),$G197,SUM(MAX(MIN(AI197-'Input Data'!$BG$3,'Input Data'!$BG$5-'Input Data'!$BG$3),0)*VLOOKUP($G197,'Input Data'!$BI$3:$BL$10,2,FALSE),MAX(MIN(AI197-'Input Data'!$BG$5,IF(OR($G197="M (under 21)",$G197="Z (under 21 - deferment)"),'Input Data'!$BG$6,IF($G197="H (Apprentice under 25)",'Input Data'!$BG$7,'Input Data'!$BG$8))-'Input Data'!$BG$5),0)*VLOOKUP($G197,'Input Data'!$BI$3:$BL$10,3,FALSE),MAX((AI197-IF(OR($G197="M (under 21)",$G197="Z (under 21 - deferment)"),'Input Data'!$BG$6,IF($G197="H (Apprentice under 25)",'Input Data'!$BG$7,'Input Data'!$BG$8))),0)*VLOOKUP($G197,'Input Data'!$BI$3:$BL$10,4,FALSE))))</f>
        <v>0</v>
      </c>
      <c r="AR197" s="56">
        <f>IF($G197="",0,IF(NOT(OR($G197="A - All employees not in groups B, C, J, H, M or Z",$G197="B - Married women and widows entitled to reduced NI",$G197="C - Over the State Pension age",$G197="H - Apprentice under 25",$G197="J – Deferment",$G197="M - Under 21",$G197="Z - Deferment (Under 21)",$G197="Please Enter The NI Cont. in ££££")),$G197,SUM(MAX(MIN(AJ197-'Input Data'!$BG$3,'Input Data'!$BG$5-'Input Data'!$BG$3),0)*VLOOKUP($G197,'Input Data'!$BI$3:$BL$10,2,FALSE),MAX(MIN(AJ197-'Input Data'!$BG$5,IF(OR($G197="M (under 21)",$G197="Z (under 21 - deferment)"),'Input Data'!$BG$6,IF($G197="H (Apprentice under 25)",'Input Data'!$BG$7,'Input Data'!$BG$8))-'Input Data'!$BG$5),0)*VLOOKUP($G197,'Input Data'!$BI$3:$BL$10,3,FALSE),MAX((AJ197-IF(OR($G197="M (under 21)",$G197="Z (under 21 - deferment)"),'Input Data'!$BG$6,IF($G197="H (Apprentice under 25)",'Input Data'!$BG$7,'Input Data'!$BG$8))),0)*VLOOKUP($G197,'Input Data'!$BI$3:$BL$10,4,FALSE))))</f>
        <v>0</v>
      </c>
      <c r="AS197" s="56">
        <f>AC197*$F197</f>
        <v>0</v>
      </c>
      <c r="AT197" s="56">
        <f>AD197*$F197</f>
        <v>0</v>
      </c>
      <c r="AU197" s="56">
        <f>AE197*$F197</f>
        <v>0</v>
      </c>
      <c r="AV197" s="56">
        <f>AF197*$F197</f>
        <v>0</v>
      </c>
      <c r="AW197" s="56">
        <f>AG197*$F197</f>
        <v>0</v>
      </c>
      <c r="AX197" s="56">
        <f>AH197*$F197</f>
        <v>0</v>
      </c>
      <c r="AY197" s="56">
        <f>AI197*$F197</f>
        <v>0</v>
      </c>
      <c r="AZ197" s="56">
        <f>AJ197*$F197</f>
        <v>0</v>
      </c>
    </row>
    <row r="198" spans="2:52" ht="25.5">
      <c r="B198" s="60"/>
      <c r="C198" s="57" t="s">
        <v>69</v>
      </c>
      <c r="D198" s="58"/>
      <c r="E198" s="58"/>
      <c r="F198" s="535"/>
      <c r="G198" s="693" t="s">
        <v>1149</v>
      </c>
      <c r="H198" s="65"/>
      <c r="I198" s="65"/>
      <c r="J198" s="65"/>
      <c r="K198" s="65"/>
      <c r="L198" s="65"/>
      <c r="M198" s="65"/>
      <c r="N198" s="65"/>
      <c r="O198" s="65"/>
      <c r="P198" s="29"/>
      <c r="Q198" s="597"/>
      <c r="R198" s="61"/>
      <c r="T198" s="43">
        <f>SUM(AC198,AK198,AS198)</f>
        <v>0</v>
      </c>
      <c r="U198" s="43">
        <f>SUM(AD198,AL198,AT198)</f>
        <v>0</v>
      </c>
      <c r="V198" s="43">
        <f>SUM(AE198,AM198,AU198)</f>
        <v>0</v>
      </c>
      <c r="W198" s="43">
        <f>SUM(AF198,AN198,AV198)</f>
        <v>0</v>
      </c>
      <c r="X198" s="43">
        <f>SUM(AG198,AO198,AW198)</f>
        <v>0</v>
      </c>
      <c r="Y198" s="43">
        <f>SUM(AH198,AP198,AX198)</f>
        <v>0</v>
      </c>
      <c r="Z198" s="43">
        <f>SUM(AI198,AQ198,AY198)</f>
        <v>0</v>
      </c>
      <c r="AA198" s="43">
        <f>SUM(AJ198,AR198,AZ198)</f>
        <v>0</v>
      </c>
      <c r="AC198" s="631">
        <f>SUM($D198:$E198)*H198</f>
        <v>0</v>
      </c>
      <c r="AD198" s="631">
        <f>SUM($D198:$E198)*I198</f>
        <v>0</v>
      </c>
      <c r="AE198" s="631">
        <f>SUM($D198:$E198)*J198</f>
        <v>0</v>
      </c>
      <c r="AF198" s="631">
        <f>SUM($D198:$E198)*K198</f>
        <v>0</v>
      </c>
      <c r="AG198" s="631">
        <f>SUM($D198:$E198)*L198</f>
        <v>0</v>
      </c>
      <c r="AH198" s="631">
        <f>SUM($D198:$E198)*M198</f>
        <v>0</v>
      </c>
      <c r="AI198" s="631">
        <f>SUM($D198:$E198)*N198</f>
        <v>0</v>
      </c>
      <c r="AJ198" s="631">
        <f>SUM($D198:$E198)*O198</f>
        <v>0</v>
      </c>
      <c r="AK198" s="56">
        <f>IF($G198="",0,IF(NOT(OR($G198="A - All employees not in groups B, C, J, H, M or Z",$G198="B - Married women and widows entitled to reduced NI",$G198="C - Over the State Pension age",$G198="H - Apprentice under 25",$G198="J – Deferment",$G198="M - Under 21",$G198="Z - Deferment (Under 21)",$G198="Please Enter The NI Cont. in ££££")),$G198,SUM(MAX(MIN(AC198-'Input Data'!$BG$3,'Input Data'!$BG$5-'Input Data'!$BG$3),0)*VLOOKUP($G198,'Input Data'!$BI$3:$BL$10,2,FALSE),MAX(MIN(AC198-'Input Data'!$BG$5,IF(OR($G198="M (under 21)",$G198="Z (under 21 - deferment)"),'Input Data'!$BG$6,IF($G198="H (Apprentice under 25)",'Input Data'!$BG$7,'Input Data'!$BG$8))-'Input Data'!$BG$5),0)*VLOOKUP($G198,'Input Data'!$BI$3:$BL$10,3,FALSE),MAX((AC198-IF(OR($G198="M (under 21)",$G198="Z (under 21 - deferment)"),'Input Data'!$BG$6,IF($G198="H (Apprentice under 25)",'Input Data'!$BG$7,'Input Data'!$BG$8))),0)*VLOOKUP($G198,'Input Data'!$BI$3:$BL$10,4,FALSE))))</f>
        <v>0</v>
      </c>
      <c r="AL198" s="56">
        <f>IF($G198="",0,IF(NOT(OR($G198="A - All employees not in groups B, C, J, H, M or Z",$G198="B - Married women and widows entitled to reduced NI",$G198="C - Over the State Pension age",$G198="H - Apprentice under 25",$G198="J – Deferment",$G198="M - Under 21",$G198="Z - Deferment (Under 21)",$G198="Please Enter The NI Cont. in ££££")),$G198,SUM(MAX(MIN(AD198-'Input Data'!$BG$3,'Input Data'!$BG$5-'Input Data'!$BG$3),0)*VLOOKUP($G198,'Input Data'!$BI$3:$BL$10,2,FALSE),MAX(MIN(AD198-'Input Data'!$BG$5,IF(OR($G198="M (under 21)",$G198="Z (under 21 - deferment)"),'Input Data'!$BG$6,IF($G198="H (Apprentice under 25)",'Input Data'!$BG$7,'Input Data'!$BG$8))-'Input Data'!$BG$5),0)*VLOOKUP($G198,'Input Data'!$BI$3:$BL$10,3,FALSE),MAX((AD198-IF(OR($G198="M (under 21)",$G198="Z (under 21 - deferment)"),'Input Data'!$BG$6,IF($G198="H (Apprentice under 25)",'Input Data'!$BG$7,'Input Data'!$BG$8))),0)*VLOOKUP($G198,'Input Data'!$BI$3:$BL$10,4,FALSE))))</f>
        <v>0</v>
      </c>
      <c r="AM198" s="56">
        <f>IF($G198="",0,IF(NOT(OR($G198="A - All employees not in groups B, C, J, H, M or Z",$G198="B - Married women and widows entitled to reduced NI",$G198="C - Over the State Pension age",$G198="H - Apprentice under 25",$G198="J – Deferment",$G198="M - Under 21",$G198="Z - Deferment (Under 21)",$G198="Please Enter The NI Cont. in ££££")),$G198,SUM(MAX(MIN(AE198-'Input Data'!$BG$3,'Input Data'!$BG$5-'Input Data'!$BG$3),0)*VLOOKUP($G198,'Input Data'!$BI$3:$BL$10,2,FALSE),MAX(MIN(AE198-'Input Data'!$BG$5,IF(OR($G198="M (under 21)",$G198="Z (under 21 - deferment)"),'Input Data'!$BG$6,IF($G198="H (Apprentice under 25)",'Input Data'!$BG$7,'Input Data'!$BG$8))-'Input Data'!$BG$5),0)*VLOOKUP($G198,'Input Data'!$BI$3:$BL$10,3,FALSE),MAX((AE198-IF(OR($G198="M (under 21)",$G198="Z (under 21 - deferment)"),'Input Data'!$BG$6,IF($G198="H (Apprentice under 25)",'Input Data'!$BG$7,'Input Data'!$BG$8))),0)*VLOOKUP($G198,'Input Data'!$BI$3:$BL$10,4,FALSE))))</f>
        <v>0</v>
      </c>
      <c r="AN198" s="56">
        <f>IF($G198="",0,IF(NOT(OR($G198="A - All employees not in groups B, C, J, H, M or Z",$G198="B - Married women and widows entitled to reduced NI",$G198="C - Over the State Pension age",$G198="H - Apprentice under 25",$G198="J – Deferment",$G198="M - Under 21",$G198="Z - Deferment (Under 21)",$G198="Please Enter The NI Cont. in ££££")),$G198,SUM(MAX(MIN(AF198-'Input Data'!$BG$3,'Input Data'!$BG$5-'Input Data'!$BG$3),0)*VLOOKUP($G198,'Input Data'!$BI$3:$BL$10,2,FALSE),MAX(MIN(AF198-'Input Data'!$BG$5,IF(OR($G198="M (under 21)",$G198="Z (under 21 - deferment)"),'Input Data'!$BG$6,IF($G198="H (Apprentice under 25)",'Input Data'!$BG$7,'Input Data'!$BG$8))-'Input Data'!$BG$5),0)*VLOOKUP($G198,'Input Data'!$BI$3:$BL$10,3,FALSE),MAX((AF198-IF(OR($G198="M (under 21)",$G198="Z (under 21 - deferment)"),'Input Data'!$BG$6,IF($G198="H (Apprentice under 25)",'Input Data'!$BG$7,'Input Data'!$BG$8))),0)*VLOOKUP($G198,'Input Data'!$BI$3:$BL$10,4,FALSE))))</f>
        <v>0</v>
      </c>
      <c r="AO198" s="56">
        <f>IF($G198="",0,IF(NOT(OR($G198="A - All employees not in groups B, C, J, H, M or Z",$G198="B - Married women and widows entitled to reduced NI",$G198="C - Over the State Pension age",$G198="H - Apprentice under 25",$G198="J – Deferment",$G198="M - Under 21",$G198="Z - Deferment (Under 21)",$G198="Please Enter The NI Cont. in ££££")),$G198,SUM(MAX(MIN(AG198-'Input Data'!$BG$3,'Input Data'!$BG$5-'Input Data'!$BG$3),0)*VLOOKUP($G198,'Input Data'!$BI$3:$BL$10,2,FALSE),MAX(MIN(AG198-'Input Data'!$BG$5,IF(OR($G198="M (under 21)",$G198="Z (under 21 - deferment)"),'Input Data'!$BG$6,IF($G198="H (Apprentice under 25)",'Input Data'!$BG$7,'Input Data'!$BG$8))-'Input Data'!$BG$5),0)*VLOOKUP($G198,'Input Data'!$BI$3:$BL$10,3,FALSE),MAX((AG198-IF(OR($G198="M (under 21)",$G198="Z (under 21 - deferment)"),'Input Data'!$BG$6,IF($G198="H (Apprentice under 25)",'Input Data'!$BG$7,'Input Data'!$BG$8))),0)*VLOOKUP($G198,'Input Data'!$BI$3:$BL$10,4,FALSE))))</f>
        <v>0</v>
      </c>
      <c r="AP198" s="56">
        <f>IF($G198="",0,IF(NOT(OR($G198="A - All employees not in groups B, C, J, H, M or Z",$G198="B - Married women and widows entitled to reduced NI",$G198="C - Over the State Pension age",$G198="H - Apprentice under 25",$G198="J – Deferment",$G198="M - Under 21",$G198="Z - Deferment (Under 21)",$G198="Please Enter The NI Cont. in ££££")),$G198,SUM(MAX(MIN(AH198-'Input Data'!$BG$3,'Input Data'!$BG$5-'Input Data'!$BG$3),0)*VLOOKUP($G198,'Input Data'!$BI$3:$BL$10,2,FALSE),MAX(MIN(AH198-'Input Data'!$BG$5,IF(OR($G198="M (under 21)",$G198="Z (under 21 - deferment)"),'Input Data'!$BG$6,IF($G198="H (Apprentice under 25)",'Input Data'!$BG$7,'Input Data'!$BG$8))-'Input Data'!$BG$5),0)*VLOOKUP($G198,'Input Data'!$BI$3:$BL$10,3,FALSE),MAX((AH198-IF(OR($G198="M (under 21)",$G198="Z (under 21 - deferment)"),'Input Data'!$BG$6,IF($G198="H (Apprentice under 25)",'Input Data'!$BG$7,'Input Data'!$BG$8))),0)*VLOOKUP($G198,'Input Data'!$BI$3:$BL$10,4,FALSE))))</f>
        <v>0</v>
      </c>
      <c r="AQ198" s="56">
        <f>IF($G198="",0,IF(NOT(OR($G198="A - All employees not in groups B, C, J, H, M or Z",$G198="B - Married women and widows entitled to reduced NI",$G198="C - Over the State Pension age",$G198="H - Apprentice under 25",$G198="J – Deferment",$G198="M - Under 21",$G198="Z - Deferment (Under 21)",$G198="Please Enter The NI Cont. in ££££")),$G198,SUM(MAX(MIN(AI198-'Input Data'!$BG$3,'Input Data'!$BG$5-'Input Data'!$BG$3),0)*VLOOKUP($G198,'Input Data'!$BI$3:$BL$10,2,FALSE),MAX(MIN(AI198-'Input Data'!$BG$5,IF(OR($G198="M (under 21)",$G198="Z (under 21 - deferment)"),'Input Data'!$BG$6,IF($G198="H (Apprentice under 25)",'Input Data'!$BG$7,'Input Data'!$BG$8))-'Input Data'!$BG$5),0)*VLOOKUP($G198,'Input Data'!$BI$3:$BL$10,3,FALSE),MAX((AI198-IF(OR($G198="M (under 21)",$G198="Z (under 21 - deferment)"),'Input Data'!$BG$6,IF($G198="H (Apprentice under 25)",'Input Data'!$BG$7,'Input Data'!$BG$8))),0)*VLOOKUP($G198,'Input Data'!$BI$3:$BL$10,4,FALSE))))</f>
        <v>0</v>
      </c>
      <c r="AR198" s="56">
        <f>IF($G198="",0,IF(NOT(OR($G198="A - All employees not in groups B, C, J, H, M or Z",$G198="B - Married women and widows entitled to reduced NI",$G198="C - Over the State Pension age",$G198="H - Apprentice under 25",$G198="J – Deferment",$G198="M - Under 21",$G198="Z - Deferment (Under 21)",$G198="Please Enter The NI Cont. in ££££")),$G198,SUM(MAX(MIN(AJ198-'Input Data'!$BG$3,'Input Data'!$BG$5-'Input Data'!$BG$3),0)*VLOOKUP($G198,'Input Data'!$BI$3:$BL$10,2,FALSE),MAX(MIN(AJ198-'Input Data'!$BG$5,IF(OR($G198="M (under 21)",$G198="Z (under 21 - deferment)"),'Input Data'!$BG$6,IF($G198="H (Apprentice under 25)",'Input Data'!$BG$7,'Input Data'!$BG$8))-'Input Data'!$BG$5),0)*VLOOKUP($G198,'Input Data'!$BI$3:$BL$10,3,FALSE),MAX((AJ198-IF(OR($G198="M (under 21)",$G198="Z (under 21 - deferment)"),'Input Data'!$BG$6,IF($G198="H (Apprentice under 25)",'Input Data'!$BG$7,'Input Data'!$BG$8))),0)*VLOOKUP($G198,'Input Data'!$BI$3:$BL$10,4,FALSE))))</f>
        <v>0</v>
      </c>
      <c r="AS198" s="56">
        <f>AC198*$F198</f>
        <v>0</v>
      </c>
      <c r="AT198" s="56">
        <f>AD198*$F198</f>
        <v>0</v>
      </c>
      <c r="AU198" s="56">
        <f>AE198*$F198</f>
        <v>0</v>
      </c>
      <c r="AV198" s="56">
        <f>AF198*$F198</f>
        <v>0</v>
      </c>
      <c r="AW198" s="56">
        <f>AG198*$F198</f>
        <v>0</v>
      </c>
      <c r="AX198" s="56">
        <f>AH198*$F198</f>
        <v>0</v>
      </c>
      <c r="AY198" s="56">
        <f>AI198*$F198</f>
        <v>0</v>
      </c>
      <c r="AZ198" s="56">
        <f>AJ198*$F198</f>
        <v>0</v>
      </c>
    </row>
    <row r="199" spans="2:52" ht="25.5">
      <c r="B199" s="66"/>
      <c r="C199" s="57" t="s">
        <v>70</v>
      </c>
      <c r="D199" s="58"/>
      <c r="E199" s="58"/>
      <c r="F199" s="535"/>
      <c r="G199" s="693" t="s">
        <v>1149</v>
      </c>
      <c r="H199" s="65"/>
      <c r="I199" s="65"/>
      <c r="J199" s="65"/>
      <c r="K199" s="65"/>
      <c r="L199" s="65"/>
      <c r="M199" s="65"/>
      <c r="N199" s="65"/>
      <c r="O199" s="65"/>
      <c r="P199" s="29"/>
      <c r="Q199" s="597"/>
      <c r="R199" s="61"/>
      <c r="T199" s="43">
        <f>SUM(AC199,AK199,AS199)</f>
        <v>0</v>
      </c>
      <c r="U199" s="43">
        <f>SUM(AD199,AL199,AT199)</f>
        <v>0</v>
      </c>
      <c r="V199" s="43">
        <f>SUM(AE199,AM199,AU199)</f>
        <v>0</v>
      </c>
      <c r="W199" s="43">
        <f>SUM(AF199,AN199,AV199)</f>
        <v>0</v>
      </c>
      <c r="X199" s="43">
        <f>SUM(AG199,AO199,AW199)</f>
        <v>0</v>
      </c>
      <c r="Y199" s="43">
        <f>SUM(AH199,AP199,AX199)</f>
        <v>0</v>
      </c>
      <c r="Z199" s="43">
        <f>SUM(AI199,AQ199,AY199)</f>
        <v>0</v>
      </c>
      <c r="AA199" s="43">
        <f>SUM(AJ199,AR199,AZ199)</f>
        <v>0</v>
      </c>
      <c r="AC199" s="631">
        <f>SUM($D199:$E199)*H199</f>
        <v>0</v>
      </c>
      <c r="AD199" s="631">
        <f>SUM($D199:$E199)*I199</f>
        <v>0</v>
      </c>
      <c r="AE199" s="631">
        <f>SUM($D199:$E199)*J199</f>
        <v>0</v>
      </c>
      <c r="AF199" s="631">
        <f>SUM($D199:$E199)*K199</f>
        <v>0</v>
      </c>
      <c r="AG199" s="631">
        <f>SUM($D199:$E199)*L199</f>
        <v>0</v>
      </c>
      <c r="AH199" s="631">
        <f>SUM($D199:$E199)*M199</f>
        <v>0</v>
      </c>
      <c r="AI199" s="631">
        <f>SUM($D199:$E199)*N199</f>
        <v>0</v>
      </c>
      <c r="AJ199" s="631">
        <f>SUM($D199:$E199)*O199</f>
        <v>0</v>
      </c>
      <c r="AK199" s="56">
        <f>IF($G199="",0,IF(NOT(OR($G199="A - All employees not in groups B, C, J, H, M or Z",$G199="B - Married women and widows entitled to reduced NI",$G199="C - Over the State Pension age",$G199="H - Apprentice under 25",$G199="J – Deferment",$G199="M - Under 21",$G199="Z - Deferment (Under 21)",$G199="Please Enter The NI Cont. in ££££")),$G199,SUM(MAX(MIN(AC199-'Input Data'!$BG$3,'Input Data'!$BG$5-'Input Data'!$BG$3),0)*VLOOKUP($G199,'Input Data'!$BI$3:$BL$10,2,FALSE),MAX(MIN(AC199-'Input Data'!$BG$5,IF(OR($G199="M (under 21)",$G199="Z (under 21 - deferment)"),'Input Data'!$BG$6,IF($G199="H (Apprentice under 25)",'Input Data'!$BG$7,'Input Data'!$BG$8))-'Input Data'!$BG$5),0)*VLOOKUP($G199,'Input Data'!$BI$3:$BL$10,3,FALSE),MAX((AC199-IF(OR($G199="M (under 21)",$G199="Z (under 21 - deferment)"),'Input Data'!$BG$6,IF($G199="H (Apprentice under 25)",'Input Data'!$BG$7,'Input Data'!$BG$8))),0)*VLOOKUP($G199,'Input Data'!$BI$3:$BL$10,4,FALSE))))</f>
        <v>0</v>
      </c>
      <c r="AL199" s="56">
        <f>IF($G199="",0,IF(NOT(OR($G199="A - All employees not in groups B, C, J, H, M or Z",$G199="B - Married women and widows entitled to reduced NI",$G199="C - Over the State Pension age",$G199="H - Apprentice under 25",$G199="J – Deferment",$G199="M - Under 21",$G199="Z - Deferment (Under 21)",$G199="Please Enter The NI Cont. in ££££")),$G199,SUM(MAX(MIN(AD199-'Input Data'!$BG$3,'Input Data'!$BG$5-'Input Data'!$BG$3),0)*VLOOKUP($G199,'Input Data'!$BI$3:$BL$10,2,FALSE),MAX(MIN(AD199-'Input Data'!$BG$5,IF(OR($G199="M (under 21)",$G199="Z (under 21 - deferment)"),'Input Data'!$BG$6,IF($G199="H (Apprentice under 25)",'Input Data'!$BG$7,'Input Data'!$BG$8))-'Input Data'!$BG$5),0)*VLOOKUP($G199,'Input Data'!$BI$3:$BL$10,3,FALSE),MAX((AD199-IF(OR($G199="M (under 21)",$G199="Z (under 21 - deferment)"),'Input Data'!$BG$6,IF($G199="H (Apprentice under 25)",'Input Data'!$BG$7,'Input Data'!$BG$8))),0)*VLOOKUP($G199,'Input Data'!$BI$3:$BL$10,4,FALSE))))</f>
        <v>0</v>
      </c>
      <c r="AM199" s="56">
        <f>IF($G199="",0,IF(NOT(OR($G199="A - All employees not in groups B, C, J, H, M or Z",$G199="B - Married women and widows entitled to reduced NI",$G199="C - Over the State Pension age",$G199="H - Apprentice under 25",$G199="J – Deferment",$G199="M - Under 21",$G199="Z - Deferment (Under 21)",$G199="Please Enter The NI Cont. in ££££")),$G199,SUM(MAX(MIN(AE199-'Input Data'!$BG$3,'Input Data'!$BG$5-'Input Data'!$BG$3),0)*VLOOKUP($G199,'Input Data'!$BI$3:$BL$10,2,FALSE),MAX(MIN(AE199-'Input Data'!$BG$5,IF(OR($G199="M (under 21)",$G199="Z (under 21 - deferment)"),'Input Data'!$BG$6,IF($G199="H (Apprentice under 25)",'Input Data'!$BG$7,'Input Data'!$BG$8))-'Input Data'!$BG$5),0)*VLOOKUP($G199,'Input Data'!$BI$3:$BL$10,3,FALSE),MAX((AE199-IF(OR($G199="M (under 21)",$G199="Z (under 21 - deferment)"),'Input Data'!$BG$6,IF($G199="H (Apprentice under 25)",'Input Data'!$BG$7,'Input Data'!$BG$8))),0)*VLOOKUP($G199,'Input Data'!$BI$3:$BL$10,4,FALSE))))</f>
        <v>0</v>
      </c>
      <c r="AN199" s="56">
        <f>IF($G199="",0,IF(NOT(OR($G199="A - All employees not in groups B, C, J, H, M or Z",$G199="B - Married women and widows entitled to reduced NI",$G199="C - Over the State Pension age",$G199="H - Apprentice under 25",$G199="J – Deferment",$G199="M - Under 21",$G199="Z - Deferment (Under 21)",$G199="Please Enter The NI Cont. in ££££")),$G199,SUM(MAX(MIN(AF199-'Input Data'!$BG$3,'Input Data'!$BG$5-'Input Data'!$BG$3),0)*VLOOKUP($G199,'Input Data'!$BI$3:$BL$10,2,FALSE),MAX(MIN(AF199-'Input Data'!$BG$5,IF(OR($G199="M (under 21)",$G199="Z (under 21 - deferment)"),'Input Data'!$BG$6,IF($G199="H (Apprentice under 25)",'Input Data'!$BG$7,'Input Data'!$BG$8))-'Input Data'!$BG$5),0)*VLOOKUP($G199,'Input Data'!$BI$3:$BL$10,3,FALSE),MAX((AF199-IF(OR($G199="M (under 21)",$G199="Z (under 21 - deferment)"),'Input Data'!$BG$6,IF($G199="H (Apprentice under 25)",'Input Data'!$BG$7,'Input Data'!$BG$8))),0)*VLOOKUP($G199,'Input Data'!$BI$3:$BL$10,4,FALSE))))</f>
        <v>0</v>
      </c>
      <c r="AO199" s="56">
        <f>IF($G199="",0,IF(NOT(OR($G199="A - All employees not in groups B, C, J, H, M or Z",$G199="B - Married women and widows entitled to reduced NI",$G199="C - Over the State Pension age",$G199="H - Apprentice under 25",$G199="J – Deferment",$G199="M - Under 21",$G199="Z - Deferment (Under 21)",$G199="Please Enter The NI Cont. in ££££")),$G199,SUM(MAX(MIN(AG199-'Input Data'!$BG$3,'Input Data'!$BG$5-'Input Data'!$BG$3),0)*VLOOKUP($G199,'Input Data'!$BI$3:$BL$10,2,FALSE),MAX(MIN(AG199-'Input Data'!$BG$5,IF(OR($G199="M (under 21)",$G199="Z (under 21 - deferment)"),'Input Data'!$BG$6,IF($G199="H (Apprentice under 25)",'Input Data'!$BG$7,'Input Data'!$BG$8))-'Input Data'!$BG$5),0)*VLOOKUP($G199,'Input Data'!$BI$3:$BL$10,3,FALSE),MAX((AG199-IF(OR($G199="M (under 21)",$G199="Z (under 21 - deferment)"),'Input Data'!$BG$6,IF($G199="H (Apprentice under 25)",'Input Data'!$BG$7,'Input Data'!$BG$8))),0)*VLOOKUP($G199,'Input Data'!$BI$3:$BL$10,4,FALSE))))</f>
        <v>0</v>
      </c>
      <c r="AP199" s="56">
        <f>IF($G199="",0,IF(NOT(OR($G199="A - All employees not in groups B, C, J, H, M or Z",$G199="B - Married women and widows entitled to reduced NI",$G199="C - Over the State Pension age",$G199="H - Apprentice under 25",$G199="J – Deferment",$G199="M - Under 21",$G199="Z - Deferment (Under 21)",$G199="Please Enter The NI Cont. in ££££")),$G199,SUM(MAX(MIN(AH199-'Input Data'!$BG$3,'Input Data'!$BG$5-'Input Data'!$BG$3),0)*VLOOKUP($G199,'Input Data'!$BI$3:$BL$10,2,FALSE),MAX(MIN(AH199-'Input Data'!$BG$5,IF(OR($G199="M (under 21)",$G199="Z (under 21 - deferment)"),'Input Data'!$BG$6,IF($G199="H (Apprentice under 25)",'Input Data'!$BG$7,'Input Data'!$BG$8))-'Input Data'!$BG$5),0)*VLOOKUP($G199,'Input Data'!$BI$3:$BL$10,3,FALSE),MAX((AH199-IF(OR($G199="M (under 21)",$G199="Z (under 21 - deferment)"),'Input Data'!$BG$6,IF($G199="H (Apprentice under 25)",'Input Data'!$BG$7,'Input Data'!$BG$8))),0)*VLOOKUP($G199,'Input Data'!$BI$3:$BL$10,4,FALSE))))</f>
        <v>0</v>
      </c>
      <c r="AQ199" s="56">
        <f>IF($G199="",0,IF(NOT(OR($G199="A - All employees not in groups B, C, J, H, M or Z",$G199="B - Married women and widows entitled to reduced NI",$G199="C - Over the State Pension age",$G199="H - Apprentice under 25",$G199="J – Deferment",$G199="M - Under 21",$G199="Z - Deferment (Under 21)",$G199="Please Enter The NI Cont. in ££££")),$G199,SUM(MAX(MIN(AI199-'Input Data'!$BG$3,'Input Data'!$BG$5-'Input Data'!$BG$3),0)*VLOOKUP($G199,'Input Data'!$BI$3:$BL$10,2,FALSE),MAX(MIN(AI199-'Input Data'!$BG$5,IF(OR($G199="M (under 21)",$G199="Z (under 21 - deferment)"),'Input Data'!$BG$6,IF($G199="H (Apprentice under 25)",'Input Data'!$BG$7,'Input Data'!$BG$8))-'Input Data'!$BG$5),0)*VLOOKUP($G199,'Input Data'!$BI$3:$BL$10,3,FALSE),MAX((AI199-IF(OR($G199="M (under 21)",$G199="Z (under 21 - deferment)"),'Input Data'!$BG$6,IF($G199="H (Apprentice under 25)",'Input Data'!$BG$7,'Input Data'!$BG$8))),0)*VLOOKUP($G199,'Input Data'!$BI$3:$BL$10,4,FALSE))))</f>
        <v>0</v>
      </c>
      <c r="AR199" s="56">
        <f>IF($G199="",0,IF(NOT(OR($G199="A - All employees not in groups B, C, J, H, M or Z",$G199="B - Married women and widows entitled to reduced NI",$G199="C - Over the State Pension age",$G199="H - Apprentice under 25",$G199="J – Deferment",$G199="M - Under 21",$G199="Z - Deferment (Under 21)",$G199="Please Enter The NI Cont. in ££££")),$G199,SUM(MAX(MIN(AJ199-'Input Data'!$BG$3,'Input Data'!$BG$5-'Input Data'!$BG$3),0)*VLOOKUP($G199,'Input Data'!$BI$3:$BL$10,2,FALSE),MAX(MIN(AJ199-'Input Data'!$BG$5,IF(OR($G199="M (under 21)",$G199="Z (under 21 - deferment)"),'Input Data'!$BG$6,IF($G199="H (Apprentice under 25)",'Input Data'!$BG$7,'Input Data'!$BG$8))-'Input Data'!$BG$5),0)*VLOOKUP($G199,'Input Data'!$BI$3:$BL$10,3,FALSE),MAX((AJ199-IF(OR($G199="M (under 21)",$G199="Z (under 21 - deferment)"),'Input Data'!$BG$6,IF($G199="H (Apprentice under 25)",'Input Data'!$BG$7,'Input Data'!$BG$8))),0)*VLOOKUP($G199,'Input Data'!$BI$3:$BL$10,4,FALSE))))</f>
        <v>0</v>
      </c>
      <c r="AS199" s="56">
        <f>AC199*$F199</f>
        <v>0</v>
      </c>
      <c r="AT199" s="56">
        <f>AD199*$F199</f>
        <v>0</v>
      </c>
      <c r="AU199" s="56">
        <f>AE199*$F199</f>
        <v>0</v>
      </c>
      <c r="AV199" s="56">
        <f>AF199*$F199</f>
        <v>0</v>
      </c>
      <c r="AW199" s="56">
        <f>AG199*$F199</f>
        <v>0</v>
      </c>
      <c r="AX199" s="56">
        <f>AH199*$F199</f>
        <v>0</v>
      </c>
      <c r="AY199" s="56">
        <f>AI199*$F199</f>
        <v>0</v>
      </c>
      <c r="AZ199" s="56">
        <f>AJ199*$F199</f>
        <v>0</v>
      </c>
    </row>
    <row r="200" spans="1:52" ht="25.5">
      <c r="A200" s="61"/>
      <c r="B200" s="28"/>
      <c r="C200" s="57" t="s">
        <v>71</v>
      </c>
      <c r="D200" s="58"/>
      <c r="E200" s="58"/>
      <c r="F200" s="535"/>
      <c r="G200" s="693" t="s">
        <v>1149</v>
      </c>
      <c r="H200" s="65"/>
      <c r="I200" s="65"/>
      <c r="J200" s="65"/>
      <c r="K200" s="65"/>
      <c r="L200" s="65"/>
      <c r="M200" s="65"/>
      <c r="N200" s="65"/>
      <c r="O200" s="65"/>
      <c r="P200" s="29"/>
      <c r="Q200" s="597"/>
      <c r="R200" s="61"/>
      <c r="T200" s="43">
        <f>SUM(AC200,AK200,AS200)</f>
        <v>0</v>
      </c>
      <c r="U200" s="43">
        <f>SUM(AD200,AL200,AT200)</f>
        <v>0</v>
      </c>
      <c r="V200" s="43">
        <f>SUM(AE200,AM200,AU200)</f>
        <v>0</v>
      </c>
      <c r="W200" s="43">
        <f>SUM(AF200,AN200,AV200)</f>
        <v>0</v>
      </c>
      <c r="X200" s="43">
        <f>SUM(AG200,AO200,AW200)</f>
        <v>0</v>
      </c>
      <c r="Y200" s="43">
        <f>SUM(AH200,AP200,AX200)</f>
        <v>0</v>
      </c>
      <c r="Z200" s="43">
        <f>SUM(AI200,AQ200,AY200)</f>
        <v>0</v>
      </c>
      <c r="AA200" s="43">
        <f>SUM(AJ200,AR200,AZ200)</f>
        <v>0</v>
      </c>
      <c r="AC200" s="631">
        <f>SUM($D200:$E200)*H200</f>
        <v>0</v>
      </c>
      <c r="AD200" s="631">
        <f>SUM($D200:$E200)*I200</f>
        <v>0</v>
      </c>
      <c r="AE200" s="631">
        <f>SUM($D200:$E200)*J200</f>
        <v>0</v>
      </c>
      <c r="AF200" s="631">
        <f>SUM($D200:$E200)*K200</f>
        <v>0</v>
      </c>
      <c r="AG200" s="631">
        <f>SUM($D200:$E200)*L200</f>
        <v>0</v>
      </c>
      <c r="AH200" s="631">
        <f>SUM($D200:$E200)*M200</f>
        <v>0</v>
      </c>
      <c r="AI200" s="631">
        <f>SUM($D200:$E200)*N200</f>
        <v>0</v>
      </c>
      <c r="AJ200" s="631">
        <f>SUM($D200:$E200)*O200</f>
        <v>0</v>
      </c>
      <c r="AK200" s="56">
        <f>IF($G200="",0,IF(NOT(OR($G200="A - All employees not in groups B, C, J, H, M or Z",$G200="B - Married women and widows entitled to reduced NI",$G200="C - Over the State Pension age",$G200="H - Apprentice under 25",$G200="J – Deferment",$G200="M - Under 21",$G200="Z - Deferment (Under 21)",$G200="Please Enter The NI Cont. in ££££")),$G200,SUM(MAX(MIN(AC200-'Input Data'!$BG$3,'Input Data'!$BG$5-'Input Data'!$BG$3),0)*VLOOKUP($G200,'Input Data'!$BI$3:$BL$10,2,FALSE),MAX(MIN(AC200-'Input Data'!$BG$5,IF(OR($G200="M (under 21)",$G200="Z (under 21 - deferment)"),'Input Data'!$BG$6,IF($G200="H (Apprentice under 25)",'Input Data'!$BG$7,'Input Data'!$BG$8))-'Input Data'!$BG$5),0)*VLOOKUP($G200,'Input Data'!$BI$3:$BL$10,3,FALSE),MAX((AC200-IF(OR($G200="M (under 21)",$G200="Z (under 21 - deferment)"),'Input Data'!$BG$6,IF($G200="H (Apprentice under 25)",'Input Data'!$BG$7,'Input Data'!$BG$8))),0)*VLOOKUP($G200,'Input Data'!$BI$3:$BL$10,4,FALSE))))</f>
        <v>0</v>
      </c>
      <c r="AL200" s="56">
        <f>IF($G200="",0,IF(NOT(OR($G200="A - All employees not in groups B, C, J, H, M or Z",$G200="B - Married women and widows entitled to reduced NI",$G200="C - Over the State Pension age",$G200="H - Apprentice under 25",$G200="J – Deferment",$G200="M - Under 21",$G200="Z - Deferment (Under 21)",$G200="Please Enter The NI Cont. in ££££")),$G200,SUM(MAX(MIN(AD200-'Input Data'!$BG$3,'Input Data'!$BG$5-'Input Data'!$BG$3),0)*VLOOKUP($G200,'Input Data'!$BI$3:$BL$10,2,FALSE),MAX(MIN(AD200-'Input Data'!$BG$5,IF(OR($G200="M (under 21)",$G200="Z (under 21 - deferment)"),'Input Data'!$BG$6,IF($G200="H (Apprentice under 25)",'Input Data'!$BG$7,'Input Data'!$BG$8))-'Input Data'!$BG$5),0)*VLOOKUP($G200,'Input Data'!$BI$3:$BL$10,3,FALSE),MAX((AD200-IF(OR($G200="M (under 21)",$G200="Z (under 21 - deferment)"),'Input Data'!$BG$6,IF($G200="H (Apprentice under 25)",'Input Data'!$BG$7,'Input Data'!$BG$8))),0)*VLOOKUP($G200,'Input Data'!$BI$3:$BL$10,4,FALSE))))</f>
        <v>0</v>
      </c>
      <c r="AM200" s="56">
        <f>IF($G200="",0,IF(NOT(OR($G200="A - All employees not in groups B, C, J, H, M or Z",$G200="B - Married women and widows entitled to reduced NI",$G200="C - Over the State Pension age",$G200="H - Apprentice under 25",$G200="J – Deferment",$G200="M - Under 21",$G200="Z - Deferment (Under 21)",$G200="Please Enter The NI Cont. in ££££")),$G200,SUM(MAX(MIN(AE200-'Input Data'!$BG$3,'Input Data'!$BG$5-'Input Data'!$BG$3),0)*VLOOKUP($G200,'Input Data'!$BI$3:$BL$10,2,FALSE),MAX(MIN(AE200-'Input Data'!$BG$5,IF(OR($G200="M (under 21)",$G200="Z (under 21 - deferment)"),'Input Data'!$BG$6,IF($G200="H (Apprentice under 25)",'Input Data'!$BG$7,'Input Data'!$BG$8))-'Input Data'!$BG$5),0)*VLOOKUP($G200,'Input Data'!$BI$3:$BL$10,3,FALSE),MAX((AE200-IF(OR($G200="M (under 21)",$G200="Z (under 21 - deferment)"),'Input Data'!$BG$6,IF($G200="H (Apprentice under 25)",'Input Data'!$BG$7,'Input Data'!$BG$8))),0)*VLOOKUP($G200,'Input Data'!$BI$3:$BL$10,4,FALSE))))</f>
        <v>0</v>
      </c>
      <c r="AN200" s="56">
        <f>IF($G200="",0,IF(NOT(OR($G200="A - All employees not in groups B, C, J, H, M or Z",$G200="B - Married women and widows entitled to reduced NI",$G200="C - Over the State Pension age",$G200="H - Apprentice under 25",$G200="J – Deferment",$G200="M - Under 21",$G200="Z - Deferment (Under 21)",$G200="Please Enter The NI Cont. in ££££")),$G200,SUM(MAX(MIN(AF200-'Input Data'!$BG$3,'Input Data'!$BG$5-'Input Data'!$BG$3),0)*VLOOKUP($G200,'Input Data'!$BI$3:$BL$10,2,FALSE),MAX(MIN(AF200-'Input Data'!$BG$5,IF(OR($G200="M (under 21)",$G200="Z (under 21 - deferment)"),'Input Data'!$BG$6,IF($G200="H (Apprentice under 25)",'Input Data'!$BG$7,'Input Data'!$BG$8))-'Input Data'!$BG$5),0)*VLOOKUP($G200,'Input Data'!$BI$3:$BL$10,3,FALSE),MAX((AF200-IF(OR($G200="M (under 21)",$G200="Z (under 21 - deferment)"),'Input Data'!$BG$6,IF($G200="H (Apprentice under 25)",'Input Data'!$BG$7,'Input Data'!$BG$8))),0)*VLOOKUP($G200,'Input Data'!$BI$3:$BL$10,4,FALSE))))</f>
        <v>0</v>
      </c>
      <c r="AO200" s="56">
        <f>IF($G200="",0,IF(NOT(OR($G200="A - All employees not in groups B, C, J, H, M or Z",$G200="B - Married women and widows entitled to reduced NI",$G200="C - Over the State Pension age",$G200="H - Apprentice under 25",$G200="J – Deferment",$G200="M - Under 21",$G200="Z - Deferment (Under 21)",$G200="Please Enter The NI Cont. in ££££")),$G200,SUM(MAX(MIN(AG200-'Input Data'!$BG$3,'Input Data'!$BG$5-'Input Data'!$BG$3),0)*VLOOKUP($G200,'Input Data'!$BI$3:$BL$10,2,FALSE),MAX(MIN(AG200-'Input Data'!$BG$5,IF(OR($G200="M (under 21)",$G200="Z (under 21 - deferment)"),'Input Data'!$BG$6,IF($G200="H (Apprentice under 25)",'Input Data'!$BG$7,'Input Data'!$BG$8))-'Input Data'!$BG$5),0)*VLOOKUP($G200,'Input Data'!$BI$3:$BL$10,3,FALSE),MAX((AG200-IF(OR($G200="M (under 21)",$G200="Z (under 21 - deferment)"),'Input Data'!$BG$6,IF($G200="H (Apprentice under 25)",'Input Data'!$BG$7,'Input Data'!$BG$8))),0)*VLOOKUP($G200,'Input Data'!$BI$3:$BL$10,4,FALSE))))</f>
        <v>0</v>
      </c>
      <c r="AP200" s="56">
        <f>IF($G200="",0,IF(NOT(OR($G200="A - All employees not in groups B, C, J, H, M or Z",$G200="B - Married women and widows entitled to reduced NI",$G200="C - Over the State Pension age",$G200="H - Apprentice under 25",$G200="J – Deferment",$G200="M - Under 21",$G200="Z - Deferment (Under 21)",$G200="Please Enter The NI Cont. in ££££")),$G200,SUM(MAX(MIN(AH200-'Input Data'!$BG$3,'Input Data'!$BG$5-'Input Data'!$BG$3),0)*VLOOKUP($G200,'Input Data'!$BI$3:$BL$10,2,FALSE),MAX(MIN(AH200-'Input Data'!$BG$5,IF(OR($G200="M (under 21)",$G200="Z (under 21 - deferment)"),'Input Data'!$BG$6,IF($G200="H (Apprentice under 25)",'Input Data'!$BG$7,'Input Data'!$BG$8))-'Input Data'!$BG$5),0)*VLOOKUP($G200,'Input Data'!$BI$3:$BL$10,3,FALSE),MAX((AH200-IF(OR($G200="M (under 21)",$G200="Z (under 21 - deferment)"),'Input Data'!$BG$6,IF($G200="H (Apprentice under 25)",'Input Data'!$BG$7,'Input Data'!$BG$8))),0)*VLOOKUP($G200,'Input Data'!$BI$3:$BL$10,4,FALSE))))</f>
        <v>0</v>
      </c>
      <c r="AQ200" s="56">
        <f>IF($G200="",0,IF(NOT(OR($G200="A - All employees not in groups B, C, J, H, M or Z",$G200="B - Married women and widows entitled to reduced NI",$G200="C - Over the State Pension age",$G200="H - Apprentice under 25",$G200="J – Deferment",$G200="M - Under 21",$G200="Z - Deferment (Under 21)",$G200="Please Enter The NI Cont. in ££££")),$G200,SUM(MAX(MIN(AI200-'Input Data'!$BG$3,'Input Data'!$BG$5-'Input Data'!$BG$3),0)*VLOOKUP($G200,'Input Data'!$BI$3:$BL$10,2,FALSE),MAX(MIN(AI200-'Input Data'!$BG$5,IF(OR($G200="M (under 21)",$G200="Z (under 21 - deferment)"),'Input Data'!$BG$6,IF($G200="H (Apprentice under 25)",'Input Data'!$BG$7,'Input Data'!$BG$8))-'Input Data'!$BG$5),0)*VLOOKUP($G200,'Input Data'!$BI$3:$BL$10,3,FALSE),MAX((AI200-IF(OR($G200="M (under 21)",$G200="Z (under 21 - deferment)"),'Input Data'!$BG$6,IF($G200="H (Apprentice under 25)",'Input Data'!$BG$7,'Input Data'!$BG$8))),0)*VLOOKUP($G200,'Input Data'!$BI$3:$BL$10,4,FALSE))))</f>
        <v>0</v>
      </c>
      <c r="AR200" s="56">
        <f>IF($G200="",0,IF(NOT(OR($G200="A - All employees not in groups B, C, J, H, M or Z",$G200="B - Married women and widows entitled to reduced NI",$G200="C - Over the State Pension age",$G200="H - Apprentice under 25",$G200="J – Deferment",$G200="M - Under 21",$G200="Z - Deferment (Under 21)",$G200="Please Enter The NI Cont. in ££££")),$G200,SUM(MAX(MIN(AJ200-'Input Data'!$BG$3,'Input Data'!$BG$5-'Input Data'!$BG$3),0)*VLOOKUP($G200,'Input Data'!$BI$3:$BL$10,2,FALSE),MAX(MIN(AJ200-'Input Data'!$BG$5,IF(OR($G200="M (under 21)",$G200="Z (under 21 - deferment)"),'Input Data'!$BG$6,IF($G200="H (Apprentice under 25)",'Input Data'!$BG$7,'Input Data'!$BG$8))-'Input Data'!$BG$5),0)*VLOOKUP($G200,'Input Data'!$BI$3:$BL$10,3,FALSE),MAX((AJ200-IF(OR($G200="M (under 21)",$G200="Z (under 21 - deferment)"),'Input Data'!$BG$6,IF($G200="H (Apprentice under 25)",'Input Data'!$BG$7,'Input Data'!$BG$8))),0)*VLOOKUP($G200,'Input Data'!$BI$3:$BL$10,4,FALSE))))</f>
        <v>0</v>
      </c>
      <c r="AS200" s="56">
        <f>AC200*$F200</f>
        <v>0</v>
      </c>
      <c r="AT200" s="56">
        <f>AD200*$F200</f>
        <v>0</v>
      </c>
      <c r="AU200" s="56">
        <f>AE200*$F200</f>
        <v>0</v>
      </c>
      <c r="AV200" s="56">
        <f>AF200*$F200</f>
        <v>0</v>
      </c>
      <c r="AW200" s="56">
        <f>AG200*$F200</f>
        <v>0</v>
      </c>
      <c r="AX200" s="56">
        <f>AH200*$F200</f>
        <v>0</v>
      </c>
      <c r="AY200" s="56">
        <f>AI200*$F200</f>
        <v>0</v>
      </c>
      <c r="AZ200" s="56">
        <f>AJ200*$F200</f>
        <v>0</v>
      </c>
    </row>
    <row r="201" spans="2:52" ht="25.5">
      <c r="B201" s="60"/>
      <c r="C201" s="57" t="s">
        <v>72</v>
      </c>
      <c r="D201" s="58"/>
      <c r="E201" s="58"/>
      <c r="F201" s="535"/>
      <c r="G201" s="693" t="s">
        <v>1149</v>
      </c>
      <c r="H201" s="65"/>
      <c r="I201" s="65"/>
      <c r="J201" s="65"/>
      <c r="K201" s="65"/>
      <c r="L201" s="65"/>
      <c r="M201" s="65"/>
      <c r="N201" s="65"/>
      <c r="O201" s="65"/>
      <c r="P201" s="29"/>
      <c r="Q201" s="597"/>
      <c r="R201" s="61"/>
      <c r="T201" s="43">
        <f>SUM(AC201,AK201,AS201)</f>
        <v>0</v>
      </c>
      <c r="U201" s="43">
        <f>SUM(AD201,AL201,AT201)</f>
        <v>0</v>
      </c>
      <c r="V201" s="43">
        <f>SUM(AE201,AM201,AU201)</f>
        <v>0</v>
      </c>
      <c r="W201" s="43">
        <f>SUM(AF201,AN201,AV201)</f>
        <v>0</v>
      </c>
      <c r="X201" s="43">
        <f>SUM(AG201,AO201,AW201)</f>
        <v>0</v>
      </c>
      <c r="Y201" s="43">
        <f>SUM(AH201,AP201,AX201)</f>
        <v>0</v>
      </c>
      <c r="Z201" s="43">
        <f>SUM(AI201,AQ201,AY201)</f>
        <v>0</v>
      </c>
      <c r="AA201" s="43">
        <f>SUM(AJ201,AR201,AZ201)</f>
        <v>0</v>
      </c>
      <c r="AC201" s="631">
        <f>SUM($D201:$E201)*H201</f>
        <v>0</v>
      </c>
      <c r="AD201" s="631">
        <f>SUM($D201:$E201)*I201</f>
        <v>0</v>
      </c>
      <c r="AE201" s="631">
        <f>SUM($D201:$E201)*J201</f>
        <v>0</v>
      </c>
      <c r="AF201" s="631">
        <f>SUM($D201:$E201)*K201</f>
        <v>0</v>
      </c>
      <c r="AG201" s="631">
        <f>SUM($D201:$E201)*L201</f>
        <v>0</v>
      </c>
      <c r="AH201" s="631">
        <f>SUM($D201:$E201)*M201</f>
        <v>0</v>
      </c>
      <c r="AI201" s="631">
        <f>SUM($D201:$E201)*N201</f>
        <v>0</v>
      </c>
      <c r="AJ201" s="631">
        <f>SUM($D201:$E201)*O201</f>
        <v>0</v>
      </c>
      <c r="AK201" s="56">
        <f>IF($G201="",0,IF(NOT(OR($G201="A - All employees not in groups B, C, J, H, M or Z",$G201="B - Married women and widows entitled to reduced NI",$G201="C - Over the State Pension age",$G201="H - Apprentice under 25",$G201="J – Deferment",$G201="M - Under 21",$G201="Z - Deferment (Under 21)",$G201="Please Enter The NI Cont. in ££££")),$G201,SUM(MAX(MIN(AC201-'Input Data'!$BG$3,'Input Data'!$BG$5-'Input Data'!$BG$3),0)*VLOOKUP($G201,'Input Data'!$BI$3:$BL$10,2,FALSE),MAX(MIN(AC201-'Input Data'!$BG$5,IF(OR($G201="M (under 21)",$G201="Z (under 21 - deferment)"),'Input Data'!$BG$6,IF($G201="H (Apprentice under 25)",'Input Data'!$BG$7,'Input Data'!$BG$8))-'Input Data'!$BG$5),0)*VLOOKUP($G201,'Input Data'!$BI$3:$BL$10,3,FALSE),MAX((AC201-IF(OR($G201="M (under 21)",$G201="Z (under 21 - deferment)"),'Input Data'!$BG$6,IF($G201="H (Apprentice under 25)",'Input Data'!$BG$7,'Input Data'!$BG$8))),0)*VLOOKUP($G201,'Input Data'!$BI$3:$BL$10,4,FALSE))))</f>
        <v>0</v>
      </c>
      <c r="AL201" s="56">
        <f>IF($G201="",0,IF(NOT(OR($G201="A - All employees not in groups B, C, J, H, M or Z",$G201="B - Married women and widows entitled to reduced NI",$G201="C - Over the State Pension age",$G201="H - Apprentice under 25",$G201="J – Deferment",$G201="M - Under 21",$G201="Z - Deferment (Under 21)",$G201="Please Enter The NI Cont. in ££££")),$G201,SUM(MAX(MIN(AD201-'Input Data'!$BG$3,'Input Data'!$BG$5-'Input Data'!$BG$3),0)*VLOOKUP($G201,'Input Data'!$BI$3:$BL$10,2,FALSE),MAX(MIN(AD201-'Input Data'!$BG$5,IF(OR($G201="M (under 21)",$G201="Z (under 21 - deferment)"),'Input Data'!$BG$6,IF($G201="H (Apprentice under 25)",'Input Data'!$BG$7,'Input Data'!$BG$8))-'Input Data'!$BG$5),0)*VLOOKUP($G201,'Input Data'!$BI$3:$BL$10,3,FALSE),MAX((AD201-IF(OR($G201="M (under 21)",$G201="Z (under 21 - deferment)"),'Input Data'!$BG$6,IF($G201="H (Apprentice under 25)",'Input Data'!$BG$7,'Input Data'!$BG$8))),0)*VLOOKUP($G201,'Input Data'!$BI$3:$BL$10,4,FALSE))))</f>
        <v>0</v>
      </c>
      <c r="AM201" s="56">
        <f>IF($G201="",0,IF(NOT(OR($G201="A - All employees not in groups B, C, J, H, M or Z",$G201="B - Married women and widows entitled to reduced NI",$G201="C - Over the State Pension age",$G201="H - Apprentice under 25",$G201="J – Deferment",$G201="M - Under 21",$G201="Z - Deferment (Under 21)",$G201="Please Enter The NI Cont. in ££££")),$G201,SUM(MAX(MIN(AE201-'Input Data'!$BG$3,'Input Data'!$BG$5-'Input Data'!$BG$3),0)*VLOOKUP($G201,'Input Data'!$BI$3:$BL$10,2,FALSE),MAX(MIN(AE201-'Input Data'!$BG$5,IF(OR($G201="M (under 21)",$G201="Z (under 21 - deferment)"),'Input Data'!$BG$6,IF($G201="H (Apprentice under 25)",'Input Data'!$BG$7,'Input Data'!$BG$8))-'Input Data'!$BG$5),0)*VLOOKUP($G201,'Input Data'!$BI$3:$BL$10,3,FALSE),MAX((AE201-IF(OR($G201="M (under 21)",$G201="Z (under 21 - deferment)"),'Input Data'!$BG$6,IF($G201="H (Apprentice under 25)",'Input Data'!$BG$7,'Input Data'!$BG$8))),0)*VLOOKUP($G201,'Input Data'!$BI$3:$BL$10,4,FALSE))))</f>
        <v>0</v>
      </c>
      <c r="AN201" s="56">
        <f>IF($G201="",0,IF(NOT(OR($G201="A - All employees not in groups B, C, J, H, M or Z",$G201="B - Married women and widows entitled to reduced NI",$G201="C - Over the State Pension age",$G201="H - Apprentice under 25",$G201="J – Deferment",$G201="M - Under 21",$G201="Z - Deferment (Under 21)",$G201="Please Enter The NI Cont. in ££££")),$G201,SUM(MAX(MIN(AF201-'Input Data'!$BG$3,'Input Data'!$BG$5-'Input Data'!$BG$3),0)*VLOOKUP($G201,'Input Data'!$BI$3:$BL$10,2,FALSE),MAX(MIN(AF201-'Input Data'!$BG$5,IF(OR($G201="M (under 21)",$G201="Z (under 21 - deferment)"),'Input Data'!$BG$6,IF($G201="H (Apprentice under 25)",'Input Data'!$BG$7,'Input Data'!$BG$8))-'Input Data'!$BG$5),0)*VLOOKUP($G201,'Input Data'!$BI$3:$BL$10,3,FALSE),MAX((AF201-IF(OR($G201="M (under 21)",$G201="Z (under 21 - deferment)"),'Input Data'!$BG$6,IF($G201="H (Apprentice under 25)",'Input Data'!$BG$7,'Input Data'!$BG$8))),0)*VLOOKUP($G201,'Input Data'!$BI$3:$BL$10,4,FALSE))))</f>
        <v>0</v>
      </c>
      <c r="AO201" s="56">
        <f>IF($G201="",0,IF(NOT(OR($G201="A - All employees not in groups B, C, J, H, M or Z",$G201="B - Married women and widows entitled to reduced NI",$G201="C - Over the State Pension age",$G201="H - Apprentice under 25",$G201="J – Deferment",$G201="M - Under 21",$G201="Z - Deferment (Under 21)",$G201="Please Enter The NI Cont. in ££££")),$G201,SUM(MAX(MIN(AG201-'Input Data'!$BG$3,'Input Data'!$BG$5-'Input Data'!$BG$3),0)*VLOOKUP($G201,'Input Data'!$BI$3:$BL$10,2,FALSE),MAX(MIN(AG201-'Input Data'!$BG$5,IF(OR($G201="M (under 21)",$G201="Z (under 21 - deferment)"),'Input Data'!$BG$6,IF($G201="H (Apprentice under 25)",'Input Data'!$BG$7,'Input Data'!$BG$8))-'Input Data'!$BG$5),0)*VLOOKUP($G201,'Input Data'!$BI$3:$BL$10,3,FALSE),MAX((AG201-IF(OR($G201="M (under 21)",$G201="Z (under 21 - deferment)"),'Input Data'!$BG$6,IF($G201="H (Apprentice under 25)",'Input Data'!$BG$7,'Input Data'!$BG$8))),0)*VLOOKUP($G201,'Input Data'!$BI$3:$BL$10,4,FALSE))))</f>
        <v>0</v>
      </c>
      <c r="AP201" s="56">
        <f>IF($G201="",0,IF(NOT(OR($G201="A - All employees not in groups B, C, J, H, M or Z",$G201="B - Married women and widows entitled to reduced NI",$G201="C - Over the State Pension age",$G201="H - Apprentice under 25",$G201="J – Deferment",$G201="M - Under 21",$G201="Z - Deferment (Under 21)",$G201="Please Enter The NI Cont. in ££££")),$G201,SUM(MAX(MIN(AH201-'Input Data'!$BG$3,'Input Data'!$BG$5-'Input Data'!$BG$3),0)*VLOOKUP($G201,'Input Data'!$BI$3:$BL$10,2,FALSE),MAX(MIN(AH201-'Input Data'!$BG$5,IF(OR($G201="M (under 21)",$G201="Z (under 21 - deferment)"),'Input Data'!$BG$6,IF($G201="H (Apprentice under 25)",'Input Data'!$BG$7,'Input Data'!$BG$8))-'Input Data'!$BG$5),0)*VLOOKUP($G201,'Input Data'!$BI$3:$BL$10,3,FALSE),MAX((AH201-IF(OR($G201="M (under 21)",$G201="Z (under 21 - deferment)"),'Input Data'!$BG$6,IF($G201="H (Apprentice under 25)",'Input Data'!$BG$7,'Input Data'!$BG$8))),0)*VLOOKUP($G201,'Input Data'!$BI$3:$BL$10,4,FALSE))))</f>
        <v>0</v>
      </c>
      <c r="AQ201" s="56">
        <f>IF($G201="",0,IF(NOT(OR($G201="A - All employees not in groups B, C, J, H, M or Z",$G201="B - Married women and widows entitled to reduced NI",$G201="C - Over the State Pension age",$G201="H - Apprentice under 25",$G201="J – Deferment",$G201="M - Under 21",$G201="Z - Deferment (Under 21)",$G201="Please Enter The NI Cont. in ££££")),$G201,SUM(MAX(MIN(AI201-'Input Data'!$BG$3,'Input Data'!$BG$5-'Input Data'!$BG$3),0)*VLOOKUP($G201,'Input Data'!$BI$3:$BL$10,2,FALSE),MAX(MIN(AI201-'Input Data'!$BG$5,IF(OR($G201="M (under 21)",$G201="Z (under 21 - deferment)"),'Input Data'!$BG$6,IF($G201="H (Apprentice under 25)",'Input Data'!$BG$7,'Input Data'!$BG$8))-'Input Data'!$BG$5),0)*VLOOKUP($G201,'Input Data'!$BI$3:$BL$10,3,FALSE),MAX((AI201-IF(OR($G201="M (under 21)",$G201="Z (under 21 - deferment)"),'Input Data'!$BG$6,IF($G201="H (Apprentice under 25)",'Input Data'!$BG$7,'Input Data'!$BG$8))),0)*VLOOKUP($G201,'Input Data'!$BI$3:$BL$10,4,FALSE))))</f>
        <v>0</v>
      </c>
      <c r="AR201" s="56">
        <f>IF($G201="",0,IF(NOT(OR($G201="A - All employees not in groups B, C, J, H, M or Z",$G201="B - Married women and widows entitled to reduced NI",$G201="C - Over the State Pension age",$G201="H - Apprentice under 25",$G201="J – Deferment",$G201="M - Under 21",$G201="Z - Deferment (Under 21)",$G201="Please Enter The NI Cont. in ££££")),$G201,SUM(MAX(MIN(AJ201-'Input Data'!$BG$3,'Input Data'!$BG$5-'Input Data'!$BG$3),0)*VLOOKUP($G201,'Input Data'!$BI$3:$BL$10,2,FALSE),MAX(MIN(AJ201-'Input Data'!$BG$5,IF(OR($G201="M (under 21)",$G201="Z (under 21 - deferment)"),'Input Data'!$BG$6,IF($G201="H (Apprentice under 25)",'Input Data'!$BG$7,'Input Data'!$BG$8))-'Input Data'!$BG$5),0)*VLOOKUP($G201,'Input Data'!$BI$3:$BL$10,3,FALSE),MAX((AJ201-IF(OR($G201="M (under 21)",$G201="Z (under 21 - deferment)"),'Input Data'!$BG$6,IF($G201="H (Apprentice under 25)",'Input Data'!$BG$7,'Input Data'!$BG$8))),0)*VLOOKUP($G201,'Input Data'!$BI$3:$BL$10,4,FALSE))))</f>
        <v>0</v>
      </c>
      <c r="AS201" s="56">
        <f>AC201*$F201</f>
        <v>0</v>
      </c>
      <c r="AT201" s="56">
        <f>AD201*$F201</f>
        <v>0</v>
      </c>
      <c r="AU201" s="56">
        <f>AE201*$F201</f>
        <v>0</v>
      </c>
      <c r="AV201" s="56">
        <f>AF201*$F201</f>
        <v>0</v>
      </c>
      <c r="AW201" s="56">
        <f>AG201*$F201</f>
        <v>0</v>
      </c>
      <c r="AX201" s="56">
        <f>AH201*$F201</f>
        <v>0</v>
      </c>
      <c r="AY201" s="56">
        <f>AI201*$F201</f>
        <v>0</v>
      </c>
      <c r="AZ201" s="56">
        <f>AJ201*$F201</f>
        <v>0</v>
      </c>
    </row>
    <row r="202" spans="2:52" ht="25.5">
      <c r="B202" s="60"/>
      <c r="C202" s="57" t="s">
        <v>73</v>
      </c>
      <c r="D202" s="58"/>
      <c r="E202" s="58"/>
      <c r="F202" s="535"/>
      <c r="G202" s="693" t="s">
        <v>1149</v>
      </c>
      <c r="H202" s="65"/>
      <c r="I202" s="65"/>
      <c r="J202" s="65"/>
      <c r="K202" s="65"/>
      <c r="L202" s="65"/>
      <c r="M202" s="65"/>
      <c r="N202" s="65"/>
      <c r="O202" s="65"/>
      <c r="P202" s="29"/>
      <c r="Q202" s="597"/>
      <c r="R202" s="61"/>
      <c r="T202" s="43">
        <f>SUM(AC202,AK202,AS202)</f>
        <v>0</v>
      </c>
      <c r="U202" s="43">
        <f>SUM(AD202,AL202,AT202)</f>
        <v>0</v>
      </c>
      <c r="V202" s="43">
        <f>SUM(AE202,AM202,AU202)</f>
        <v>0</v>
      </c>
      <c r="W202" s="43">
        <f>SUM(AF202,AN202,AV202)</f>
        <v>0</v>
      </c>
      <c r="X202" s="43">
        <f>SUM(AG202,AO202,AW202)</f>
        <v>0</v>
      </c>
      <c r="Y202" s="43">
        <f>SUM(AH202,AP202,AX202)</f>
        <v>0</v>
      </c>
      <c r="Z202" s="43">
        <f>SUM(AI202,AQ202,AY202)</f>
        <v>0</v>
      </c>
      <c r="AA202" s="43">
        <f>SUM(AJ202,AR202,AZ202)</f>
        <v>0</v>
      </c>
      <c r="AC202" s="631">
        <f>SUM($D202:$E202)*H202</f>
        <v>0</v>
      </c>
      <c r="AD202" s="631">
        <f>SUM($D202:$E202)*I202</f>
        <v>0</v>
      </c>
      <c r="AE202" s="631">
        <f>SUM($D202:$E202)*J202</f>
        <v>0</v>
      </c>
      <c r="AF202" s="631">
        <f>SUM($D202:$E202)*K202</f>
        <v>0</v>
      </c>
      <c r="AG202" s="631">
        <f>SUM($D202:$E202)*L202</f>
        <v>0</v>
      </c>
      <c r="AH202" s="631">
        <f>SUM($D202:$E202)*M202</f>
        <v>0</v>
      </c>
      <c r="AI202" s="631">
        <f>SUM($D202:$E202)*N202</f>
        <v>0</v>
      </c>
      <c r="AJ202" s="631">
        <f>SUM($D202:$E202)*O202</f>
        <v>0</v>
      </c>
      <c r="AK202" s="56">
        <f>IF($G202="",0,IF(NOT(OR($G202="A - All employees not in groups B, C, J, H, M or Z",$G202="B - Married women and widows entitled to reduced NI",$G202="C - Over the State Pension age",$G202="H - Apprentice under 25",$G202="J – Deferment",$G202="M - Under 21",$G202="Z - Deferment (Under 21)",$G202="Please Enter The NI Cont. in ££££")),$G202,SUM(MAX(MIN(AC202-'Input Data'!$BG$3,'Input Data'!$BG$5-'Input Data'!$BG$3),0)*VLOOKUP($G202,'Input Data'!$BI$3:$BL$10,2,FALSE),MAX(MIN(AC202-'Input Data'!$BG$5,IF(OR($G202="M (under 21)",$G202="Z (under 21 - deferment)"),'Input Data'!$BG$6,IF($G202="H (Apprentice under 25)",'Input Data'!$BG$7,'Input Data'!$BG$8))-'Input Data'!$BG$5),0)*VLOOKUP($G202,'Input Data'!$BI$3:$BL$10,3,FALSE),MAX((AC202-IF(OR($G202="M (under 21)",$G202="Z (under 21 - deferment)"),'Input Data'!$BG$6,IF($G202="H (Apprentice under 25)",'Input Data'!$BG$7,'Input Data'!$BG$8))),0)*VLOOKUP($G202,'Input Data'!$BI$3:$BL$10,4,FALSE))))</f>
        <v>0</v>
      </c>
      <c r="AL202" s="56">
        <f>IF($G202="",0,IF(NOT(OR($G202="A - All employees not in groups B, C, J, H, M or Z",$G202="B - Married women and widows entitled to reduced NI",$G202="C - Over the State Pension age",$G202="H - Apprentice under 25",$G202="J – Deferment",$G202="M - Under 21",$G202="Z - Deferment (Under 21)",$G202="Please Enter The NI Cont. in ££££")),$G202,SUM(MAX(MIN(AD202-'Input Data'!$BG$3,'Input Data'!$BG$5-'Input Data'!$BG$3),0)*VLOOKUP($G202,'Input Data'!$BI$3:$BL$10,2,FALSE),MAX(MIN(AD202-'Input Data'!$BG$5,IF(OR($G202="M (under 21)",$G202="Z (under 21 - deferment)"),'Input Data'!$BG$6,IF($G202="H (Apprentice under 25)",'Input Data'!$BG$7,'Input Data'!$BG$8))-'Input Data'!$BG$5),0)*VLOOKUP($G202,'Input Data'!$BI$3:$BL$10,3,FALSE),MAX((AD202-IF(OR($G202="M (under 21)",$G202="Z (under 21 - deferment)"),'Input Data'!$BG$6,IF($G202="H (Apprentice under 25)",'Input Data'!$BG$7,'Input Data'!$BG$8))),0)*VLOOKUP($G202,'Input Data'!$BI$3:$BL$10,4,FALSE))))</f>
        <v>0</v>
      </c>
      <c r="AM202" s="56">
        <f>IF($G202="",0,IF(NOT(OR($G202="A - All employees not in groups B, C, J, H, M or Z",$G202="B - Married women and widows entitled to reduced NI",$G202="C - Over the State Pension age",$G202="H - Apprentice under 25",$G202="J – Deferment",$G202="M - Under 21",$G202="Z - Deferment (Under 21)",$G202="Please Enter The NI Cont. in ££££")),$G202,SUM(MAX(MIN(AE202-'Input Data'!$BG$3,'Input Data'!$BG$5-'Input Data'!$BG$3),0)*VLOOKUP($G202,'Input Data'!$BI$3:$BL$10,2,FALSE),MAX(MIN(AE202-'Input Data'!$BG$5,IF(OR($G202="M (under 21)",$G202="Z (under 21 - deferment)"),'Input Data'!$BG$6,IF($G202="H (Apprentice under 25)",'Input Data'!$BG$7,'Input Data'!$BG$8))-'Input Data'!$BG$5),0)*VLOOKUP($G202,'Input Data'!$BI$3:$BL$10,3,FALSE),MAX((AE202-IF(OR($G202="M (under 21)",$G202="Z (under 21 - deferment)"),'Input Data'!$BG$6,IF($G202="H (Apprentice under 25)",'Input Data'!$BG$7,'Input Data'!$BG$8))),0)*VLOOKUP($G202,'Input Data'!$BI$3:$BL$10,4,FALSE))))</f>
        <v>0</v>
      </c>
      <c r="AN202" s="56">
        <f>IF($G202="",0,IF(NOT(OR($G202="A - All employees not in groups B, C, J, H, M or Z",$G202="B - Married women and widows entitled to reduced NI",$G202="C - Over the State Pension age",$G202="H - Apprentice under 25",$G202="J – Deferment",$G202="M - Under 21",$G202="Z - Deferment (Under 21)",$G202="Please Enter The NI Cont. in ££££")),$G202,SUM(MAX(MIN(AF202-'Input Data'!$BG$3,'Input Data'!$BG$5-'Input Data'!$BG$3),0)*VLOOKUP($G202,'Input Data'!$BI$3:$BL$10,2,FALSE),MAX(MIN(AF202-'Input Data'!$BG$5,IF(OR($G202="M (under 21)",$G202="Z (under 21 - deferment)"),'Input Data'!$BG$6,IF($G202="H (Apprentice under 25)",'Input Data'!$BG$7,'Input Data'!$BG$8))-'Input Data'!$BG$5),0)*VLOOKUP($G202,'Input Data'!$BI$3:$BL$10,3,FALSE),MAX((AF202-IF(OR($G202="M (under 21)",$G202="Z (under 21 - deferment)"),'Input Data'!$BG$6,IF($G202="H (Apprentice under 25)",'Input Data'!$BG$7,'Input Data'!$BG$8))),0)*VLOOKUP($G202,'Input Data'!$BI$3:$BL$10,4,FALSE))))</f>
        <v>0</v>
      </c>
      <c r="AO202" s="56">
        <f>IF($G202="",0,IF(NOT(OR($G202="A - All employees not in groups B, C, J, H, M or Z",$G202="B - Married women and widows entitled to reduced NI",$G202="C - Over the State Pension age",$G202="H - Apprentice under 25",$G202="J – Deferment",$G202="M - Under 21",$G202="Z - Deferment (Under 21)",$G202="Please Enter The NI Cont. in ££££")),$G202,SUM(MAX(MIN(AG202-'Input Data'!$BG$3,'Input Data'!$BG$5-'Input Data'!$BG$3),0)*VLOOKUP($G202,'Input Data'!$BI$3:$BL$10,2,FALSE),MAX(MIN(AG202-'Input Data'!$BG$5,IF(OR($G202="M (under 21)",$G202="Z (under 21 - deferment)"),'Input Data'!$BG$6,IF($G202="H (Apprentice under 25)",'Input Data'!$BG$7,'Input Data'!$BG$8))-'Input Data'!$BG$5),0)*VLOOKUP($G202,'Input Data'!$BI$3:$BL$10,3,FALSE),MAX((AG202-IF(OR($G202="M (under 21)",$G202="Z (under 21 - deferment)"),'Input Data'!$BG$6,IF($G202="H (Apprentice under 25)",'Input Data'!$BG$7,'Input Data'!$BG$8))),0)*VLOOKUP($G202,'Input Data'!$BI$3:$BL$10,4,FALSE))))</f>
        <v>0</v>
      </c>
      <c r="AP202" s="56">
        <f>IF($G202="",0,IF(NOT(OR($G202="A - All employees not in groups B, C, J, H, M or Z",$G202="B - Married women and widows entitled to reduced NI",$G202="C - Over the State Pension age",$G202="H - Apprentice under 25",$G202="J – Deferment",$G202="M - Under 21",$G202="Z - Deferment (Under 21)",$G202="Please Enter The NI Cont. in ££££")),$G202,SUM(MAX(MIN(AH202-'Input Data'!$BG$3,'Input Data'!$BG$5-'Input Data'!$BG$3),0)*VLOOKUP($G202,'Input Data'!$BI$3:$BL$10,2,FALSE),MAX(MIN(AH202-'Input Data'!$BG$5,IF(OR($G202="M (under 21)",$G202="Z (under 21 - deferment)"),'Input Data'!$BG$6,IF($G202="H (Apprentice under 25)",'Input Data'!$BG$7,'Input Data'!$BG$8))-'Input Data'!$BG$5),0)*VLOOKUP($G202,'Input Data'!$BI$3:$BL$10,3,FALSE),MAX((AH202-IF(OR($G202="M (under 21)",$G202="Z (under 21 - deferment)"),'Input Data'!$BG$6,IF($G202="H (Apprentice under 25)",'Input Data'!$BG$7,'Input Data'!$BG$8))),0)*VLOOKUP($G202,'Input Data'!$BI$3:$BL$10,4,FALSE))))</f>
        <v>0</v>
      </c>
      <c r="AQ202" s="56">
        <f>IF($G202="",0,IF(NOT(OR($G202="A - All employees not in groups B, C, J, H, M or Z",$G202="B - Married women and widows entitled to reduced NI",$G202="C - Over the State Pension age",$G202="H - Apprentice under 25",$G202="J – Deferment",$G202="M - Under 21",$G202="Z - Deferment (Under 21)",$G202="Please Enter The NI Cont. in ££££")),$G202,SUM(MAX(MIN(AI202-'Input Data'!$BG$3,'Input Data'!$BG$5-'Input Data'!$BG$3),0)*VLOOKUP($G202,'Input Data'!$BI$3:$BL$10,2,FALSE),MAX(MIN(AI202-'Input Data'!$BG$5,IF(OR($G202="M (under 21)",$G202="Z (under 21 - deferment)"),'Input Data'!$BG$6,IF($G202="H (Apprentice under 25)",'Input Data'!$BG$7,'Input Data'!$BG$8))-'Input Data'!$BG$5),0)*VLOOKUP($G202,'Input Data'!$BI$3:$BL$10,3,FALSE),MAX((AI202-IF(OR($G202="M (under 21)",$G202="Z (under 21 - deferment)"),'Input Data'!$BG$6,IF($G202="H (Apprentice under 25)",'Input Data'!$BG$7,'Input Data'!$BG$8))),0)*VLOOKUP($G202,'Input Data'!$BI$3:$BL$10,4,FALSE))))</f>
        <v>0</v>
      </c>
      <c r="AR202" s="56">
        <f>IF($G202="",0,IF(NOT(OR($G202="A - All employees not in groups B, C, J, H, M or Z",$G202="B - Married women and widows entitled to reduced NI",$G202="C - Over the State Pension age",$G202="H - Apprentice under 25",$G202="J – Deferment",$G202="M - Under 21",$G202="Z - Deferment (Under 21)",$G202="Please Enter The NI Cont. in ££££")),$G202,SUM(MAX(MIN(AJ202-'Input Data'!$BG$3,'Input Data'!$BG$5-'Input Data'!$BG$3),0)*VLOOKUP($G202,'Input Data'!$BI$3:$BL$10,2,FALSE),MAX(MIN(AJ202-'Input Data'!$BG$5,IF(OR($G202="M (under 21)",$G202="Z (under 21 - deferment)"),'Input Data'!$BG$6,IF($G202="H (Apprentice under 25)",'Input Data'!$BG$7,'Input Data'!$BG$8))-'Input Data'!$BG$5),0)*VLOOKUP($G202,'Input Data'!$BI$3:$BL$10,3,FALSE),MAX((AJ202-IF(OR($G202="M (under 21)",$G202="Z (under 21 - deferment)"),'Input Data'!$BG$6,IF($G202="H (Apprentice under 25)",'Input Data'!$BG$7,'Input Data'!$BG$8))),0)*VLOOKUP($G202,'Input Data'!$BI$3:$BL$10,4,FALSE))))</f>
        <v>0</v>
      </c>
      <c r="AS202" s="56">
        <f>AC202*$F202</f>
        <v>0</v>
      </c>
      <c r="AT202" s="56">
        <f>AD202*$F202</f>
        <v>0</v>
      </c>
      <c r="AU202" s="56">
        <f>AE202*$F202</f>
        <v>0</v>
      </c>
      <c r="AV202" s="56">
        <f>AF202*$F202</f>
        <v>0</v>
      </c>
      <c r="AW202" s="56">
        <f>AG202*$F202</f>
        <v>0</v>
      </c>
      <c r="AX202" s="56">
        <f>AH202*$F202</f>
        <v>0</v>
      </c>
      <c r="AY202" s="56">
        <f>AI202*$F202</f>
        <v>0</v>
      </c>
      <c r="AZ202" s="56">
        <f>AJ202*$F202</f>
        <v>0</v>
      </c>
    </row>
    <row r="203" spans="2:52" ht="25.5">
      <c r="B203" s="60"/>
      <c r="C203" s="57" t="s">
        <v>74</v>
      </c>
      <c r="D203" s="58"/>
      <c r="E203" s="58"/>
      <c r="F203" s="535"/>
      <c r="G203" s="693" t="s">
        <v>1149</v>
      </c>
      <c r="H203" s="65"/>
      <c r="I203" s="65"/>
      <c r="J203" s="65"/>
      <c r="K203" s="65"/>
      <c r="L203" s="65"/>
      <c r="M203" s="65"/>
      <c r="N203" s="65"/>
      <c r="O203" s="65"/>
      <c r="P203" s="29"/>
      <c r="Q203" s="597"/>
      <c r="R203" s="61"/>
      <c r="T203" s="43">
        <f>SUM(AC203,AK203,AS203)</f>
        <v>0</v>
      </c>
      <c r="U203" s="43">
        <f>SUM(AD203,AL203,AT203)</f>
        <v>0</v>
      </c>
      <c r="V203" s="43">
        <f>SUM(AE203,AM203,AU203)</f>
        <v>0</v>
      </c>
      <c r="W203" s="43">
        <f>SUM(AF203,AN203,AV203)</f>
        <v>0</v>
      </c>
      <c r="X203" s="43">
        <f>SUM(AG203,AO203,AW203)</f>
        <v>0</v>
      </c>
      <c r="Y203" s="43">
        <f>SUM(AH203,AP203,AX203)</f>
        <v>0</v>
      </c>
      <c r="Z203" s="43">
        <f>SUM(AI203,AQ203,AY203)</f>
        <v>0</v>
      </c>
      <c r="AA203" s="43">
        <f>SUM(AJ203,AR203,AZ203)</f>
        <v>0</v>
      </c>
      <c r="AC203" s="631">
        <f>SUM($D203:$E203)*H203</f>
        <v>0</v>
      </c>
      <c r="AD203" s="631">
        <f>SUM($D203:$E203)*I203</f>
        <v>0</v>
      </c>
      <c r="AE203" s="631">
        <f>SUM($D203:$E203)*J203</f>
        <v>0</v>
      </c>
      <c r="AF203" s="631">
        <f>SUM($D203:$E203)*K203</f>
        <v>0</v>
      </c>
      <c r="AG203" s="631">
        <f>SUM($D203:$E203)*L203</f>
        <v>0</v>
      </c>
      <c r="AH203" s="631">
        <f>SUM($D203:$E203)*M203</f>
        <v>0</v>
      </c>
      <c r="AI203" s="631">
        <f>SUM($D203:$E203)*N203</f>
        <v>0</v>
      </c>
      <c r="AJ203" s="631">
        <f>SUM($D203:$E203)*O203</f>
        <v>0</v>
      </c>
      <c r="AK203" s="56">
        <f>IF($G203="",0,IF(NOT(OR($G203="A - All employees not in groups B, C, J, H, M or Z",$G203="B - Married women and widows entitled to reduced NI",$G203="C - Over the State Pension age",$G203="H - Apprentice under 25",$G203="J – Deferment",$G203="M - Under 21",$G203="Z - Deferment (Under 21)",$G203="Please Enter The NI Cont. in ££££")),$G203,SUM(MAX(MIN(AC203-'Input Data'!$BG$3,'Input Data'!$BG$5-'Input Data'!$BG$3),0)*VLOOKUP($G203,'Input Data'!$BI$3:$BL$10,2,FALSE),MAX(MIN(AC203-'Input Data'!$BG$5,IF(OR($G203="M (under 21)",$G203="Z (under 21 - deferment)"),'Input Data'!$BG$6,IF($G203="H (Apprentice under 25)",'Input Data'!$BG$7,'Input Data'!$BG$8))-'Input Data'!$BG$5),0)*VLOOKUP($G203,'Input Data'!$BI$3:$BL$10,3,FALSE),MAX((AC203-IF(OR($G203="M (under 21)",$G203="Z (under 21 - deferment)"),'Input Data'!$BG$6,IF($G203="H (Apprentice under 25)",'Input Data'!$BG$7,'Input Data'!$BG$8))),0)*VLOOKUP($G203,'Input Data'!$BI$3:$BL$10,4,FALSE))))</f>
        <v>0</v>
      </c>
      <c r="AL203" s="56">
        <f>IF($G203="",0,IF(NOT(OR($G203="A - All employees not in groups B, C, J, H, M or Z",$G203="B - Married women and widows entitled to reduced NI",$G203="C - Over the State Pension age",$G203="H - Apprentice under 25",$G203="J – Deferment",$G203="M - Under 21",$G203="Z - Deferment (Under 21)",$G203="Please Enter The NI Cont. in ££££")),$G203,SUM(MAX(MIN(AD203-'Input Data'!$BG$3,'Input Data'!$BG$5-'Input Data'!$BG$3),0)*VLOOKUP($G203,'Input Data'!$BI$3:$BL$10,2,FALSE),MAX(MIN(AD203-'Input Data'!$BG$5,IF(OR($G203="M (under 21)",$G203="Z (under 21 - deferment)"),'Input Data'!$BG$6,IF($G203="H (Apprentice under 25)",'Input Data'!$BG$7,'Input Data'!$BG$8))-'Input Data'!$BG$5),0)*VLOOKUP($G203,'Input Data'!$BI$3:$BL$10,3,FALSE),MAX((AD203-IF(OR($G203="M (under 21)",$G203="Z (under 21 - deferment)"),'Input Data'!$BG$6,IF($G203="H (Apprentice under 25)",'Input Data'!$BG$7,'Input Data'!$BG$8))),0)*VLOOKUP($G203,'Input Data'!$BI$3:$BL$10,4,FALSE))))</f>
        <v>0</v>
      </c>
      <c r="AM203" s="56">
        <f>IF($G203="",0,IF(NOT(OR($G203="A - All employees not in groups B, C, J, H, M or Z",$G203="B - Married women and widows entitled to reduced NI",$G203="C - Over the State Pension age",$G203="H - Apprentice under 25",$G203="J – Deferment",$G203="M - Under 21",$G203="Z - Deferment (Under 21)",$G203="Please Enter The NI Cont. in ££££")),$G203,SUM(MAX(MIN(AE203-'Input Data'!$BG$3,'Input Data'!$BG$5-'Input Data'!$BG$3),0)*VLOOKUP($G203,'Input Data'!$BI$3:$BL$10,2,FALSE),MAX(MIN(AE203-'Input Data'!$BG$5,IF(OR($G203="M (under 21)",$G203="Z (under 21 - deferment)"),'Input Data'!$BG$6,IF($G203="H (Apprentice under 25)",'Input Data'!$BG$7,'Input Data'!$BG$8))-'Input Data'!$BG$5),0)*VLOOKUP($G203,'Input Data'!$BI$3:$BL$10,3,FALSE),MAX((AE203-IF(OR($G203="M (under 21)",$G203="Z (under 21 - deferment)"),'Input Data'!$BG$6,IF($G203="H (Apprentice under 25)",'Input Data'!$BG$7,'Input Data'!$BG$8))),0)*VLOOKUP($G203,'Input Data'!$BI$3:$BL$10,4,FALSE))))</f>
        <v>0</v>
      </c>
      <c r="AN203" s="56">
        <f>IF($G203="",0,IF(NOT(OR($G203="A - All employees not in groups B, C, J, H, M or Z",$G203="B - Married women and widows entitled to reduced NI",$G203="C - Over the State Pension age",$G203="H - Apprentice under 25",$G203="J – Deferment",$G203="M - Under 21",$G203="Z - Deferment (Under 21)",$G203="Please Enter The NI Cont. in ££££")),$G203,SUM(MAX(MIN(AF203-'Input Data'!$BG$3,'Input Data'!$BG$5-'Input Data'!$BG$3),0)*VLOOKUP($G203,'Input Data'!$BI$3:$BL$10,2,FALSE),MAX(MIN(AF203-'Input Data'!$BG$5,IF(OR($G203="M (under 21)",$G203="Z (under 21 - deferment)"),'Input Data'!$BG$6,IF($G203="H (Apprentice under 25)",'Input Data'!$BG$7,'Input Data'!$BG$8))-'Input Data'!$BG$5),0)*VLOOKUP($G203,'Input Data'!$BI$3:$BL$10,3,FALSE),MAX((AF203-IF(OR($G203="M (under 21)",$G203="Z (under 21 - deferment)"),'Input Data'!$BG$6,IF($G203="H (Apprentice under 25)",'Input Data'!$BG$7,'Input Data'!$BG$8))),0)*VLOOKUP($G203,'Input Data'!$BI$3:$BL$10,4,FALSE))))</f>
        <v>0</v>
      </c>
      <c r="AO203" s="56">
        <f>IF($G203="",0,IF(NOT(OR($G203="A - All employees not in groups B, C, J, H, M or Z",$G203="B - Married women and widows entitled to reduced NI",$G203="C - Over the State Pension age",$G203="H - Apprentice under 25",$G203="J – Deferment",$G203="M - Under 21",$G203="Z - Deferment (Under 21)",$G203="Please Enter The NI Cont. in ££££")),$G203,SUM(MAX(MIN(AG203-'Input Data'!$BG$3,'Input Data'!$BG$5-'Input Data'!$BG$3),0)*VLOOKUP($G203,'Input Data'!$BI$3:$BL$10,2,FALSE),MAX(MIN(AG203-'Input Data'!$BG$5,IF(OR($G203="M (under 21)",$G203="Z (under 21 - deferment)"),'Input Data'!$BG$6,IF($G203="H (Apprentice under 25)",'Input Data'!$BG$7,'Input Data'!$BG$8))-'Input Data'!$BG$5),0)*VLOOKUP($G203,'Input Data'!$BI$3:$BL$10,3,FALSE),MAX((AG203-IF(OR($G203="M (under 21)",$G203="Z (under 21 - deferment)"),'Input Data'!$BG$6,IF($G203="H (Apprentice under 25)",'Input Data'!$BG$7,'Input Data'!$BG$8))),0)*VLOOKUP($G203,'Input Data'!$BI$3:$BL$10,4,FALSE))))</f>
        <v>0</v>
      </c>
      <c r="AP203" s="56">
        <f>IF($G203="",0,IF(NOT(OR($G203="A - All employees not in groups B, C, J, H, M or Z",$G203="B - Married women and widows entitled to reduced NI",$G203="C - Over the State Pension age",$G203="H - Apprentice under 25",$G203="J – Deferment",$G203="M - Under 21",$G203="Z - Deferment (Under 21)",$G203="Please Enter The NI Cont. in ££££")),$G203,SUM(MAX(MIN(AH203-'Input Data'!$BG$3,'Input Data'!$BG$5-'Input Data'!$BG$3),0)*VLOOKUP($G203,'Input Data'!$BI$3:$BL$10,2,FALSE),MAX(MIN(AH203-'Input Data'!$BG$5,IF(OR($G203="M (under 21)",$G203="Z (under 21 - deferment)"),'Input Data'!$BG$6,IF($G203="H (Apprentice under 25)",'Input Data'!$BG$7,'Input Data'!$BG$8))-'Input Data'!$BG$5),0)*VLOOKUP($G203,'Input Data'!$BI$3:$BL$10,3,FALSE),MAX((AH203-IF(OR($G203="M (under 21)",$G203="Z (under 21 - deferment)"),'Input Data'!$BG$6,IF($G203="H (Apprentice under 25)",'Input Data'!$BG$7,'Input Data'!$BG$8))),0)*VLOOKUP($G203,'Input Data'!$BI$3:$BL$10,4,FALSE))))</f>
        <v>0</v>
      </c>
      <c r="AQ203" s="56">
        <f>IF($G203="",0,IF(NOT(OR($G203="A - All employees not in groups B, C, J, H, M or Z",$G203="B - Married women and widows entitled to reduced NI",$G203="C - Over the State Pension age",$G203="H - Apprentice under 25",$G203="J – Deferment",$G203="M - Under 21",$G203="Z - Deferment (Under 21)",$G203="Please Enter The NI Cont. in ££££")),$G203,SUM(MAX(MIN(AI203-'Input Data'!$BG$3,'Input Data'!$BG$5-'Input Data'!$BG$3),0)*VLOOKUP($G203,'Input Data'!$BI$3:$BL$10,2,FALSE),MAX(MIN(AI203-'Input Data'!$BG$5,IF(OR($G203="M (under 21)",$G203="Z (under 21 - deferment)"),'Input Data'!$BG$6,IF($G203="H (Apprentice under 25)",'Input Data'!$BG$7,'Input Data'!$BG$8))-'Input Data'!$BG$5),0)*VLOOKUP($G203,'Input Data'!$BI$3:$BL$10,3,FALSE),MAX((AI203-IF(OR($G203="M (under 21)",$G203="Z (under 21 - deferment)"),'Input Data'!$BG$6,IF($G203="H (Apprentice under 25)",'Input Data'!$BG$7,'Input Data'!$BG$8))),0)*VLOOKUP($G203,'Input Data'!$BI$3:$BL$10,4,FALSE))))</f>
        <v>0</v>
      </c>
      <c r="AR203" s="56">
        <f>IF($G203="",0,IF(NOT(OR($G203="A - All employees not in groups B, C, J, H, M or Z",$G203="B - Married women and widows entitled to reduced NI",$G203="C - Over the State Pension age",$G203="H - Apprentice under 25",$G203="J – Deferment",$G203="M - Under 21",$G203="Z - Deferment (Under 21)",$G203="Please Enter The NI Cont. in ££££")),$G203,SUM(MAX(MIN(AJ203-'Input Data'!$BG$3,'Input Data'!$BG$5-'Input Data'!$BG$3),0)*VLOOKUP($G203,'Input Data'!$BI$3:$BL$10,2,FALSE),MAX(MIN(AJ203-'Input Data'!$BG$5,IF(OR($G203="M (under 21)",$G203="Z (under 21 - deferment)"),'Input Data'!$BG$6,IF($G203="H (Apprentice under 25)",'Input Data'!$BG$7,'Input Data'!$BG$8))-'Input Data'!$BG$5),0)*VLOOKUP($G203,'Input Data'!$BI$3:$BL$10,3,FALSE),MAX((AJ203-IF(OR($G203="M (under 21)",$G203="Z (under 21 - deferment)"),'Input Data'!$BG$6,IF($G203="H (Apprentice under 25)",'Input Data'!$BG$7,'Input Data'!$BG$8))),0)*VLOOKUP($G203,'Input Data'!$BI$3:$BL$10,4,FALSE))))</f>
        <v>0</v>
      </c>
      <c r="AS203" s="56">
        <f>AC203*$F203</f>
        <v>0</v>
      </c>
      <c r="AT203" s="56">
        <f>AD203*$F203</f>
        <v>0</v>
      </c>
      <c r="AU203" s="56">
        <f>AE203*$F203</f>
        <v>0</v>
      </c>
      <c r="AV203" s="56">
        <f>AF203*$F203</f>
        <v>0</v>
      </c>
      <c r="AW203" s="56">
        <f>AG203*$F203</f>
        <v>0</v>
      </c>
      <c r="AX203" s="56">
        <f>AH203*$F203</f>
        <v>0</v>
      </c>
      <c r="AY203" s="56">
        <f>AI203*$F203</f>
        <v>0</v>
      </c>
      <c r="AZ203" s="56">
        <f>AJ203*$F203</f>
        <v>0</v>
      </c>
    </row>
    <row r="204" spans="2:52" ht="25.5">
      <c r="B204" s="60"/>
      <c r="C204" s="57" t="s">
        <v>75</v>
      </c>
      <c r="D204" s="58"/>
      <c r="E204" s="58"/>
      <c r="F204" s="535"/>
      <c r="G204" s="693" t="s">
        <v>1149</v>
      </c>
      <c r="H204" s="65"/>
      <c r="I204" s="65"/>
      <c r="J204" s="65"/>
      <c r="K204" s="65"/>
      <c r="L204" s="65"/>
      <c r="M204" s="65"/>
      <c r="N204" s="65"/>
      <c r="O204" s="65"/>
      <c r="P204" s="29"/>
      <c r="Q204" s="597"/>
      <c r="R204" s="61"/>
      <c r="T204" s="43">
        <f>SUM(AC204,AK204,AS204)</f>
        <v>0</v>
      </c>
      <c r="U204" s="43">
        <f>SUM(AD204,AL204,AT204)</f>
        <v>0</v>
      </c>
      <c r="V204" s="43">
        <f>SUM(AE204,AM204,AU204)</f>
        <v>0</v>
      </c>
      <c r="W204" s="43">
        <f>SUM(AF204,AN204,AV204)</f>
        <v>0</v>
      </c>
      <c r="X204" s="43">
        <f>SUM(AG204,AO204,AW204)</f>
        <v>0</v>
      </c>
      <c r="Y204" s="43">
        <f>SUM(AH204,AP204,AX204)</f>
        <v>0</v>
      </c>
      <c r="Z204" s="43">
        <f>SUM(AI204,AQ204,AY204)</f>
        <v>0</v>
      </c>
      <c r="AA204" s="43">
        <f>SUM(AJ204,AR204,AZ204)</f>
        <v>0</v>
      </c>
      <c r="AC204" s="631">
        <f>SUM($D204:$E204)*H204</f>
        <v>0</v>
      </c>
      <c r="AD204" s="631">
        <f>SUM($D204:$E204)*I204</f>
        <v>0</v>
      </c>
      <c r="AE204" s="631">
        <f>SUM($D204:$E204)*J204</f>
        <v>0</v>
      </c>
      <c r="AF204" s="631">
        <f>SUM($D204:$E204)*K204</f>
        <v>0</v>
      </c>
      <c r="AG204" s="631">
        <f>SUM($D204:$E204)*L204</f>
        <v>0</v>
      </c>
      <c r="AH204" s="631">
        <f>SUM($D204:$E204)*M204</f>
        <v>0</v>
      </c>
      <c r="AI204" s="631">
        <f>SUM($D204:$E204)*N204</f>
        <v>0</v>
      </c>
      <c r="AJ204" s="631">
        <f>SUM($D204:$E204)*O204</f>
        <v>0</v>
      </c>
      <c r="AK204" s="56">
        <f>IF($G204="",0,IF(NOT(OR($G204="A - All employees not in groups B, C, J, H, M or Z",$G204="B - Married women and widows entitled to reduced NI",$G204="C - Over the State Pension age",$G204="H - Apprentice under 25",$G204="J – Deferment",$G204="M - Under 21",$G204="Z - Deferment (Under 21)",$G204="Please Enter The NI Cont. in ££££")),$G204,SUM(MAX(MIN(AC204-'Input Data'!$BG$3,'Input Data'!$BG$5-'Input Data'!$BG$3),0)*VLOOKUP($G204,'Input Data'!$BI$3:$BL$10,2,FALSE),MAX(MIN(AC204-'Input Data'!$BG$5,IF(OR($G204="M (under 21)",$G204="Z (under 21 - deferment)"),'Input Data'!$BG$6,IF($G204="H (Apprentice under 25)",'Input Data'!$BG$7,'Input Data'!$BG$8))-'Input Data'!$BG$5),0)*VLOOKUP($G204,'Input Data'!$BI$3:$BL$10,3,FALSE),MAX((AC204-IF(OR($G204="M (under 21)",$G204="Z (under 21 - deferment)"),'Input Data'!$BG$6,IF($G204="H (Apprentice under 25)",'Input Data'!$BG$7,'Input Data'!$BG$8))),0)*VLOOKUP($G204,'Input Data'!$BI$3:$BL$10,4,FALSE))))</f>
        <v>0</v>
      </c>
      <c r="AL204" s="56">
        <f>IF($G204="",0,IF(NOT(OR($G204="A - All employees not in groups B, C, J, H, M or Z",$G204="B - Married women and widows entitled to reduced NI",$G204="C - Over the State Pension age",$G204="H - Apprentice under 25",$G204="J – Deferment",$G204="M - Under 21",$G204="Z - Deferment (Under 21)",$G204="Please Enter The NI Cont. in ££££")),$G204,SUM(MAX(MIN(AD204-'Input Data'!$BG$3,'Input Data'!$BG$5-'Input Data'!$BG$3),0)*VLOOKUP($G204,'Input Data'!$BI$3:$BL$10,2,FALSE),MAX(MIN(AD204-'Input Data'!$BG$5,IF(OR($G204="M (under 21)",$G204="Z (under 21 - deferment)"),'Input Data'!$BG$6,IF($G204="H (Apprentice under 25)",'Input Data'!$BG$7,'Input Data'!$BG$8))-'Input Data'!$BG$5),0)*VLOOKUP($G204,'Input Data'!$BI$3:$BL$10,3,FALSE),MAX((AD204-IF(OR($G204="M (under 21)",$G204="Z (under 21 - deferment)"),'Input Data'!$BG$6,IF($G204="H (Apprentice under 25)",'Input Data'!$BG$7,'Input Data'!$BG$8))),0)*VLOOKUP($G204,'Input Data'!$BI$3:$BL$10,4,FALSE))))</f>
        <v>0</v>
      </c>
      <c r="AM204" s="56">
        <f>IF($G204="",0,IF(NOT(OR($G204="A - All employees not in groups B, C, J, H, M or Z",$G204="B - Married women and widows entitled to reduced NI",$G204="C - Over the State Pension age",$G204="H - Apprentice under 25",$G204="J – Deferment",$G204="M - Under 21",$G204="Z - Deferment (Under 21)",$G204="Please Enter The NI Cont. in ££££")),$G204,SUM(MAX(MIN(AE204-'Input Data'!$BG$3,'Input Data'!$BG$5-'Input Data'!$BG$3),0)*VLOOKUP($G204,'Input Data'!$BI$3:$BL$10,2,FALSE),MAX(MIN(AE204-'Input Data'!$BG$5,IF(OR($G204="M (under 21)",$G204="Z (under 21 - deferment)"),'Input Data'!$BG$6,IF($G204="H (Apprentice under 25)",'Input Data'!$BG$7,'Input Data'!$BG$8))-'Input Data'!$BG$5),0)*VLOOKUP($G204,'Input Data'!$BI$3:$BL$10,3,FALSE),MAX((AE204-IF(OR($G204="M (under 21)",$G204="Z (under 21 - deferment)"),'Input Data'!$BG$6,IF($G204="H (Apprentice under 25)",'Input Data'!$BG$7,'Input Data'!$BG$8))),0)*VLOOKUP($G204,'Input Data'!$BI$3:$BL$10,4,FALSE))))</f>
        <v>0</v>
      </c>
      <c r="AN204" s="56">
        <f>IF($G204="",0,IF(NOT(OR($G204="A - All employees not in groups B, C, J, H, M or Z",$G204="B - Married women and widows entitled to reduced NI",$G204="C - Over the State Pension age",$G204="H - Apprentice under 25",$G204="J – Deferment",$G204="M - Under 21",$G204="Z - Deferment (Under 21)",$G204="Please Enter The NI Cont. in ££££")),$G204,SUM(MAX(MIN(AF204-'Input Data'!$BG$3,'Input Data'!$BG$5-'Input Data'!$BG$3),0)*VLOOKUP($G204,'Input Data'!$BI$3:$BL$10,2,FALSE),MAX(MIN(AF204-'Input Data'!$BG$5,IF(OR($G204="M (under 21)",$G204="Z (under 21 - deferment)"),'Input Data'!$BG$6,IF($G204="H (Apprentice under 25)",'Input Data'!$BG$7,'Input Data'!$BG$8))-'Input Data'!$BG$5),0)*VLOOKUP($G204,'Input Data'!$BI$3:$BL$10,3,FALSE),MAX((AF204-IF(OR($G204="M (under 21)",$G204="Z (under 21 - deferment)"),'Input Data'!$BG$6,IF($G204="H (Apprentice under 25)",'Input Data'!$BG$7,'Input Data'!$BG$8))),0)*VLOOKUP($G204,'Input Data'!$BI$3:$BL$10,4,FALSE))))</f>
        <v>0</v>
      </c>
      <c r="AO204" s="56">
        <f>IF($G204="",0,IF(NOT(OR($G204="A - All employees not in groups B, C, J, H, M or Z",$G204="B - Married women and widows entitled to reduced NI",$G204="C - Over the State Pension age",$G204="H - Apprentice under 25",$G204="J – Deferment",$G204="M - Under 21",$G204="Z - Deferment (Under 21)",$G204="Please Enter The NI Cont. in ££££")),$G204,SUM(MAX(MIN(AG204-'Input Data'!$BG$3,'Input Data'!$BG$5-'Input Data'!$BG$3),0)*VLOOKUP($G204,'Input Data'!$BI$3:$BL$10,2,FALSE),MAX(MIN(AG204-'Input Data'!$BG$5,IF(OR($G204="M (under 21)",$G204="Z (under 21 - deferment)"),'Input Data'!$BG$6,IF($G204="H (Apprentice under 25)",'Input Data'!$BG$7,'Input Data'!$BG$8))-'Input Data'!$BG$5),0)*VLOOKUP($G204,'Input Data'!$BI$3:$BL$10,3,FALSE),MAX((AG204-IF(OR($G204="M (under 21)",$G204="Z (under 21 - deferment)"),'Input Data'!$BG$6,IF($G204="H (Apprentice under 25)",'Input Data'!$BG$7,'Input Data'!$BG$8))),0)*VLOOKUP($G204,'Input Data'!$BI$3:$BL$10,4,FALSE))))</f>
        <v>0</v>
      </c>
      <c r="AP204" s="56">
        <f>IF($G204="",0,IF(NOT(OR($G204="A - All employees not in groups B, C, J, H, M or Z",$G204="B - Married women and widows entitled to reduced NI",$G204="C - Over the State Pension age",$G204="H - Apprentice under 25",$G204="J – Deferment",$G204="M - Under 21",$G204="Z - Deferment (Under 21)",$G204="Please Enter The NI Cont. in ££££")),$G204,SUM(MAX(MIN(AH204-'Input Data'!$BG$3,'Input Data'!$BG$5-'Input Data'!$BG$3),0)*VLOOKUP($G204,'Input Data'!$BI$3:$BL$10,2,FALSE),MAX(MIN(AH204-'Input Data'!$BG$5,IF(OR($G204="M (under 21)",$G204="Z (under 21 - deferment)"),'Input Data'!$BG$6,IF($G204="H (Apprentice under 25)",'Input Data'!$BG$7,'Input Data'!$BG$8))-'Input Data'!$BG$5),0)*VLOOKUP($G204,'Input Data'!$BI$3:$BL$10,3,FALSE),MAX((AH204-IF(OR($G204="M (under 21)",$G204="Z (under 21 - deferment)"),'Input Data'!$BG$6,IF($G204="H (Apprentice under 25)",'Input Data'!$BG$7,'Input Data'!$BG$8))),0)*VLOOKUP($G204,'Input Data'!$BI$3:$BL$10,4,FALSE))))</f>
        <v>0</v>
      </c>
      <c r="AQ204" s="56">
        <f>IF($G204="",0,IF(NOT(OR($G204="A - All employees not in groups B, C, J, H, M or Z",$G204="B - Married women and widows entitled to reduced NI",$G204="C - Over the State Pension age",$G204="H - Apprentice under 25",$G204="J – Deferment",$G204="M - Under 21",$G204="Z - Deferment (Under 21)",$G204="Please Enter The NI Cont. in ££££")),$G204,SUM(MAX(MIN(AI204-'Input Data'!$BG$3,'Input Data'!$BG$5-'Input Data'!$BG$3),0)*VLOOKUP($G204,'Input Data'!$BI$3:$BL$10,2,FALSE),MAX(MIN(AI204-'Input Data'!$BG$5,IF(OR($G204="M (under 21)",$G204="Z (under 21 - deferment)"),'Input Data'!$BG$6,IF($G204="H (Apprentice under 25)",'Input Data'!$BG$7,'Input Data'!$BG$8))-'Input Data'!$BG$5),0)*VLOOKUP($G204,'Input Data'!$BI$3:$BL$10,3,FALSE),MAX((AI204-IF(OR($G204="M (under 21)",$G204="Z (under 21 - deferment)"),'Input Data'!$BG$6,IF($G204="H (Apprentice under 25)",'Input Data'!$BG$7,'Input Data'!$BG$8))),0)*VLOOKUP($G204,'Input Data'!$BI$3:$BL$10,4,FALSE))))</f>
        <v>0</v>
      </c>
      <c r="AR204" s="56">
        <f>IF($G204="",0,IF(NOT(OR($G204="A - All employees not in groups B, C, J, H, M or Z",$G204="B - Married women and widows entitled to reduced NI",$G204="C - Over the State Pension age",$G204="H - Apprentice under 25",$G204="J – Deferment",$G204="M - Under 21",$G204="Z - Deferment (Under 21)",$G204="Please Enter The NI Cont. in ££££")),$G204,SUM(MAX(MIN(AJ204-'Input Data'!$BG$3,'Input Data'!$BG$5-'Input Data'!$BG$3),0)*VLOOKUP($G204,'Input Data'!$BI$3:$BL$10,2,FALSE),MAX(MIN(AJ204-'Input Data'!$BG$5,IF(OR($G204="M (under 21)",$G204="Z (under 21 - deferment)"),'Input Data'!$BG$6,IF($G204="H (Apprentice under 25)",'Input Data'!$BG$7,'Input Data'!$BG$8))-'Input Data'!$BG$5),0)*VLOOKUP($G204,'Input Data'!$BI$3:$BL$10,3,FALSE),MAX((AJ204-IF(OR($G204="M (under 21)",$G204="Z (under 21 - deferment)"),'Input Data'!$BG$6,IF($G204="H (Apprentice under 25)",'Input Data'!$BG$7,'Input Data'!$BG$8))),0)*VLOOKUP($G204,'Input Data'!$BI$3:$BL$10,4,FALSE))))</f>
        <v>0</v>
      </c>
      <c r="AS204" s="56">
        <f>AC204*$F204</f>
        <v>0</v>
      </c>
      <c r="AT204" s="56">
        <f>AD204*$F204</f>
        <v>0</v>
      </c>
      <c r="AU204" s="56">
        <f>AE204*$F204</f>
        <v>0</v>
      </c>
      <c r="AV204" s="56">
        <f>AF204*$F204</f>
        <v>0</v>
      </c>
      <c r="AW204" s="56">
        <f>AG204*$F204</f>
        <v>0</v>
      </c>
      <c r="AX204" s="56">
        <f>AH204*$F204</f>
        <v>0</v>
      </c>
      <c r="AY204" s="56">
        <f>AI204*$F204</f>
        <v>0</v>
      </c>
      <c r="AZ204" s="56">
        <f>AJ204*$F204</f>
        <v>0</v>
      </c>
    </row>
    <row r="205" spans="2:52" ht="25.5">
      <c r="B205" s="60"/>
      <c r="C205" s="57" t="s">
        <v>76</v>
      </c>
      <c r="D205" s="58"/>
      <c r="E205" s="58"/>
      <c r="F205" s="535"/>
      <c r="G205" s="693" t="s">
        <v>1149</v>
      </c>
      <c r="H205" s="65"/>
      <c r="I205" s="65"/>
      <c r="J205" s="65"/>
      <c r="K205" s="65"/>
      <c r="L205" s="65"/>
      <c r="M205" s="65"/>
      <c r="N205" s="65"/>
      <c r="O205" s="65"/>
      <c r="P205" s="29"/>
      <c r="Q205" s="597"/>
      <c r="R205" s="61"/>
      <c r="T205" s="43">
        <f>SUM(AC205,AK205,AS205)</f>
        <v>0</v>
      </c>
      <c r="U205" s="43">
        <f>SUM(AD205,AL205,AT205)</f>
        <v>0</v>
      </c>
      <c r="V205" s="43">
        <f>SUM(AE205,AM205,AU205)</f>
        <v>0</v>
      </c>
      <c r="W205" s="43">
        <f>SUM(AF205,AN205,AV205)</f>
        <v>0</v>
      </c>
      <c r="X205" s="43">
        <f>SUM(AG205,AO205,AW205)</f>
        <v>0</v>
      </c>
      <c r="Y205" s="43">
        <f>SUM(AH205,AP205,AX205)</f>
        <v>0</v>
      </c>
      <c r="Z205" s="43">
        <f>SUM(AI205,AQ205,AY205)</f>
        <v>0</v>
      </c>
      <c r="AA205" s="43">
        <f>SUM(AJ205,AR205,AZ205)</f>
        <v>0</v>
      </c>
      <c r="AC205" s="631">
        <f>SUM($D205:$E205)*H205</f>
        <v>0</v>
      </c>
      <c r="AD205" s="631">
        <f>SUM($D205:$E205)*I205</f>
        <v>0</v>
      </c>
      <c r="AE205" s="631">
        <f>SUM($D205:$E205)*J205</f>
        <v>0</v>
      </c>
      <c r="AF205" s="631">
        <f>SUM($D205:$E205)*K205</f>
        <v>0</v>
      </c>
      <c r="AG205" s="631">
        <f>SUM($D205:$E205)*L205</f>
        <v>0</v>
      </c>
      <c r="AH205" s="631">
        <f>SUM($D205:$E205)*M205</f>
        <v>0</v>
      </c>
      <c r="AI205" s="631">
        <f>SUM($D205:$E205)*N205</f>
        <v>0</v>
      </c>
      <c r="AJ205" s="631">
        <f>SUM($D205:$E205)*O205</f>
        <v>0</v>
      </c>
      <c r="AK205" s="56">
        <f>IF($G205="",0,IF(NOT(OR($G205="A - All employees not in groups B, C, J, H, M or Z",$G205="B - Married women and widows entitled to reduced NI",$G205="C - Over the State Pension age",$G205="H - Apprentice under 25",$G205="J – Deferment",$G205="M - Under 21",$G205="Z - Deferment (Under 21)",$G205="Please Enter The NI Cont. in ££££")),$G205,SUM(MAX(MIN(AC205-'Input Data'!$BG$3,'Input Data'!$BG$5-'Input Data'!$BG$3),0)*VLOOKUP($G205,'Input Data'!$BI$3:$BL$10,2,FALSE),MAX(MIN(AC205-'Input Data'!$BG$5,IF(OR($G205="M (under 21)",$G205="Z (under 21 - deferment)"),'Input Data'!$BG$6,IF($G205="H (Apprentice under 25)",'Input Data'!$BG$7,'Input Data'!$BG$8))-'Input Data'!$BG$5),0)*VLOOKUP($G205,'Input Data'!$BI$3:$BL$10,3,FALSE),MAX((AC205-IF(OR($G205="M (under 21)",$G205="Z (under 21 - deferment)"),'Input Data'!$BG$6,IF($G205="H (Apprentice under 25)",'Input Data'!$BG$7,'Input Data'!$BG$8))),0)*VLOOKUP($G205,'Input Data'!$BI$3:$BL$10,4,FALSE))))</f>
        <v>0</v>
      </c>
      <c r="AL205" s="56">
        <f>IF($G205="",0,IF(NOT(OR($G205="A - All employees not in groups B, C, J, H, M or Z",$G205="B - Married women and widows entitled to reduced NI",$G205="C - Over the State Pension age",$G205="H - Apprentice under 25",$G205="J – Deferment",$G205="M - Under 21",$G205="Z - Deferment (Under 21)",$G205="Please Enter The NI Cont. in ££££")),$G205,SUM(MAX(MIN(AD205-'Input Data'!$BG$3,'Input Data'!$BG$5-'Input Data'!$BG$3),0)*VLOOKUP($G205,'Input Data'!$BI$3:$BL$10,2,FALSE),MAX(MIN(AD205-'Input Data'!$BG$5,IF(OR($G205="M (under 21)",$G205="Z (under 21 - deferment)"),'Input Data'!$BG$6,IF($G205="H (Apprentice under 25)",'Input Data'!$BG$7,'Input Data'!$BG$8))-'Input Data'!$BG$5),0)*VLOOKUP($G205,'Input Data'!$BI$3:$BL$10,3,FALSE),MAX((AD205-IF(OR($G205="M (under 21)",$G205="Z (under 21 - deferment)"),'Input Data'!$BG$6,IF($G205="H (Apprentice under 25)",'Input Data'!$BG$7,'Input Data'!$BG$8))),0)*VLOOKUP($G205,'Input Data'!$BI$3:$BL$10,4,FALSE))))</f>
        <v>0</v>
      </c>
      <c r="AM205" s="56">
        <f>IF($G205="",0,IF(NOT(OR($G205="A - All employees not in groups B, C, J, H, M or Z",$G205="B - Married women and widows entitled to reduced NI",$G205="C - Over the State Pension age",$G205="H - Apprentice under 25",$G205="J – Deferment",$G205="M - Under 21",$G205="Z - Deferment (Under 21)",$G205="Please Enter The NI Cont. in ££££")),$G205,SUM(MAX(MIN(AE205-'Input Data'!$BG$3,'Input Data'!$BG$5-'Input Data'!$BG$3),0)*VLOOKUP($G205,'Input Data'!$BI$3:$BL$10,2,FALSE),MAX(MIN(AE205-'Input Data'!$BG$5,IF(OR($G205="M (under 21)",$G205="Z (under 21 - deferment)"),'Input Data'!$BG$6,IF($G205="H (Apprentice under 25)",'Input Data'!$BG$7,'Input Data'!$BG$8))-'Input Data'!$BG$5),0)*VLOOKUP($G205,'Input Data'!$BI$3:$BL$10,3,FALSE),MAX((AE205-IF(OR($G205="M (under 21)",$G205="Z (under 21 - deferment)"),'Input Data'!$BG$6,IF($G205="H (Apprentice under 25)",'Input Data'!$BG$7,'Input Data'!$BG$8))),0)*VLOOKUP($G205,'Input Data'!$BI$3:$BL$10,4,FALSE))))</f>
        <v>0</v>
      </c>
      <c r="AN205" s="56">
        <f>IF($G205="",0,IF(NOT(OR($G205="A - All employees not in groups B, C, J, H, M or Z",$G205="B - Married women and widows entitled to reduced NI",$G205="C - Over the State Pension age",$G205="H - Apprentice under 25",$G205="J – Deferment",$G205="M - Under 21",$G205="Z - Deferment (Under 21)",$G205="Please Enter The NI Cont. in ££££")),$G205,SUM(MAX(MIN(AF205-'Input Data'!$BG$3,'Input Data'!$BG$5-'Input Data'!$BG$3),0)*VLOOKUP($G205,'Input Data'!$BI$3:$BL$10,2,FALSE),MAX(MIN(AF205-'Input Data'!$BG$5,IF(OR($G205="M (under 21)",$G205="Z (under 21 - deferment)"),'Input Data'!$BG$6,IF($G205="H (Apprentice under 25)",'Input Data'!$BG$7,'Input Data'!$BG$8))-'Input Data'!$BG$5),0)*VLOOKUP($G205,'Input Data'!$BI$3:$BL$10,3,FALSE),MAX((AF205-IF(OR($G205="M (under 21)",$G205="Z (under 21 - deferment)"),'Input Data'!$BG$6,IF($G205="H (Apprentice under 25)",'Input Data'!$BG$7,'Input Data'!$BG$8))),0)*VLOOKUP($G205,'Input Data'!$BI$3:$BL$10,4,FALSE))))</f>
        <v>0</v>
      </c>
      <c r="AO205" s="56">
        <f>IF($G205="",0,IF(NOT(OR($G205="A - All employees not in groups B, C, J, H, M or Z",$G205="B - Married women and widows entitled to reduced NI",$G205="C - Over the State Pension age",$G205="H - Apprentice under 25",$G205="J – Deferment",$G205="M - Under 21",$G205="Z - Deferment (Under 21)",$G205="Please Enter The NI Cont. in ££££")),$G205,SUM(MAX(MIN(AG205-'Input Data'!$BG$3,'Input Data'!$BG$5-'Input Data'!$BG$3),0)*VLOOKUP($G205,'Input Data'!$BI$3:$BL$10,2,FALSE),MAX(MIN(AG205-'Input Data'!$BG$5,IF(OR($G205="M (under 21)",$G205="Z (under 21 - deferment)"),'Input Data'!$BG$6,IF($G205="H (Apprentice under 25)",'Input Data'!$BG$7,'Input Data'!$BG$8))-'Input Data'!$BG$5),0)*VLOOKUP($G205,'Input Data'!$BI$3:$BL$10,3,FALSE),MAX((AG205-IF(OR($G205="M (under 21)",$G205="Z (under 21 - deferment)"),'Input Data'!$BG$6,IF($G205="H (Apprentice under 25)",'Input Data'!$BG$7,'Input Data'!$BG$8))),0)*VLOOKUP($G205,'Input Data'!$BI$3:$BL$10,4,FALSE))))</f>
        <v>0</v>
      </c>
      <c r="AP205" s="56">
        <f>IF($G205="",0,IF(NOT(OR($G205="A - All employees not in groups B, C, J, H, M or Z",$G205="B - Married women and widows entitled to reduced NI",$G205="C - Over the State Pension age",$G205="H - Apprentice under 25",$G205="J – Deferment",$G205="M - Under 21",$G205="Z - Deferment (Under 21)",$G205="Please Enter The NI Cont. in ££££")),$G205,SUM(MAX(MIN(AH205-'Input Data'!$BG$3,'Input Data'!$BG$5-'Input Data'!$BG$3),0)*VLOOKUP($G205,'Input Data'!$BI$3:$BL$10,2,FALSE),MAX(MIN(AH205-'Input Data'!$BG$5,IF(OR($G205="M (under 21)",$G205="Z (under 21 - deferment)"),'Input Data'!$BG$6,IF($G205="H (Apprentice under 25)",'Input Data'!$BG$7,'Input Data'!$BG$8))-'Input Data'!$BG$5),0)*VLOOKUP($G205,'Input Data'!$BI$3:$BL$10,3,FALSE),MAX((AH205-IF(OR($G205="M (under 21)",$G205="Z (under 21 - deferment)"),'Input Data'!$BG$6,IF($G205="H (Apprentice under 25)",'Input Data'!$BG$7,'Input Data'!$BG$8))),0)*VLOOKUP($G205,'Input Data'!$BI$3:$BL$10,4,FALSE))))</f>
        <v>0</v>
      </c>
      <c r="AQ205" s="56">
        <f>IF($G205="",0,IF(NOT(OR($G205="A - All employees not in groups B, C, J, H, M or Z",$G205="B - Married women and widows entitled to reduced NI",$G205="C - Over the State Pension age",$G205="H - Apprentice under 25",$G205="J – Deferment",$G205="M - Under 21",$G205="Z - Deferment (Under 21)",$G205="Please Enter The NI Cont. in ££££")),$G205,SUM(MAX(MIN(AI205-'Input Data'!$BG$3,'Input Data'!$BG$5-'Input Data'!$BG$3),0)*VLOOKUP($G205,'Input Data'!$BI$3:$BL$10,2,FALSE),MAX(MIN(AI205-'Input Data'!$BG$5,IF(OR($G205="M (under 21)",$G205="Z (under 21 - deferment)"),'Input Data'!$BG$6,IF($G205="H (Apprentice under 25)",'Input Data'!$BG$7,'Input Data'!$BG$8))-'Input Data'!$BG$5),0)*VLOOKUP($G205,'Input Data'!$BI$3:$BL$10,3,FALSE),MAX((AI205-IF(OR($G205="M (under 21)",$G205="Z (under 21 - deferment)"),'Input Data'!$BG$6,IF($G205="H (Apprentice under 25)",'Input Data'!$BG$7,'Input Data'!$BG$8))),0)*VLOOKUP($G205,'Input Data'!$BI$3:$BL$10,4,FALSE))))</f>
        <v>0</v>
      </c>
      <c r="AR205" s="56">
        <f>IF($G205="",0,IF(NOT(OR($G205="A - All employees not in groups B, C, J, H, M or Z",$G205="B - Married women and widows entitled to reduced NI",$G205="C - Over the State Pension age",$G205="H - Apprentice under 25",$G205="J – Deferment",$G205="M - Under 21",$G205="Z - Deferment (Under 21)",$G205="Please Enter The NI Cont. in ££££")),$G205,SUM(MAX(MIN(AJ205-'Input Data'!$BG$3,'Input Data'!$BG$5-'Input Data'!$BG$3),0)*VLOOKUP($G205,'Input Data'!$BI$3:$BL$10,2,FALSE),MAX(MIN(AJ205-'Input Data'!$BG$5,IF(OR($G205="M (under 21)",$G205="Z (under 21 - deferment)"),'Input Data'!$BG$6,IF($G205="H (Apprentice under 25)",'Input Data'!$BG$7,'Input Data'!$BG$8))-'Input Data'!$BG$5),0)*VLOOKUP($G205,'Input Data'!$BI$3:$BL$10,3,FALSE),MAX((AJ205-IF(OR($G205="M (under 21)",$G205="Z (under 21 - deferment)"),'Input Data'!$BG$6,IF($G205="H (Apprentice under 25)",'Input Data'!$BG$7,'Input Data'!$BG$8))),0)*VLOOKUP($G205,'Input Data'!$BI$3:$BL$10,4,FALSE))))</f>
        <v>0</v>
      </c>
      <c r="AS205" s="56">
        <f>AC205*$F205</f>
        <v>0</v>
      </c>
      <c r="AT205" s="56">
        <f>AD205*$F205</f>
        <v>0</v>
      </c>
      <c r="AU205" s="56">
        <f>AE205*$F205</f>
        <v>0</v>
      </c>
      <c r="AV205" s="56">
        <f>AF205*$F205</f>
        <v>0</v>
      </c>
      <c r="AW205" s="56">
        <f>AG205*$F205</f>
        <v>0</v>
      </c>
      <c r="AX205" s="56">
        <f>AH205*$F205</f>
        <v>0</v>
      </c>
      <c r="AY205" s="56">
        <f>AI205*$F205</f>
        <v>0</v>
      </c>
      <c r="AZ205" s="56">
        <f>AJ205*$F205</f>
        <v>0</v>
      </c>
    </row>
    <row r="206" spans="2:52" ht="25.5">
      <c r="B206" s="60"/>
      <c r="C206" s="57" t="s">
        <v>77</v>
      </c>
      <c r="D206" s="58"/>
      <c r="E206" s="58"/>
      <c r="F206" s="535"/>
      <c r="G206" s="693" t="s">
        <v>1149</v>
      </c>
      <c r="H206" s="65"/>
      <c r="I206" s="65"/>
      <c r="J206" s="65"/>
      <c r="K206" s="65"/>
      <c r="L206" s="65"/>
      <c r="M206" s="65"/>
      <c r="N206" s="65"/>
      <c r="O206" s="65"/>
      <c r="P206" s="29"/>
      <c r="Q206" s="597"/>
      <c r="R206" s="61"/>
      <c r="T206" s="43">
        <f>SUM(AC206,AK206,AS206)</f>
        <v>0</v>
      </c>
      <c r="U206" s="43">
        <f>SUM(AD206,AL206,AT206)</f>
        <v>0</v>
      </c>
      <c r="V206" s="43">
        <f>SUM(AE206,AM206,AU206)</f>
        <v>0</v>
      </c>
      <c r="W206" s="43">
        <f>SUM(AF206,AN206,AV206)</f>
        <v>0</v>
      </c>
      <c r="X206" s="43">
        <f>SUM(AG206,AO206,AW206)</f>
        <v>0</v>
      </c>
      <c r="Y206" s="43">
        <f>SUM(AH206,AP206,AX206)</f>
        <v>0</v>
      </c>
      <c r="Z206" s="43">
        <f>SUM(AI206,AQ206,AY206)</f>
        <v>0</v>
      </c>
      <c r="AA206" s="43">
        <f>SUM(AJ206,AR206,AZ206)</f>
        <v>0</v>
      </c>
      <c r="AC206" s="631">
        <f>SUM($D206:$E206)*H206</f>
        <v>0</v>
      </c>
      <c r="AD206" s="631">
        <f>SUM($D206:$E206)*I206</f>
        <v>0</v>
      </c>
      <c r="AE206" s="631">
        <f>SUM($D206:$E206)*J206</f>
        <v>0</v>
      </c>
      <c r="AF206" s="631">
        <f>SUM($D206:$E206)*K206</f>
        <v>0</v>
      </c>
      <c r="AG206" s="631">
        <f>SUM($D206:$E206)*L206</f>
        <v>0</v>
      </c>
      <c r="AH206" s="631">
        <f>SUM($D206:$E206)*M206</f>
        <v>0</v>
      </c>
      <c r="AI206" s="631">
        <f>SUM($D206:$E206)*N206</f>
        <v>0</v>
      </c>
      <c r="AJ206" s="631">
        <f>SUM($D206:$E206)*O206</f>
        <v>0</v>
      </c>
      <c r="AK206" s="56">
        <f>IF($G206="",0,IF(NOT(OR($G206="A - All employees not in groups B, C, J, H, M or Z",$G206="B - Married women and widows entitled to reduced NI",$G206="C - Over the State Pension age",$G206="H - Apprentice under 25",$G206="J – Deferment",$G206="M - Under 21",$G206="Z - Deferment (Under 21)",$G206="Please Enter The NI Cont. in ££££")),$G206,SUM(MAX(MIN(AC206-'Input Data'!$BG$3,'Input Data'!$BG$5-'Input Data'!$BG$3),0)*VLOOKUP($G206,'Input Data'!$BI$3:$BL$10,2,FALSE),MAX(MIN(AC206-'Input Data'!$BG$5,IF(OR($G206="M (under 21)",$G206="Z (under 21 - deferment)"),'Input Data'!$BG$6,IF($G206="H (Apprentice under 25)",'Input Data'!$BG$7,'Input Data'!$BG$8))-'Input Data'!$BG$5),0)*VLOOKUP($G206,'Input Data'!$BI$3:$BL$10,3,FALSE),MAX((AC206-IF(OR($G206="M (under 21)",$G206="Z (under 21 - deferment)"),'Input Data'!$BG$6,IF($G206="H (Apprentice under 25)",'Input Data'!$BG$7,'Input Data'!$BG$8))),0)*VLOOKUP($G206,'Input Data'!$BI$3:$BL$10,4,FALSE))))</f>
        <v>0</v>
      </c>
      <c r="AL206" s="56">
        <f>IF($G206="",0,IF(NOT(OR($G206="A - All employees not in groups B, C, J, H, M or Z",$G206="B - Married women and widows entitled to reduced NI",$G206="C - Over the State Pension age",$G206="H - Apprentice under 25",$G206="J – Deferment",$G206="M - Under 21",$G206="Z - Deferment (Under 21)",$G206="Please Enter The NI Cont. in ££££")),$G206,SUM(MAX(MIN(AD206-'Input Data'!$BG$3,'Input Data'!$BG$5-'Input Data'!$BG$3),0)*VLOOKUP($G206,'Input Data'!$BI$3:$BL$10,2,FALSE),MAX(MIN(AD206-'Input Data'!$BG$5,IF(OR($G206="M (under 21)",$G206="Z (under 21 - deferment)"),'Input Data'!$BG$6,IF($G206="H (Apprentice under 25)",'Input Data'!$BG$7,'Input Data'!$BG$8))-'Input Data'!$BG$5),0)*VLOOKUP($G206,'Input Data'!$BI$3:$BL$10,3,FALSE),MAX((AD206-IF(OR($G206="M (under 21)",$G206="Z (under 21 - deferment)"),'Input Data'!$BG$6,IF($G206="H (Apprentice under 25)",'Input Data'!$BG$7,'Input Data'!$BG$8))),0)*VLOOKUP($G206,'Input Data'!$BI$3:$BL$10,4,FALSE))))</f>
        <v>0</v>
      </c>
      <c r="AM206" s="56">
        <f>IF($G206="",0,IF(NOT(OR($G206="A - All employees not in groups B, C, J, H, M or Z",$G206="B - Married women and widows entitled to reduced NI",$G206="C - Over the State Pension age",$G206="H - Apprentice under 25",$G206="J – Deferment",$G206="M - Under 21",$G206="Z - Deferment (Under 21)",$G206="Please Enter The NI Cont. in ££££")),$G206,SUM(MAX(MIN(AE206-'Input Data'!$BG$3,'Input Data'!$BG$5-'Input Data'!$BG$3),0)*VLOOKUP($G206,'Input Data'!$BI$3:$BL$10,2,FALSE),MAX(MIN(AE206-'Input Data'!$BG$5,IF(OR($G206="M (under 21)",$G206="Z (under 21 - deferment)"),'Input Data'!$BG$6,IF($G206="H (Apprentice under 25)",'Input Data'!$BG$7,'Input Data'!$BG$8))-'Input Data'!$BG$5),0)*VLOOKUP($G206,'Input Data'!$BI$3:$BL$10,3,FALSE),MAX((AE206-IF(OR($G206="M (under 21)",$G206="Z (under 21 - deferment)"),'Input Data'!$BG$6,IF($G206="H (Apprentice under 25)",'Input Data'!$BG$7,'Input Data'!$BG$8))),0)*VLOOKUP($G206,'Input Data'!$BI$3:$BL$10,4,FALSE))))</f>
        <v>0</v>
      </c>
      <c r="AN206" s="56">
        <f>IF($G206="",0,IF(NOT(OR($G206="A - All employees not in groups B, C, J, H, M or Z",$G206="B - Married women and widows entitled to reduced NI",$G206="C - Over the State Pension age",$G206="H - Apprentice under 25",$G206="J – Deferment",$G206="M - Under 21",$G206="Z - Deferment (Under 21)",$G206="Please Enter The NI Cont. in ££££")),$G206,SUM(MAX(MIN(AF206-'Input Data'!$BG$3,'Input Data'!$BG$5-'Input Data'!$BG$3),0)*VLOOKUP($G206,'Input Data'!$BI$3:$BL$10,2,FALSE),MAX(MIN(AF206-'Input Data'!$BG$5,IF(OR($G206="M (under 21)",$G206="Z (under 21 - deferment)"),'Input Data'!$BG$6,IF($G206="H (Apprentice under 25)",'Input Data'!$BG$7,'Input Data'!$BG$8))-'Input Data'!$BG$5),0)*VLOOKUP($G206,'Input Data'!$BI$3:$BL$10,3,FALSE),MAX((AF206-IF(OR($G206="M (under 21)",$G206="Z (under 21 - deferment)"),'Input Data'!$BG$6,IF($G206="H (Apprentice under 25)",'Input Data'!$BG$7,'Input Data'!$BG$8))),0)*VLOOKUP($G206,'Input Data'!$BI$3:$BL$10,4,FALSE))))</f>
        <v>0</v>
      </c>
      <c r="AO206" s="56">
        <f>IF($G206="",0,IF(NOT(OR($G206="A - All employees not in groups B, C, J, H, M or Z",$G206="B - Married women and widows entitled to reduced NI",$G206="C - Over the State Pension age",$G206="H - Apprentice under 25",$G206="J – Deferment",$G206="M - Under 21",$G206="Z - Deferment (Under 21)",$G206="Please Enter The NI Cont. in ££££")),$G206,SUM(MAX(MIN(AG206-'Input Data'!$BG$3,'Input Data'!$BG$5-'Input Data'!$BG$3),0)*VLOOKUP($G206,'Input Data'!$BI$3:$BL$10,2,FALSE),MAX(MIN(AG206-'Input Data'!$BG$5,IF(OR($G206="M (under 21)",$G206="Z (under 21 - deferment)"),'Input Data'!$BG$6,IF($G206="H (Apprentice under 25)",'Input Data'!$BG$7,'Input Data'!$BG$8))-'Input Data'!$BG$5),0)*VLOOKUP($G206,'Input Data'!$BI$3:$BL$10,3,FALSE),MAX((AG206-IF(OR($G206="M (under 21)",$G206="Z (under 21 - deferment)"),'Input Data'!$BG$6,IF($G206="H (Apprentice under 25)",'Input Data'!$BG$7,'Input Data'!$BG$8))),0)*VLOOKUP($G206,'Input Data'!$BI$3:$BL$10,4,FALSE))))</f>
        <v>0</v>
      </c>
      <c r="AP206" s="56">
        <f>IF($G206="",0,IF(NOT(OR($G206="A - All employees not in groups B, C, J, H, M or Z",$G206="B - Married women and widows entitled to reduced NI",$G206="C - Over the State Pension age",$G206="H - Apprentice under 25",$G206="J – Deferment",$G206="M - Under 21",$G206="Z - Deferment (Under 21)",$G206="Please Enter The NI Cont. in ££££")),$G206,SUM(MAX(MIN(AH206-'Input Data'!$BG$3,'Input Data'!$BG$5-'Input Data'!$BG$3),0)*VLOOKUP($G206,'Input Data'!$BI$3:$BL$10,2,FALSE),MAX(MIN(AH206-'Input Data'!$BG$5,IF(OR($G206="M (under 21)",$G206="Z (under 21 - deferment)"),'Input Data'!$BG$6,IF($G206="H (Apprentice under 25)",'Input Data'!$BG$7,'Input Data'!$BG$8))-'Input Data'!$BG$5),0)*VLOOKUP($G206,'Input Data'!$BI$3:$BL$10,3,FALSE),MAX((AH206-IF(OR($G206="M (under 21)",$G206="Z (under 21 - deferment)"),'Input Data'!$BG$6,IF($G206="H (Apprentice under 25)",'Input Data'!$BG$7,'Input Data'!$BG$8))),0)*VLOOKUP($G206,'Input Data'!$BI$3:$BL$10,4,FALSE))))</f>
        <v>0</v>
      </c>
      <c r="AQ206" s="56">
        <f>IF($G206="",0,IF(NOT(OR($G206="A - All employees not in groups B, C, J, H, M or Z",$G206="B - Married women and widows entitled to reduced NI",$G206="C - Over the State Pension age",$G206="H - Apprentice under 25",$G206="J – Deferment",$G206="M - Under 21",$G206="Z - Deferment (Under 21)",$G206="Please Enter The NI Cont. in ££££")),$G206,SUM(MAX(MIN(AI206-'Input Data'!$BG$3,'Input Data'!$BG$5-'Input Data'!$BG$3),0)*VLOOKUP($G206,'Input Data'!$BI$3:$BL$10,2,FALSE),MAX(MIN(AI206-'Input Data'!$BG$5,IF(OR($G206="M (under 21)",$G206="Z (under 21 - deferment)"),'Input Data'!$BG$6,IF($G206="H (Apprentice under 25)",'Input Data'!$BG$7,'Input Data'!$BG$8))-'Input Data'!$BG$5),0)*VLOOKUP($G206,'Input Data'!$BI$3:$BL$10,3,FALSE),MAX((AI206-IF(OR($G206="M (under 21)",$G206="Z (under 21 - deferment)"),'Input Data'!$BG$6,IF($G206="H (Apprentice under 25)",'Input Data'!$BG$7,'Input Data'!$BG$8))),0)*VLOOKUP($G206,'Input Data'!$BI$3:$BL$10,4,FALSE))))</f>
        <v>0</v>
      </c>
      <c r="AR206" s="56">
        <f>IF($G206="",0,IF(NOT(OR($G206="A - All employees not in groups B, C, J, H, M or Z",$G206="B - Married women and widows entitled to reduced NI",$G206="C - Over the State Pension age",$G206="H - Apprentice under 25",$G206="J – Deferment",$G206="M - Under 21",$G206="Z - Deferment (Under 21)",$G206="Please Enter The NI Cont. in ££££")),$G206,SUM(MAX(MIN(AJ206-'Input Data'!$BG$3,'Input Data'!$BG$5-'Input Data'!$BG$3),0)*VLOOKUP($G206,'Input Data'!$BI$3:$BL$10,2,FALSE),MAX(MIN(AJ206-'Input Data'!$BG$5,IF(OR($G206="M (under 21)",$G206="Z (under 21 - deferment)"),'Input Data'!$BG$6,IF($G206="H (Apprentice under 25)",'Input Data'!$BG$7,'Input Data'!$BG$8))-'Input Data'!$BG$5),0)*VLOOKUP($G206,'Input Data'!$BI$3:$BL$10,3,FALSE),MAX((AJ206-IF(OR($G206="M (under 21)",$G206="Z (under 21 - deferment)"),'Input Data'!$BG$6,IF($G206="H (Apprentice under 25)",'Input Data'!$BG$7,'Input Data'!$BG$8))),0)*VLOOKUP($G206,'Input Data'!$BI$3:$BL$10,4,FALSE))))</f>
        <v>0</v>
      </c>
      <c r="AS206" s="56">
        <f>AC206*$F206</f>
        <v>0</v>
      </c>
      <c r="AT206" s="56">
        <f>AD206*$F206</f>
        <v>0</v>
      </c>
      <c r="AU206" s="56">
        <f>AE206*$F206</f>
        <v>0</v>
      </c>
      <c r="AV206" s="56">
        <f>AF206*$F206</f>
        <v>0</v>
      </c>
      <c r="AW206" s="56">
        <f>AG206*$F206</f>
        <v>0</v>
      </c>
      <c r="AX206" s="56">
        <f>AH206*$F206</f>
        <v>0</v>
      </c>
      <c r="AY206" s="56">
        <f>AI206*$F206</f>
        <v>0</v>
      </c>
      <c r="AZ206" s="56">
        <f>AJ206*$F206</f>
        <v>0</v>
      </c>
    </row>
    <row r="207" spans="2:52" ht="25.5">
      <c r="B207" s="60"/>
      <c r="C207" s="57" t="s">
        <v>78</v>
      </c>
      <c r="D207" s="58"/>
      <c r="E207" s="58"/>
      <c r="F207" s="535"/>
      <c r="G207" s="693" t="s">
        <v>1149</v>
      </c>
      <c r="H207" s="65"/>
      <c r="I207" s="65"/>
      <c r="J207" s="65"/>
      <c r="K207" s="65"/>
      <c r="L207" s="65"/>
      <c r="M207" s="65"/>
      <c r="N207" s="65"/>
      <c r="O207" s="65"/>
      <c r="P207" s="29"/>
      <c r="Q207" s="597"/>
      <c r="R207" s="61"/>
      <c r="T207" s="43">
        <f>SUM(AC207,AK207,AS207)</f>
        <v>0</v>
      </c>
      <c r="U207" s="43">
        <f>SUM(AD207,AL207,AT207)</f>
        <v>0</v>
      </c>
      <c r="V207" s="43">
        <f>SUM(AE207,AM207,AU207)</f>
        <v>0</v>
      </c>
      <c r="W207" s="43">
        <f>SUM(AF207,AN207,AV207)</f>
        <v>0</v>
      </c>
      <c r="X207" s="43">
        <f>SUM(AG207,AO207,AW207)</f>
        <v>0</v>
      </c>
      <c r="Y207" s="43">
        <f>SUM(AH207,AP207,AX207)</f>
        <v>0</v>
      </c>
      <c r="Z207" s="43">
        <f>SUM(AI207,AQ207,AY207)</f>
        <v>0</v>
      </c>
      <c r="AA207" s="43">
        <f>SUM(AJ207,AR207,AZ207)</f>
        <v>0</v>
      </c>
      <c r="AC207" s="631">
        <f>SUM($D207:$E207)*H207</f>
        <v>0</v>
      </c>
      <c r="AD207" s="631">
        <f>SUM($D207:$E207)*I207</f>
        <v>0</v>
      </c>
      <c r="AE207" s="631">
        <f>SUM($D207:$E207)*J207</f>
        <v>0</v>
      </c>
      <c r="AF207" s="631">
        <f>SUM($D207:$E207)*K207</f>
        <v>0</v>
      </c>
      <c r="AG207" s="631">
        <f>SUM($D207:$E207)*L207</f>
        <v>0</v>
      </c>
      <c r="AH207" s="631">
        <f>SUM($D207:$E207)*M207</f>
        <v>0</v>
      </c>
      <c r="AI207" s="631">
        <f>SUM($D207:$E207)*N207</f>
        <v>0</v>
      </c>
      <c r="AJ207" s="631">
        <f>SUM($D207:$E207)*O207</f>
        <v>0</v>
      </c>
      <c r="AK207" s="56">
        <f>IF($G207="",0,IF(NOT(OR($G207="A - All employees not in groups B, C, J, H, M or Z",$G207="B - Married women and widows entitled to reduced NI",$G207="C - Over the State Pension age",$G207="H - Apprentice under 25",$G207="J – Deferment",$G207="M - Under 21",$G207="Z - Deferment (Under 21)",$G207="Please Enter The NI Cont. in ££££")),$G207,SUM(MAX(MIN(AC207-'Input Data'!$BG$3,'Input Data'!$BG$5-'Input Data'!$BG$3),0)*VLOOKUP($G207,'Input Data'!$BI$3:$BL$10,2,FALSE),MAX(MIN(AC207-'Input Data'!$BG$5,IF(OR($G207="M (under 21)",$G207="Z (under 21 - deferment)"),'Input Data'!$BG$6,IF($G207="H (Apprentice under 25)",'Input Data'!$BG$7,'Input Data'!$BG$8))-'Input Data'!$BG$5),0)*VLOOKUP($G207,'Input Data'!$BI$3:$BL$10,3,FALSE),MAX((AC207-IF(OR($G207="M (under 21)",$G207="Z (under 21 - deferment)"),'Input Data'!$BG$6,IF($G207="H (Apprentice under 25)",'Input Data'!$BG$7,'Input Data'!$BG$8))),0)*VLOOKUP($G207,'Input Data'!$BI$3:$BL$10,4,FALSE))))</f>
        <v>0</v>
      </c>
      <c r="AL207" s="56">
        <f>IF($G207="",0,IF(NOT(OR($G207="A - All employees not in groups B, C, J, H, M or Z",$G207="B - Married women and widows entitled to reduced NI",$G207="C - Over the State Pension age",$G207="H - Apprentice under 25",$G207="J – Deferment",$G207="M - Under 21",$G207="Z - Deferment (Under 21)",$G207="Please Enter The NI Cont. in ££££")),$G207,SUM(MAX(MIN(AD207-'Input Data'!$BG$3,'Input Data'!$BG$5-'Input Data'!$BG$3),0)*VLOOKUP($G207,'Input Data'!$BI$3:$BL$10,2,FALSE),MAX(MIN(AD207-'Input Data'!$BG$5,IF(OR($G207="M (under 21)",$G207="Z (under 21 - deferment)"),'Input Data'!$BG$6,IF($G207="H (Apprentice under 25)",'Input Data'!$BG$7,'Input Data'!$BG$8))-'Input Data'!$BG$5),0)*VLOOKUP($G207,'Input Data'!$BI$3:$BL$10,3,FALSE),MAX((AD207-IF(OR($G207="M (under 21)",$G207="Z (under 21 - deferment)"),'Input Data'!$BG$6,IF($G207="H (Apprentice under 25)",'Input Data'!$BG$7,'Input Data'!$BG$8))),0)*VLOOKUP($G207,'Input Data'!$BI$3:$BL$10,4,FALSE))))</f>
        <v>0</v>
      </c>
      <c r="AM207" s="56">
        <f>IF($G207="",0,IF(NOT(OR($G207="A - All employees not in groups B, C, J, H, M or Z",$G207="B - Married women and widows entitled to reduced NI",$G207="C - Over the State Pension age",$G207="H - Apprentice under 25",$G207="J – Deferment",$G207="M - Under 21",$G207="Z - Deferment (Under 21)",$G207="Please Enter The NI Cont. in ££££")),$G207,SUM(MAX(MIN(AE207-'Input Data'!$BG$3,'Input Data'!$BG$5-'Input Data'!$BG$3),0)*VLOOKUP($G207,'Input Data'!$BI$3:$BL$10,2,FALSE),MAX(MIN(AE207-'Input Data'!$BG$5,IF(OR($G207="M (under 21)",$G207="Z (under 21 - deferment)"),'Input Data'!$BG$6,IF($G207="H (Apprentice under 25)",'Input Data'!$BG$7,'Input Data'!$BG$8))-'Input Data'!$BG$5),0)*VLOOKUP($G207,'Input Data'!$BI$3:$BL$10,3,FALSE),MAX((AE207-IF(OR($G207="M (under 21)",$G207="Z (under 21 - deferment)"),'Input Data'!$BG$6,IF($G207="H (Apprentice under 25)",'Input Data'!$BG$7,'Input Data'!$BG$8))),0)*VLOOKUP($G207,'Input Data'!$BI$3:$BL$10,4,FALSE))))</f>
        <v>0</v>
      </c>
      <c r="AN207" s="56">
        <f>IF($G207="",0,IF(NOT(OR($G207="A - All employees not in groups B, C, J, H, M or Z",$G207="B - Married women and widows entitled to reduced NI",$G207="C - Over the State Pension age",$G207="H - Apprentice under 25",$G207="J – Deferment",$G207="M - Under 21",$G207="Z - Deferment (Under 21)",$G207="Please Enter The NI Cont. in ££££")),$G207,SUM(MAX(MIN(AF207-'Input Data'!$BG$3,'Input Data'!$BG$5-'Input Data'!$BG$3),0)*VLOOKUP($G207,'Input Data'!$BI$3:$BL$10,2,FALSE),MAX(MIN(AF207-'Input Data'!$BG$5,IF(OR($G207="M (under 21)",$G207="Z (under 21 - deferment)"),'Input Data'!$BG$6,IF($G207="H (Apprentice under 25)",'Input Data'!$BG$7,'Input Data'!$BG$8))-'Input Data'!$BG$5),0)*VLOOKUP($G207,'Input Data'!$BI$3:$BL$10,3,FALSE),MAX((AF207-IF(OR($G207="M (under 21)",$G207="Z (under 21 - deferment)"),'Input Data'!$BG$6,IF($G207="H (Apprentice under 25)",'Input Data'!$BG$7,'Input Data'!$BG$8))),0)*VLOOKUP($G207,'Input Data'!$BI$3:$BL$10,4,FALSE))))</f>
        <v>0</v>
      </c>
      <c r="AO207" s="56">
        <f>IF($G207="",0,IF(NOT(OR($G207="A - All employees not in groups B, C, J, H, M or Z",$G207="B - Married women and widows entitled to reduced NI",$G207="C - Over the State Pension age",$G207="H - Apprentice under 25",$G207="J – Deferment",$G207="M - Under 21",$G207="Z - Deferment (Under 21)",$G207="Please Enter The NI Cont. in ££££")),$G207,SUM(MAX(MIN(AG207-'Input Data'!$BG$3,'Input Data'!$BG$5-'Input Data'!$BG$3),0)*VLOOKUP($G207,'Input Data'!$BI$3:$BL$10,2,FALSE),MAX(MIN(AG207-'Input Data'!$BG$5,IF(OR($G207="M (under 21)",$G207="Z (under 21 - deferment)"),'Input Data'!$BG$6,IF($G207="H (Apprentice under 25)",'Input Data'!$BG$7,'Input Data'!$BG$8))-'Input Data'!$BG$5),0)*VLOOKUP($G207,'Input Data'!$BI$3:$BL$10,3,FALSE),MAX((AG207-IF(OR($G207="M (under 21)",$G207="Z (under 21 - deferment)"),'Input Data'!$BG$6,IF($G207="H (Apprentice under 25)",'Input Data'!$BG$7,'Input Data'!$BG$8))),0)*VLOOKUP($G207,'Input Data'!$BI$3:$BL$10,4,FALSE))))</f>
        <v>0</v>
      </c>
      <c r="AP207" s="56">
        <f>IF($G207="",0,IF(NOT(OR($G207="A - All employees not in groups B, C, J, H, M or Z",$G207="B - Married women and widows entitled to reduced NI",$G207="C - Over the State Pension age",$G207="H - Apprentice under 25",$G207="J – Deferment",$G207="M - Under 21",$G207="Z - Deferment (Under 21)",$G207="Please Enter The NI Cont. in ££££")),$G207,SUM(MAX(MIN(AH207-'Input Data'!$BG$3,'Input Data'!$BG$5-'Input Data'!$BG$3),0)*VLOOKUP($G207,'Input Data'!$BI$3:$BL$10,2,FALSE),MAX(MIN(AH207-'Input Data'!$BG$5,IF(OR($G207="M (under 21)",$G207="Z (under 21 - deferment)"),'Input Data'!$BG$6,IF($G207="H (Apprentice under 25)",'Input Data'!$BG$7,'Input Data'!$BG$8))-'Input Data'!$BG$5),0)*VLOOKUP($G207,'Input Data'!$BI$3:$BL$10,3,FALSE),MAX((AH207-IF(OR($G207="M (under 21)",$G207="Z (under 21 - deferment)"),'Input Data'!$BG$6,IF($G207="H (Apprentice under 25)",'Input Data'!$BG$7,'Input Data'!$BG$8))),0)*VLOOKUP($G207,'Input Data'!$BI$3:$BL$10,4,FALSE))))</f>
        <v>0</v>
      </c>
      <c r="AQ207" s="56">
        <f>IF($G207="",0,IF(NOT(OR($G207="A - All employees not in groups B, C, J, H, M or Z",$G207="B - Married women and widows entitled to reduced NI",$G207="C - Over the State Pension age",$G207="H - Apprentice under 25",$G207="J – Deferment",$G207="M - Under 21",$G207="Z - Deferment (Under 21)",$G207="Please Enter The NI Cont. in ££££")),$G207,SUM(MAX(MIN(AI207-'Input Data'!$BG$3,'Input Data'!$BG$5-'Input Data'!$BG$3),0)*VLOOKUP($G207,'Input Data'!$BI$3:$BL$10,2,FALSE),MAX(MIN(AI207-'Input Data'!$BG$5,IF(OR($G207="M (under 21)",$G207="Z (under 21 - deferment)"),'Input Data'!$BG$6,IF($G207="H (Apprentice under 25)",'Input Data'!$BG$7,'Input Data'!$BG$8))-'Input Data'!$BG$5),0)*VLOOKUP($G207,'Input Data'!$BI$3:$BL$10,3,FALSE),MAX((AI207-IF(OR($G207="M (under 21)",$G207="Z (under 21 - deferment)"),'Input Data'!$BG$6,IF($G207="H (Apprentice under 25)",'Input Data'!$BG$7,'Input Data'!$BG$8))),0)*VLOOKUP($G207,'Input Data'!$BI$3:$BL$10,4,FALSE))))</f>
        <v>0</v>
      </c>
      <c r="AR207" s="56">
        <f>IF($G207="",0,IF(NOT(OR($G207="A - All employees not in groups B, C, J, H, M or Z",$G207="B - Married women and widows entitled to reduced NI",$G207="C - Over the State Pension age",$G207="H - Apprentice under 25",$G207="J – Deferment",$G207="M - Under 21",$G207="Z - Deferment (Under 21)",$G207="Please Enter The NI Cont. in ££££")),$G207,SUM(MAX(MIN(AJ207-'Input Data'!$BG$3,'Input Data'!$BG$5-'Input Data'!$BG$3),0)*VLOOKUP($G207,'Input Data'!$BI$3:$BL$10,2,FALSE),MAX(MIN(AJ207-'Input Data'!$BG$5,IF(OR($G207="M (under 21)",$G207="Z (under 21 - deferment)"),'Input Data'!$BG$6,IF($G207="H (Apprentice under 25)",'Input Data'!$BG$7,'Input Data'!$BG$8))-'Input Data'!$BG$5),0)*VLOOKUP($G207,'Input Data'!$BI$3:$BL$10,3,FALSE),MAX((AJ207-IF(OR($G207="M (under 21)",$G207="Z (under 21 - deferment)"),'Input Data'!$BG$6,IF($G207="H (Apprentice under 25)",'Input Data'!$BG$7,'Input Data'!$BG$8))),0)*VLOOKUP($G207,'Input Data'!$BI$3:$BL$10,4,FALSE))))</f>
        <v>0</v>
      </c>
      <c r="AS207" s="56">
        <f>AC207*$F207</f>
        <v>0</v>
      </c>
      <c r="AT207" s="56">
        <f>AD207*$F207</f>
        <v>0</v>
      </c>
      <c r="AU207" s="56">
        <f>AE207*$F207</f>
        <v>0</v>
      </c>
      <c r="AV207" s="56">
        <f>AF207*$F207</f>
        <v>0</v>
      </c>
      <c r="AW207" s="56">
        <f>AG207*$F207</f>
        <v>0</v>
      </c>
      <c r="AX207" s="56">
        <f>AH207*$F207</f>
        <v>0</v>
      </c>
      <c r="AY207" s="56">
        <f>AI207*$F207</f>
        <v>0</v>
      </c>
      <c r="AZ207" s="56">
        <f>AJ207*$F207</f>
        <v>0</v>
      </c>
    </row>
    <row r="208" spans="2:52" ht="25.5">
      <c r="B208" s="60"/>
      <c r="C208" s="57" t="s">
        <v>79</v>
      </c>
      <c r="D208" s="58"/>
      <c r="E208" s="58"/>
      <c r="F208" s="535"/>
      <c r="G208" s="693" t="s">
        <v>1149</v>
      </c>
      <c r="H208" s="65"/>
      <c r="I208" s="65"/>
      <c r="J208" s="65"/>
      <c r="K208" s="65"/>
      <c r="L208" s="65"/>
      <c r="M208" s="65"/>
      <c r="N208" s="65"/>
      <c r="O208" s="65"/>
      <c r="P208" s="29"/>
      <c r="Q208" s="597"/>
      <c r="R208" s="61"/>
      <c r="T208" s="43">
        <f>SUM(AC208,AK208,AS208)</f>
        <v>0</v>
      </c>
      <c r="U208" s="43">
        <f>SUM(AD208,AL208,AT208)</f>
        <v>0</v>
      </c>
      <c r="V208" s="43">
        <f>SUM(AE208,AM208,AU208)</f>
        <v>0</v>
      </c>
      <c r="W208" s="43">
        <f>SUM(AF208,AN208,AV208)</f>
        <v>0</v>
      </c>
      <c r="X208" s="43">
        <f>SUM(AG208,AO208,AW208)</f>
        <v>0</v>
      </c>
      <c r="Y208" s="43">
        <f>SUM(AH208,AP208,AX208)</f>
        <v>0</v>
      </c>
      <c r="Z208" s="43">
        <f>SUM(AI208,AQ208,AY208)</f>
        <v>0</v>
      </c>
      <c r="AA208" s="43">
        <f>SUM(AJ208,AR208,AZ208)</f>
        <v>0</v>
      </c>
      <c r="AC208" s="631">
        <f>SUM($D208:$E208)*H208</f>
        <v>0</v>
      </c>
      <c r="AD208" s="631">
        <f>SUM($D208:$E208)*I208</f>
        <v>0</v>
      </c>
      <c r="AE208" s="631">
        <f>SUM($D208:$E208)*J208</f>
        <v>0</v>
      </c>
      <c r="AF208" s="631">
        <f>SUM($D208:$E208)*K208</f>
        <v>0</v>
      </c>
      <c r="AG208" s="631">
        <f>SUM($D208:$E208)*L208</f>
        <v>0</v>
      </c>
      <c r="AH208" s="631">
        <f>SUM($D208:$E208)*M208</f>
        <v>0</v>
      </c>
      <c r="AI208" s="631">
        <f>SUM($D208:$E208)*N208</f>
        <v>0</v>
      </c>
      <c r="AJ208" s="631">
        <f>SUM($D208:$E208)*O208</f>
        <v>0</v>
      </c>
      <c r="AK208" s="56">
        <f>IF($G208="",0,IF(NOT(OR($G208="A - All employees not in groups B, C, J, H, M or Z",$G208="B - Married women and widows entitled to reduced NI",$G208="C - Over the State Pension age",$G208="H - Apprentice under 25",$G208="J – Deferment",$G208="M - Under 21",$G208="Z - Deferment (Under 21)",$G208="Please Enter The NI Cont. in ££££")),$G208,SUM(MAX(MIN(AC208-'Input Data'!$BG$3,'Input Data'!$BG$5-'Input Data'!$BG$3),0)*VLOOKUP($G208,'Input Data'!$BI$3:$BL$10,2,FALSE),MAX(MIN(AC208-'Input Data'!$BG$5,IF(OR($G208="M (under 21)",$G208="Z (under 21 - deferment)"),'Input Data'!$BG$6,IF($G208="H (Apprentice under 25)",'Input Data'!$BG$7,'Input Data'!$BG$8))-'Input Data'!$BG$5),0)*VLOOKUP($G208,'Input Data'!$BI$3:$BL$10,3,FALSE),MAX((AC208-IF(OR($G208="M (under 21)",$G208="Z (under 21 - deferment)"),'Input Data'!$BG$6,IF($G208="H (Apprentice under 25)",'Input Data'!$BG$7,'Input Data'!$BG$8))),0)*VLOOKUP($G208,'Input Data'!$BI$3:$BL$10,4,FALSE))))</f>
        <v>0</v>
      </c>
      <c r="AL208" s="56">
        <f>IF($G208="",0,IF(NOT(OR($G208="A - All employees not in groups B, C, J, H, M or Z",$G208="B - Married women and widows entitled to reduced NI",$G208="C - Over the State Pension age",$G208="H - Apprentice under 25",$G208="J – Deferment",$G208="M - Under 21",$G208="Z - Deferment (Under 21)",$G208="Please Enter The NI Cont. in ££££")),$G208,SUM(MAX(MIN(AD208-'Input Data'!$BG$3,'Input Data'!$BG$5-'Input Data'!$BG$3),0)*VLOOKUP($G208,'Input Data'!$BI$3:$BL$10,2,FALSE),MAX(MIN(AD208-'Input Data'!$BG$5,IF(OR($G208="M (under 21)",$G208="Z (under 21 - deferment)"),'Input Data'!$BG$6,IF($G208="H (Apprentice under 25)",'Input Data'!$BG$7,'Input Data'!$BG$8))-'Input Data'!$BG$5),0)*VLOOKUP($G208,'Input Data'!$BI$3:$BL$10,3,FALSE),MAX((AD208-IF(OR($G208="M (under 21)",$G208="Z (under 21 - deferment)"),'Input Data'!$BG$6,IF($G208="H (Apprentice under 25)",'Input Data'!$BG$7,'Input Data'!$BG$8))),0)*VLOOKUP($G208,'Input Data'!$BI$3:$BL$10,4,FALSE))))</f>
        <v>0</v>
      </c>
      <c r="AM208" s="56">
        <f>IF($G208="",0,IF(NOT(OR($G208="A - All employees not in groups B, C, J, H, M or Z",$G208="B - Married women and widows entitled to reduced NI",$G208="C - Over the State Pension age",$G208="H - Apprentice under 25",$G208="J – Deferment",$G208="M - Under 21",$G208="Z - Deferment (Under 21)",$G208="Please Enter The NI Cont. in ££££")),$G208,SUM(MAX(MIN(AE208-'Input Data'!$BG$3,'Input Data'!$BG$5-'Input Data'!$BG$3),0)*VLOOKUP($G208,'Input Data'!$BI$3:$BL$10,2,FALSE),MAX(MIN(AE208-'Input Data'!$BG$5,IF(OR($G208="M (under 21)",$G208="Z (under 21 - deferment)"),'Input Data'!$BG$6,IF($G208="H (Apprentice under 25)",'Input Data'!$BG$7,'Input Data'!$BG$8))-'Input Data'!$BG$5),0)*VLOOKUP($G208,'Input Data'!$BI$3:$BL$10,3,FALSE),MAX((AE208-IF(OR($G208="M (under 21)",$G208="Z (under 21 - deferment)"),'Input Data'!$BG$6,IF($G208="H (Apprentice under 25)",'Input Data'!$BG$7,'Input Data'!$BG$8))),0)*VLOOKUP($G208,'Input Data'!$BI$3:$BL$10,4,FALSE))))</f>
        <v>0</v>
      </c>
      <c r="AN208" s="56">
        <f>IF($G208="",0,IF(NOT(OR($G208="A - All employees not in groups B, C, J, H, M or Z",$G208="B - Married women and widows entitled to reduced NI",$G208="C - Over the State Pension age",$G208="H - Apprentice under 25",$G208="J – Deferment",$G208="M - Under 21",$G208="Z - Deferment (Under 21)",$G208="Please Enter The NI Cont. in ££££")),$G208,SUM(MAX(MIN(AF208-'Input Data'!$BG$3,'Input Data'!$BG$5-'Input Data'!$BG$3),0)*VLOOKUP($G208,'Input Data'!$BI$3:$BL$10,2,FALSE),MAX(MIN(AF208-'Input Data'!$BG$5,IF(OR($G208="M (under 21)",$G208="Z (under 21 - deferment)"),'Input Data'!$BG$6,IF($G208="H (Apprentice under 25)",'Input Data'!$BG$7,'Input Data'!$BG$8))-'Input Data'!$BG$5),0)*VLOOKUP($G208,'Input Data'!$BI$3:$BL$10,3,FALSE),MAX((AF208-IF(OR($G208="M (under 21)",$G208="Z (under 21 - deferment)"),'Input Data'!$BG$6,IF($G208="H (Apprentice under 25)",'Input Data'!$BG$7,'Input Data'!$BG$8))),0)*VLOOKUP($G208,'Input Data'!$BI$3:$BL$10,4,FALSE))))</f>
        <v>0</v>
      </c>
      <c r="AO208" s="56">
        <f>IF($G208="",0,IF(NOT(OR($G208="A - All employees not in groups B, C, J, H, M or Z",$G208="B - Married women and widows entitled to reduced NI",$G208="C - Over the State Pension age",$G208="H - Apprentice under 25",$G208="J – Deferment",$G208="M - Under 21",$G208="Z - Deferment (Under 21)",$G208="Please Enter The NI Cont. in ££££")),$G208,SUM(MAX(MIN(AG208-'Input Data'!$BG$3,'Input Data'!$BG$5-'Input Data'!$BG$3),0)*VLOOKUP($G208,'Input Data'!$BI$3:$BL$10,2,FALSE),MAX(MIN(AG208-'Input Data'!$BG$5,IF(OR($G208="M (under 21)",$G208="Z (under 21 - deferment)"),'Input Data'!$BG$6,IF($G208="H (Apprentice under 25)",'Input Data'!$BG$7,'Input Data'!$BG$8))-'Input Data'!$BG$5),0)*VLOOKUP($G208,'Input Data'!$BI$3:$BL$10,3,FALSE),MAX((AG208-IF(OR($G208="M (under 21)",$G208="Z (under 21 - deferment)"),'Input Data'!$BG$6,IF($G208="H (Apprentice under 25)",'Input Data'!$BG$7,'Input Data'!$BG$8))),0)*VLOOKUP($G208,'Input Data'!$BI$3:$BL$10,4,FALSE))))</f>
        <v>0</v>
      </c>
      <c r="AP208" s="56">
        <f>IF($G208="",0,IF(NOT(OR($G208="A - All employees not in groups B, C, J, H, M or Z",$G208="B - Married women and widows entitled to reduced NI",$G208="C - Over the State Pension age",$G208="H - Apprentice under 25",$G208="J – Deferment",$G208="M - Under 21",$G208="Z - Deferment (Under 21)",$G208="Please Enter The NI Cont. in ££££")),$G208,SUM(MAX(MIN(AH208-'Input Data'!$BG$3,'Input Data'!$BG$5-'Input Data'!$BG$3),0)*VLOOKUP($G208,'Input Data'!$BI$3:$BL$10,2,FALSE),MAX(MIN(AH208-'Input Data'!$BG$5,IF(OR($G208="M (under 21)",$G208="Z (under 21 - deferment)"),'Input Data'!$BG$6,IF($G208="H (Apprentice under 25)",'Input Data'!$BG$7,'Input Data'!$BG$8))-'Input Data'!$BG$5),0)*VLOOKUP($G208,'Input Data'!$BI$3:$BL$10,3,FALSE),MAX((AH208-IF(OR($G208="M (under 21)",$G208="Z (under 21 - deferment)"),'Input Data'!$BG$6,IF($G208="H (Apprentice under 25)",'Input Data'!$BG$7,'Input Data'!$BG$8))),0)*VLOOKUP($G208,'Input Data'!$BI$3:$BL$10,4,FALSE))))</f>
        <v>0</v>
      </c>
      <c r="AQ208" s="56">
        <f>IF($G208="",0,IF(NOT(OR($G208="A - All employees not in groups B, C, J, H, M or Z",$G208="B - Married women and widows entitled to reduced NI",$G208="C - Over the State Pension age",$G208="H - Apprentice under 25",$G208="J – Deferment",$G208="M - Under 21",$G208="Z - Deferment (Under 21)",$G208="Please Enter The NI Cont. in ££££")),$G208,SUM(MAX(MIN(AI208-'Input Data'!$BG$3,'Input Data'!$BG$5-'Input Data'!$BG$3),0)*VLOOKUP($G208,'Input Data'!$BI$3:$BL$10,2,FALSE),MAX(MIN(AI208-'Input Data'!$BG$5,IF(OR($G208="M (under 21)",$G208="Z (under 21 - deferment)"),'Input Data'!$BG$6,IF($G208="H (Apprentice under 25)",'Input Data'!$BG$7,'Input Data'!$BG$8))-'Input Data'!$BG$5),0)*VLOOKUP($G208,'Input Data'!$BI$3:$BL$10,3,FALSE),MAX((AI208-IF(OR($G208="M (under 21)",$G208="Z (under 21 - deferment)"),'Input Data'!$BG$6,IF($G208="H (Apprentice under 25)",'Input Data'!$BG$7,'Input Data'!$BG$8))),0)*VLOOKUP($G208,'Input Data'!$BI$3:$BL$10,4,FALSE))))</f>
        <v>0</v>
      </c>
      <c r="AR208" s="56">
        <f>IF($G208="",0,IF(NOT(OR($G208="A - All employees not in groups B, C, J, H, M or Z",$G208="B - Married women and widows entitled to reduced NI",$G208="C - Over the State Pension age",$G208="H - Apprentice under 25",$G208="J – Deferment",$G208="M - Under 21",$G208="Z - Deferment (Under 21)",$G208="Please Enter The NI Cont. in ££££")),$G208,SUM(MAX(MIN(AJ208-'Input Data'!$BG$3,'Input Data'!$BG$5-'Input Data'!$BG$3),0)*VLOOKUP($G208,'Input Data'!$BI$3:$BL$10,2,FALSE),MAX(MIN(AJ208-'Input Data'!$BG$5,IF(OR($G208="M (under 21)",$G208="Z (under 21 - deferment)"),'Input Data'!$BG$6,IF($G208="H (Apprentice under 25)",'Input Data'!$BG$7,'Input Data'!$BG$8))-'Input Data'!$BG$5),0)*VLOOKUP($G208,'Input Data'!$BI$3:$BL$10,3,FALSE),MAX((AJ208-IF(OR($G208="M (under 21)",$G208="Z (under 21 - deferment)"),'Input Data'!$BG$6,IF($G208="H (Apprentice under 25)",'Input Data'!$BG$7,'Input Data'!$BG$8))),0)*VLOOKUP($G208,'Input Data'!$BI$3:$BL$10,4,FALSE))))</f>
        <v>0</v>
      </c>
      <c r="AS208" s="56">
        <f>AC208*$F208</f>
        <v>0</v>
      </c>
      <c r="AT208" s="56">
        <f>AD208*$F208</f>
        <v>0</v>
      </c>
      <c r="AU208" s="56">
        <f>AE208*$F208</f>
        <v>0</v>
      </c>
      <c r="AV208" s="56">
        <f>AF208*$F208</f>
        <v>0</v>
      </c>
      <c r="AW208" s="56">
        <f>AG208*$F208</f>
        <v>0</v>
      </c>
      <c r="AX208" s="56">
        <f>AH208*$F208</f>
        <v>0</v>
      </c>
      <c r="AY208" s="56">
        <f>AI208*$F208</f>
        <v>0</v>
      </c>
      <c r="AZ208" s="56">
        <f>AJ208*$F208</f>
        <v>0</v>
      </c>
    </row>
    <row r="209" spans="2:52" ht="25.5">
      <c r="B209" s="60"/>
      <c r="C209" s="57" t="s">
        <v>80</v>
      </c>
      <c r="D209" s="58"/>
      <c r="E209" s="58"/>
      <c r="F209" s="535"/>
      <c r="G209" s="693" t="s">
        <v>1149</v>
      </c>
      <c r="H209" s="65"/>
      <c r="I209" s="65"/>
      <c r="J209" s="65"/>
      <c r="K209" s="65"/>
      <c r="L209" s="65"/>
      <c r="M209" s="65"/>
      <c r="N209" s="65"/>
      <c r="O209" s="65"/>
      <c r="P209" s="29"/>
      <c r="Q209" s="597"/>
      <c r="R209" s="61"/>
      <c r="T209" s="43">
        <f>SUM(AC209,AK209,AS209)</f>
        <v>0</v>
      </c>
      <c r="U209" s="43">
        <f>SUM(AD209,AL209,AT209)</f>
        <v>0</v>
      </c>
      <c r="V209" s="43">
        <f>SUM(AE209,AM209,AU209)</f>
        <v>0</v>
      </c>
      <c r="W209" s="43">
        <f>SUM(AF209,AN209,AV209)</f>
        <v>0</v>
      </c>
      <c r="X209" s="43">
        <f>SUM(AG209,AO209,AW209)</f>
        <v>0</v>
      </c>
      <c r="Y209" s="43">
        <f>SUM(AH209,AP209,AX209)</f>
        <v>0</v>
      </c>
      <c r="Z209" s="43">
        <f>SUM(AI209,AQ209,AY209)</f>
        <v>0</v>
      </c>
      <c r="AA209" s="43">
        <f>SUM(AJ209,AR209,AZ209)</f>
        <v>0</v>
      </c>
      <c r="AC209" s="631">
        <f>SUM($D209:$E209)*H209</f>
        <v>0</v>
      </c>
      <c r="AD209" s="631">
        <f>SUM($D209:$E209)*I209</f>
        <v>0</v>
      </c>
      <c r="AE209" s="631">
        <f>SUM($D209:$E209)*J209</f>
        <v>0</v>
      </c>
      <c r="AF209" s="631">
        <f>SUM($D209:$E209)*K209</f>
        <v>0</v>
      </c>
      <c r="AG209" s="631">
        <f>SUM($D209:$E209)*L209</f>
        <v>0</v>
      </c>
      <c r="AH209" s="631">
        <f>SUM($D209:$E209)*M209</f>
        <v>0</v>
      </c>
      <c r="AI209" s="631">
        <f>SUM($D209:$E209)*N209</f>
        <v>0</v>
      </c>
      <c r="AJ209" s="631">
        <f>SUM($D209:$E209)*O209</f>
        <v>0</v>
      </c>
      <c r="AK209" s="56">
        <f>IF($G209="",0,IF(NOT(OR($G209="A - All employees not in groups B, C, J, H, M or Z",$G209="B - Married women and widows entitled to reduced NI",$G209="C - Over the State Pension age",$G209="H - Apprentice under 25",$G209="J – Deferment",$G209="M - Under 21",$G209="Z - Deferment (Under 21)",$G209="Please Enter The NI Cont. in ££££")),$G209,SUM(MAX(MIN(AC209-'Input Data'!$BG$3,'Input Data'!$BG$5-'Input Data'!$BG$3),0)*VLOOKUP($G209,'Input Data'!$BI$3:$BL$10,2,FALSE),MAX(MIN(AC209-'Input Data'!$BG$5,IF(OR($G209="M (under 21)",$G209="Z (under 21 - deferment)"),'Input Data'!$BG$6,IF($G209="H (Apprentice under 25)",'Input Data'!$BG$7,'Input Data'!$BG$8))-'Input Data'!$BG$5),0)*VLOOKUP($G209,'Input Data'!$BI$3:$BL$10,3,FALSE),MAX((AC209-IF(OR($G209="M (under 21)",$G209="Z (under 21 - deferment)"),'Input Data'!$BG$6,IF($G209="H (Apprentice under 25)",'Input Data'!$BG$7,'Input Data'!$BG$8))),0)*VLOOKUP($G209,'Input Data'!$BI$3:$BL$10,4,FALSE))))</f>
        <v>0</v>
      </c>
      <c r="AL209" s="56">
        <f>IF($G209="",0,IF(NOT(OR($G209="A - All employees not in groups B, C, J, H, M or Z",$G209="B - Married women and widows entitled to reduced NI",$G209="C - Over the State Pension age",$G209="H - Apprentice under 25",$G209="J – Deferment",$G209="M - Under 21",$G209="Z - Deferment (Under 21)",$G209="Please Enter The NI Cont. in ££££")),$G209,SUM(MAX(MIN(AD209-'Input Data'!$BG$3,'Input Data'!$BG$5-'Input Data'!$BG$3),0)*VLOOKUP($G209,'Input Data'!$BI$3:$BL$10,2,FALSE),MAX(MIN(AD209-'Input Data'!$BG$5,IF(OR($G209="M (under 21)",$G209="Z (under 21 - deferment)"),'Input Data'!$BG$6,IF($G209="H (Apprentice under 25)",'Input Data'!$BG$7,'Input Data'!$BG$8))-'Input Data'!$BG$5),0)*VLOOKUP($G209,'Input Data'!$BI$3:$BL$10,3,FALSE),MAX((AD209-IF(OR($G209="M (under 21)",$G209="Z (under 21 - deferment)"),'Input Data'!$BG$6,IF($G209="H (Apprentice under 25)",'Input Data'!$BG$7,'Input Data'!$BG$8))),0)*VLOOKUP($G209,'Input Data'!$BI$3:$BL$10,4,FALSE))))</f>
        <v>0</v>
      </c>
      <c r="AM209" s="56">
        <f>IF($G209="",0,IF(NOT(OR($G209="A - All employees not in groups B, C, J, H, M or Z",$G209="B - Married women and widows entitled to reduced NI",$G209="C - Over the State Pension age",$G209="H - Apprentice under 25",$G209="J – Deferment",$G209="M - Under 21",$G209="Z - Deferment (Under 21)",$G209="Please Enter The NI Cont. in ££££")),$G209,SUM(MAX(MIN(AE209-'Input Data'!$BG$3,'Input Data'!$BG$5-'Input Data'!$BG$3),0)*VLOOKUP($G209,'Input Data'!$BI$3:$BL$10,2,FALSE),MAX(MIN(AE209-'Input Data'!$BG$5,IF(OR($G209="M (under 21)",$G209="Z (under 21 - deferment)"),'Input Data'!$BG$6,IF($G209="H (Apprentice under 25)",'Input Data'!$BG$7,'Input Data'!$BG$8))-'Input Data'!$BG$5),0)*VLOOKUP($G209,'Input Data'!$BI$3:$BL$10,3,FALSE),MAX((AE209-IF(OR($G209="M (under 21)",$G209="Z (under 21 - deferment)"),'Input Data'!$BG$6,IF($G209="H (Apprentice under 25)",'Input Data'!$BG$7,'Input Data'!$BG$8))),0)*VLOOKUP($G209,'Input Data'!$BI$3:$BL$10,4,FALSE))))</f>
        <v>0</v>
      </c>
      <c r="AN209" s="56">
        <f>IF($G209="",0,IF(NOT(OR($G209="A - All employees not in groups B, C, J, H, M or Z",$G209="B - Married women and widows entitled to reduced NI",$G209="C - Over the State Pension age",$G209="H - Apprentice under 25",$G209="J – Deferment",$G209="M - Under 21",$G209="Z - Deferment (Under 21)",$G209="Please Enter The NI Cont. in ££££")),$G209,SUM(MAX(MIN(AF209-'Input Data'!$BG$3,'Input Data'!$BG$5-'Input Data'!$BG$3),0)*VLOOKUP($G209,'Input Data'!$BI$3:$BL$10,2,FALSE),MAX(MIN(AF209-'Input Data'!$BG$5,IF(OR($G209="M (under 21)",$G209="Z (under 21 - deferment)"),'Input Data'!$BG$6,IF($G209="H (Apprentice under 25)",'Input Data'!$BG$7,'Input Data'!$BG$8))-'Input Data'!$BG$5),0)*VLOOKUP($G209,'Input Data'!$BI$3:$BL$10,3,FALSE),MAX((AF209-IF(OR($G209="M (under 21)",$G209="Z (under 21 - deferment)"),'Input Data'!$BG$6,IF($G209="H (Apprentice under 25)",'Input Data'!$BG$7,'Input Data'!$BG$8))),0)*VLOOKUP($G209,'Input Data'!$BI$3:$BL$10,4,FALSE))))</f>
        <v>0</v>
      </c>
      <c r="AO209" s="56">
        <f>IF($G209="",0,IF(NOT(OR($G209="A - All employees not in groups B, C, J, H, M or Z",$G209="B - Married women and widows entitled to reduced NI",$G209="C - Over the State Pension age",$G209="H - Apprentice under 25",$G209="J – Deferment",$G209="M - Under 21",$G209="Z - Deferment (Under 21)",$G209="Please Enter The NI Cont. in ££££")),$G209,SUM(MAX(MIN(AG209-'Input Data'!$BG$3,'Input Data'!$BG$5-'Input Data'!$BG$3),0)*VLOOKUP($G209,'Input Data'!$BI$3:$BL$10,2,FALSE),MAX(MIN(AG209-'Input Data'!$BG$5,IF(OR($G209="M (under 21)",$G209="Z (under 21 - deferment)"),'Input Data'!$BG$6,IF($G209="H (Apprentice under 25)",'Input Data'!$BG$7,'Input Data'!$BG$8))-'Input Data'!$BG$5),0)*VLOOKUP($G209,'Input Data'!$BI$3:$BL$10,3,FALSE),MAX((AG209-IF(OR($G209="M (under 21)",$G209="Z (under 21 - deferment)"),'Input Data'!$BG$6,IF($G209="H (Apprentice under 25)",'Input Data'!$BG$7,'Input Data'!$BG$8))),0)*VLOOKUP($G209,'Input Data'!$BI$3:$BL$10,4,FALSE))))</f>
        <v>0</v>
      </c>
      <c r="AP209" s="56">
        <f>IF($G209="",0,IF(NOT(OR($G209="A - All employees not in groups B, C, J, H, M or Z",$G209="B - Married women and widows entitled to reduced NI",$G209="C - Over the State Pension age",$G209="H - Apprentice under 25",$G209="J – Deferment",$G209="M - Under 21",$G209="Z - Deferment (Under 21)",$G209="Please Enter The NI Cont. in ££££")),$G209,SUM(MAX(MIN(AH209-'Input Data'!$BG$3,'Input Data'!$BG$5-'Input Data'!$BG$3),0)*VLOOKUP($G209,'Input Data'!$BI$3:$BL$10,2,FALSE),MAX(MIN(AH209-'Input Data'!$BG$5,IF(OR($G209="M (under 21)",$G209="Z (under 21 - deferment)"),'Input Data'!$BG$6,IF($G209="H (Apprentice under 25)",'Input Data'!$BG$7,'Input Data'!$BG$8))-'Input Data'!$BG$5),0)*VLOOKUP($G209,'Input Data'!$BI$3:$BL$10,3,FALSE),MAX((AH209-IF(OR($G209="M (under 21)",$G209="Z (under 21 - deferment)"),'Input Data'!$BG$6,IF($G209="H (Apprentice under 25)",'Input Data'!$BG$7,'Input Data'!$BG$8))),0)*VLOOKUP($G209,'Input Data'!$BI$3:$BL$10,4,FALSE))))</f>
        <v>0</v>
      </c>
      <c r="AQ209" s="56">
        <f>IF($G209="",0,IF(NOT(OR($G209="A - All employees not in groups B, C, J, H, M or Z",$G209="B - Married women and widows entitled to reduced NI",$G209="C - Over the State Pension age",$G209="H - Apprentice under 25",$G209="J – Deferment",$G209="M - Under 21",$G209="Z - Deferment (Under 21)",$G209="Please Enter The NI Cont. in ££££")),$G209,SUM(MAX(MIN(AI209-'Input Data'!$BG$3,'Input Data'!$BG$5-'Input Data'!$BG$3),0)*VLOOKUP($G209,'Input Data'!$BI$3:$BL$10,2,FALSE),MAX(MIN(AI209-'Input Data'!$BG$5,IF(OR($G209="M (under 21)",$G209="Z (under 21 - deferment)"),'Input Data'!$BG$6,IF($G209="H (Apprentice under 25)",'Input Data'!$BG$7,'Input Data'!$BG$8))-'Input Data'!$BG$5),0)*VLOOKUP($G209,'Input Data'!$BI$3:$BL$10,3,FALSE),MAX((AI209-IF(OR($G209="M (under 21)",$G209="Z (under 21 - deferment)"),'Input Data'!$BG$6,IF($G209="H (Apprentice under 25)",'Input Data'!$BG$7,'Input Data'!$BG$8))),0)*VLOOKUP($G209,'Input Data'!$BI$3:$BL$10,4,FALSE))))</f>
        <v>0</v>
      </c>
      <c r="AR209" s="56">
        <f>IF($G209="",0,IF(NOT(OR($G209="A - All employees not in groups B, C, J, H, M or Z",$G209="B - Married women and widows entitled to reduced NI",$G209="C - Over the State Pension age",$G209="H - Apprentice under 25",$G209="J – Deferment",$G209="M - Under 21",$G209="Z - Deferment (Under 21)",$G209="Please Enter The NI Cont. in ££££")),$G209,SUM(MAX(MIN(AJ209-'Input Data'!$BG$3,'Input Data'!$BG$5-'Input Data'!$BG$3),0)*VLOOKUP($G209,'Input Data'!$BI$3:$BL$10,2,FALSE),MAX(MIN(AJ209-'Input Data'!$BG$5,IF(OR($G209="M (under 21)",$G209="Z (under 21 - deferment)"),'Input Data'!$BG$6,IF($G209="H (Apprentice under 25)",'Input Data'!$BG$7,'Input Data'!$BG$8))-'Input Data'!$BG$5),0)*VLOOKUP($G209,'Input Data'!$BI$3:$BL$10,3,FALSE),MAX((AJ209-IF(OR($G209="M (under 21)",$G209="Z (under 21 - deferment)"),'Input Data'!$BG$6,IF($G209="H (Apprentice under 25)",'Input Data'!$BG$7,'Input Data'!$BG$8))),0)*VLOOKUP($G209,'Input Data'!$BI$3:$BL$10,4,FALSE))))</f>
        <v>0</v>
      </c>
      <c r="AS209" s="56">
        <f>AC209*$F209</f>
        <v>0</v>
      </c>
      <c r="AT209" s="56">
        <f>AD209*$F209</f>
        <v>0</v>
      </c>
      <c r="AU209" s="56">
        <f>AE209*$F209</f>
        <v>0</v>
      </c>
      <c r="AV209" s="56">
        <f>AF209*$F209</f>
        <v>0</v>
      </c>
      <c r="AW209" s="56">
        <f>AG209*$F209</f>
        <v>0</v>
      </c>
      <c r="AX209" s="56">
        <f>AH209*$F209</f>
        <v>0</v>
      </c>
      <c r="AY209" s="56">
        <f>AI209*$F209</f>
        <v>0</v>
      </c>
      <c r="AZ209" s="56">
        <f>AJ209*$F209</f>
        <v>0</v>
      </c>
    </row>
    <row r="210" spans="2:52" ht="25.5">
      <c r="B210" s="60"/>
      <c r="C210" s="57" t="s">
        <v>81</v>
      </c>
      <c r="D210" s="58"/>
      <c r="E210" s="58"/>
      <c r="F210" s="535"/>
      <c r="G210" s="693" t="s">
        <v>1149</v>
      </c>
      <c r="H210" s="65"/>
      <c r="I210" s="65"/>
      <c r="J210" s="65"/>
      <c r="K210" s="65"/>
      <c r="L210" s="65"/>
      <c r="M210" s="65"/>
      <c r="N210" s="65"/>
      <c r="O210" s="65"/>
      <c r="P210" s="29"/>
      <c r="Q210" s="597"/>
      <c r="R210" s="61"/>
      <c r="T210" s="43">
        <f>SUM(AC210,AK210,AS210)</f>
        <v>0</v>
      </c>
      <c r="U210" s="43">
        <f>SUM(AD210,AL210,AT210)</f>
        <v>0</v>
      </c>
      <c r="V210" s="43">
        <f>SUM(AE210,AM210,AU210)</f>
        <v>0</v>
      </c>
      <c r="W210" s="43">
        <f>SUM(AF210,AN210,AV210)</f>
        <v>0</v>
      </c>
      <c r="X210" s="43">
        <f>SUM(AG210,AO210,AW210)</f>
        <v>0</v>
      </c>
      <c r="Y210" s="43">
        <f>SUM(AH210,AP210,AX210)</f>
        <v>0</v>
      </c>
      <c r="Z210" s="43">
        <f>SUM(AI210,AQ210,AY210)</f>
        <v>0</v>
      </c>
      <c r="AA210" s="43">
        <f>SUM(AJ210,AR210,AZ210)</f>
        <v>0</v>
      </c>
      <c r="AC210" s="631">
        <f>SUM($D210:$E210)*H210</f>
        <v>0</v>
      </c>
      <c r="AD210" s="631">
        <f>SUM($D210:$E210)*I210</f>
        <v>0</v>
      </c>
      <c r="AE210" s="631">
        <f>SUM($D210:$E210)*J210</f>
        <v>0</v>
      </c>
      <c r="AF210" s="631">
        <f>SUM($D210:$E210)*K210</f>
        <v>0</v>
      </c>
      <c r="AG210" s="631">
        <f>SUM($D210:$E210)*L210</f>
        <v>0</v>
      </c>
      <c r="AH210" s="631">
        <f>SUM($D210:$E210)*M210</f>
        <v>0</v>
      </c>
      <c r="AI210" s="631">
        <f>SUM($D210:$E210)*N210</f>
        <v>0</v>
      </c>
      <c r="AJ210" s="631">
        <f>SUM($D210:$E210)*O210</f>
        <v>0</v>
      </c>
      <c r="AK210" s="56">
        <f>IF($G210="",0,IF(NOT(OR($G210="A - All employees not in groups B, C, J, H, M or Z",$G210="B - Married women and widows entitled to reduced NI",$G210="C - Over the State Pension age",$G210="H - Apprentice under 25",$G210="J – Deferment",$G210="M - Under 21",$G210="Z - Deferment (Under 21)",$G210="Please Enter The NI Cont. in ££££")),$G210,SUM(MAX(MIN(AC210-'Input Data'!$BG$3,'Input Data'!$BG$5-'Input Data'!$BG$3),0)*VLOOKUP($G210,'Input Data'!$BI$3:$BL$10,2,FALSE),MAX(MIN(AC210-'Input Data'!$BG$5,IF(OR($G210="M (under 21)",$G210="Z (under 21 - deferment)"),'Input Data'!$BG$6,IF($G210="H (Apprentice under 25)",'Input Data'!$BG$7,'Input Data'!$BG$8))-'Input Data'!$BG$5),0)*VLOOKUP($G210,'Input Data'!$BI$3:$BL$10,3,FALSE),MAX((AC210-IF(OR($G210="M (under 21)",$G210="Z (under 21 - deferment)"),'Input Data'!$BG$6,IF($G210="H (Apprentice under 25)",'Input Data'!$BG$7,'Input Data'!$BG$8))),0)*VLOOKUP($G210,'Input Data'!$BI$3:$BL$10,4,FALSE))))</f>
        <v>0</v>
      </c>
      <c r="AL210" s="56">
        <f>IF($G210="",0,IF(NOT(OR($G210="A - All employees not in groups B, C, J, H, M or Z",$G210="B - Married women and widows entitled to reduced NI",$G210="C - Over the State Pension age",$G210="H - Apprentice under 25",$G210="J – Deferment",$G210="M - Under 21",$G210="Z - Deferment (Under 21)",$G210="Please Enter The NI Cont. in ££££")),$G210,SUM(MAX(MIN(AD210-'Input Data'!$BG$3,'Input Data'!$BG$5-'Input Data'!$BG$3),0)*VLOOKUP($G210,'Input Data'!$BI$3:$BL$10,2,FALSE),MAX(MIN(AD210-'Input Data'!$BG$5,IF(OR($G210="M (under 21)",$G210="Z (under 21 - deferment)"),'Input Data'!$BG$6,IF($G210="H (Apprentice under 25)",'Input Data'!$BG$7,'Input Data'!$BG$8))-'Input Data'!$BG$5),0)*VLOOKUP($G210,'Input Data'!$BI$3:$BL$10,3,FALSE),MAX((AD210-IF(OR($G210="M (under 21)",$G210="Z (under 21 - deferment)"),'Input Data'!$BG$6,IF($G210="H (Apprentice under 25)",'Input Data'!$BG$7,'Input Data'!$BG$8))),0)*VLOOKUP($G210,'Input Data'!$BI$3:$BL$10,4,FALSE))))</f>
        <v>0</v>
      </c>
      <c r="AM210" s="56">
        <f>IF($G210="",0,IF(NOT(OR($G210="A - All employees not in groups B, C, J, H, M or Z",$G210="B - Married women and widows entitled to reduced NI",$G210="C - Over the State Pension age",$G210="H - Apprentice under 25",$G210="J – Deferment",$G210="M - Under 21",$G210="Z - Deferment (Under 21)",$G210="Please Enter The NI Cont. in ££££")),$G210,SUM(MAX(MIN(AE210-'Input Data'!$BG$3,'Input Data'!$BG$5-'Input Data'!$BG$3),0)*VLOOKUP($G210,'Input Data'!$BI$3:$BL$10,2,FALSE),MAX(MIN(AE210-'Input Data'!$BG$5,IF(OR($G210="M (under 21)",$G210="Z (under 21 - deferment)"),'Input Data'!$BG$6,IF($G210="H (Apprentice under 25)",'Input Data'!$BG$7,'Input Data'!$BG$8))-'Input Data'!$BG$5),0)*VLOOKUP($G210,'Input Data'!$BI$3:$BL$10,3,FALSE),MAX((AE210-IF(OR($G210="M (under 21)",$G210="Z (under 21 - deferment)"),'Input Data'!$BG$6,IF($G210="H (Apprentice under 25)",'Input Data'!$BG$7,'Input Data'!$BG$8))),0)*VLOOKUP($G210,'Input Data'!$BI$3:$BL$10,4,FALSE))))</f>
        <v>0</v>
      </c>
      <c r="AN210" s="56">
        <f>IF($G210="",0,IF(NOT(OR($G210="A - All employees not in groups B, C, J, H, M or Z",$G210="B - Married women and widows entitled to reduced NI",$G210="C - Over the State Pension age",$G210="H - Apprentice under 25",$G210="J – Deferment",$G210="M - Under 21",$G210="Z - Deferment (Under 21)",$G210="Please Enter The NI Cont. in ££££")),$G210,SUM(MAX(MIN(AF210-'Input Data'!$BG$3,'Input Data'!$BG$5-'Input Data'!$BG$3),0)*VLOOKUP($G210,'Input Data'!$BI$3:$BL$10,2,FALSE),MAX(MIN(AF210-'Input Data'!$BG$5,IF(OR($G210="M (under 21)",$G210="Z (under 21 - deferment)"),'Input Data'!$BG$6,IF($G210="H (Apprentice under 25)",'Input Data'!$BG$7,'Input Data'!$BG$8))-'Input Data'!$BG$5),0)*VLOOKUP($G210,'Input Data'!$BI$3:$BL$10,3,FALSE),MAX((AF210-IF(OR($G210="M (under 21)",$G210="Z (under 21 - deferment)"),'Input Data'!$BG$6,IF($G210="H (Apprentice under 25)",'Input Data'!$BG$7,'Input Data'!$BG$8))),0)*VLOOKUP($G210,'Input Data'!$BI$3:$BL$10,4,FALSE))))</f>
        <v>0</v>
      </c>
      <c r="AO210" s="56">
        <f>IF($G210="",0,IF(NOT(OR($G210="A - All employees not in groups B, C, J, H, M or Z",$G210="B - Married women and widows entitled to reduced NI",$G210="C - Over the State Pension age",$G210="H - Apprentice under 25",$G210="J – Deferment",$G210="M - Under 21",$G210="Z - Deferment (Under 21)",$G210="Please Enter The NI Cont. in ££££")),$G210,SUM(MAX(MIN(AG210-'Input Data'!$BG$3,'Input Data'!$BG$5-'Input Data'!$BG$3),0)*VLOOKUP($G210,'Input Data'!$BI$3:$BL$10,2,FALSE),MAX(MIN(AG210-'Input Data'!$BG$5,IF(OR($G210="M (under 21)",$G210="Z (under 21 - deferment)"),'Input Data'!$BG$6,IF($G210="H (Apprentice under 25)",'Input Data'!$BG$7,'Input Data'!$BG$8))-'Input Data'!$BG$5),0)*VLOOKUP($G210,'Input Data'!$BI$3:$BL$10,3,FALSE),MAX((AG210-IF(OR($G210="M (under 21)",$G210="Z (under 21 - deferment)"),'Input Data'!$BG$6,IF($G210="H (Apprentice under 25)",'Input Data'!$BG$7,'Input Data'!$BG$8))),0)*VLOOKUP($G210,'Input Data'!$BI$3:$BL$10,4,FALSE))))</f>
        <v>0</v>
      </c>
      <c r="AP210" s="56">
        <f>IF($G210="",0,IF(NOT(OR($G210="A - All employees not in groups B, C, J, H, M or Z",$G210="B - Married women and widows entitled to reduced NI",$G210="C - Over the State Pension age",$G210="H - Apprentice under 25",$G210="J – Deferment",$G210="M - Under 21",$G210="Z - Deferment (Under 21)",$G210="Please Enter The NI Cont. in ££££")),$G210,SUM(MAX(MIN(AH210-'Input Data'!$BG$3,'Input Data'!$BG$5-'Input Data'!$BG$3),0)*VLOOKUP($G210,'Input Data'!$BI$3:$BL$10,2,FALSE),MAX(MIN(AH210-'Input Data'!$BG$5,IF(OR($G210="M (under 21)",$G210="Z (under 21 - deferment)"),'Input Data'!$BG$6,IF($G210="H (Apprentice under 25)",'Input Data'!$BG$7,'Input Data'!$BG$8))-'Input Data'!$BG$5),0)*VLOOKUP($G210,'Input Data'!$BI$3:$BL$10,3,FALSE),MAX((AH210-IF(OR($G210="M (under 21)",$G210="Z (under 21 - deferment)"),'Input Data'!$BG$6,IF($G210="H (Apprentice under 25)",'Input Data'!$BG$7,'Input Data'!$BG$8))),0)*VLOOKUP($G210,'Input Data'!$BI$3:$BL$10,4,FALSE))))</f>
        <v>0</v>
      </c>
      <c r="AQ210" s="56">
        <f>IF($G210="",0,IF(NOT(OR($G210="A - All employees not in groups B, C, J, H, M or Z",$G210="B - Married women and widows entitled to reduced NI",$G210="C - Over the State Pension age",$G210="H - Apprentice under 25",$G210="J – Deferment",$G210="M - Under 21",$G210="Z - Deferment (Under 21)",$G210="Please Enter The NI Cont. in ££££")),$G210,SUM(MAX(MIN(AI210-'Input Data'!$BG$3,'Input Data'!$BG$5-'Input Data'!$BG$3),0)*VLOOKUP($G210,'Input Data'!$BI$3:$BL$10,2,FALSE),MAX(MIN(AI210-'Input Data'!$BG$5,IF(OR($G210="M (under 21)",$G210="Z (under 21 - deferment)"),'Input Data'!$BG$6,IF($G210="H (Apprentice under 25)",'Input Data'!$BG$7,'Input Data'!$BG$8))-'Input Data'!$BG$5),0)*VLOOKUP($G210,'Input Data'!$BI$3:$BL$10,3,FALSE),MAX((AI210-IF(OR($G210="M (under 21)",$G210="Z (under 21 - deferment)"),'Input Data'!$BG$6,IF($G210="H (Apprentice under 25)",'Input Data'!$BG$7,'Input Data'!$BG$8))),0)*VLOOKUP($G210,'Input Data'!$BI$3:$BL$10,4,FALSE))))</f>
        <v>0</v>
      </c>
      <c r="AR210" s="56">
        <f>IF($G210="",0,IF(NOT(OR($G210="A - All employees not in groups B, C, J, H, M or Z",$G210="B - Married women and widows entitled to reduced NI",$G210="C - Over the State Pension age",$G210="H - Apprentice under 25",$G210="J – Deferment",$G210="M - Under 21",$G210="Z - Deferment (Under 21)",$G210="Please Enter The NI Cont. in ££££")),$G210,SUM(MAX(MIN(AJ210-'Input Data'!$BG$3,'Input Data'!$BG$5-'Input Data'!$BG$3),0)*VLOOKUP($G210,'Input Data'!$BI$3:$BL$10,2,FALSE),MAX(MIN(AJ210-'Input Data'!$BG$5,IF(OR($G210="M (under 21)",$G210="Z (under 21 - deferment)"),'Input Data'!$BG$6,IF($G210="H (Apprentice under 25)",'Input Data'!$BG$7,'Input Data'!$BG$8))-'Input Data'!$BG$5),0)*VLOOKUP($G210,'Input Data'!$BI$3:$BL$10,3,FALSE),MAX((AJ210-IF(OR($G210="M (under 21)",$G210="Z (under 21 - deferment)"),'Input Data'!$BG$6,IF($G210="H (Apprentice under 25)",'Input Data'!$BG$7,'Input Data'!$BG$8))),0)*VLOOKUP($G210,'Input Data'!$BI$3:$BL$10,4,FALSE))))</f>
        <v>0</v>
      </c>
      <c r="AS210" s="56">
        <f>AC210*$F210</f>
        <v>0</v>
      </c>
      <c r="AT210" s="56">
        <f>AD210*$F210</f>
        <v>0</v>
      </c>
      <c r="AU210" s="56">
        <f>AE210*$F210</f>
        <v>0</v>
      </c>
      <c r="AV210" s="56">
        <f>AF210*$F210</f>
        <v>0</v>
      </c>
      <c r="AW210" s="56">
        <f>AG210*$F210</f>
        <v>0</v>
      </c>
      <c r="AX210" s="56">
        <f>AH210*$F210</f>
        <v>0</v>
      </c>
      <c r="AY210" s="56">
        <f>AI210*$F210</f>
        <v>0</v>
      </c>
      <c r="AZ210" s="56">
        <f>AJ210*$F210</f>
        <v>0</v>
      </c>
    </row>
    <row r="211" spans="1:52" ht="25.5">
      <c r="A211" s="61"/>
      <c r="B211" s="28"/>
      <c r="C211" s="57" t="s">
        <v>82</v>
      </c>
      <c r="D211" s="58"/>
      <c r="E211" s="58"/>
      <c r="F211" s="535"/>
      <c r="G211" s="693" t="s">
        <v>1149</v>
      </c>
      <c r="H211" s="65"/>
      <c r="I211" s="65"/>
      <c r="J211" s="65"/>
      <c r="K211" s="65"/>
      <c r="L211" s="65"/>
      <c r="M211" s="65"/>
      <c r="N211" s="65"/>
      <c r="O211" s="65"/>
      <c r="P211" s="29"/>
      <c r="Q211" s="597"/>
      <c r="R211" s="61"/>
      <c r="T211" s="43">
        <f>SUM(AC211,AK211,AS211)</f>
        <v>0</v>
      </c>
      <c r="U211" s="43">
        <f>SUM(AD211,AL211,AT211)</f>
        <v>0</v>
      </c>
      <c r="V211" s="43">
        <f>SUM(AE211,AM211,AU211)</f>
        <v>0</v>
      </c>
      <c r="W211" s="43">
        <f>SUM(AF211,AN211,AV211)</f>
        <v>0</v>
      </c>
      <c r="X211" s="43">
        <f>SUM(AG211,AO211,AW211)</f>
        <v>0</v>
      </c>
      <c r="Y211" s="43">
        <f>SUM(AH211,AP211,AX211)</f>
        <v>0</v>
      </c>
      <c r="Z211" s="43">
        <f>SUM(AI211,AQ211,AY211)</f>
        <v>0</v>
      </c>
      <c r="AA211" s="43">
        <f>SUM(AJ211,AR211,AZ211)</f>
        <v>0</v>
      </c>
      <c r="AC211" s="631">
        <f>SUM($D211:$E211)*H211</f>
        <v>0</v>
      </c>
      <c r="AD211" s="631">
        <f>SUM($D211:$E211)*I211</f>
        <v>0</v>
      </c>
      <c r="AE211" s="631">
        <f>SUM($D211:$E211)*J211</f>
        <v>0</v>
      </c>
      <c r="AF211" s="631">
        <f>SUM($D211:$E211)*K211</f>
        <v>0</v>
      </c>
      <c r="AG211" s="631">
        <f>SUM($D211:$E211)*L211</f>
        <v>0</v>
      </c>
      <c r="AH211" s="631">
        <f>SUM($D211:$E211)*M211</f>
        <v>0</v>
      </c>
      <c r="AI211" s="631">
        <f>SUM($D211:$E211)*N211</f>
        <v>0</v>
      </c>
      <c r="AJ211" s="631">
        <f>SUM($D211:$E211)*O211</f>
        <v>0</v>
      </c>
      <c r="AK211" s="56">
        <f>IF($G211="",0,IF(NOT(OR($G211="A - All employees not in groups B, C, J, H, M or Z",$G211="B - Married women and widows entitled to reduced NI",$G211="C - Over the State Pension age",$G211="H - Apprentice under 25",$G211="J – Deferment",$G211="M - Under 21",$G211="Z - Deferment (Under 21)",$G211="Please Enter The NI Cont. in ££££")),$G211,SUM(MAX(MIN(AC211-'Input Data'!$BG$3,'Input Data'!$BG$5-'Input Data'!$BG$3),0)*VLOOKUP($G211,'Input Data'!$BI$3:$BL$10,2,FALSE),MAX(MIN(AC211-'Input Data'!$BG$5,IF(OR($G211="M (under 21)",$G211="Z (under 21 - deferment)"),'Input Data'!$BG$6,IF($G211="H (Apprentice under 25)",'Input Data'!$BG$7,'Input Data'!$BG$8))-'Input Data'!$BG$5),0)*VLOOKUP($G211,'Input Data'!$BI$3:$BL$10,3,FALSE),MAX((AC211-IF(OR($G211="M (under 21)",$G211="Z (under 21 - deferment)"),'Input Data'!$BG$6,IF($G211="H (Apprentice under 25)",'Input Data'!$BG$7,'Input Data'!$BG$8))),0)*VLOOKUP($G211,'Input Data'!$BI$3:$BL$10,4,FALSE))))</f>
        <v>0</v>
      </c>
      <c r="AL211" s="56">
        <f>IF($G211="",0,IF(NOT(OR($G211="A - All employees not in groups B, C, J, H, M or Z",$G211="B - Married women and widows entitled to reduced NI",$G211="C - Over the State Pension age",$G211="H - Apprentice under 25",$G211="J – Deferment",$G211="M - Under 21",$G211="Z - Deferment (Under 21)",$G211="Please Enter The NI Cont. in ££££")),$G211,SUM(MAX(MIN(AD211-'Input Data'!$BG$3,'Input Data'!$BG$5-'Input Data'!$BG$3),0)*VLOOKUP($G211,'Input Data'!$BI$3:$BL$10,2,FALSE),MAX(MIN(AD211-'Input Data'!$BG$5,IF(OR($G211="M (under 21)",$G211="Z (under 21 - deferment)"),'Input Data'!$BG$6,IF($G211="H (Apprentice under 25)",'Input Data'!$BG$7,'Input Data'!$BG$8))-'Input Data'!$BG$5),0)*VLOOKUP($G211,'Input Data'!$BI$3:$BL$10,3,FALSE),MAX((AD211-IF(OR($G211="M (under 21)",$G211="Z (under 21 - deferment)"),'Input Data'!$BG$6,IF($G211="H (Apprentice under 25)",'Input Data'!$BG$7,'Input Data'!$BG$8))),0)*VLOOKUP($G211,'Input Data'!$BI$3:$BL$10,4,FALSE))))</f>
        <v>0</v>
      </c>
      <c r="AM211" s="56">
        <f>IF($G211="",0,IF(NOT(OR($G211="A - All employees not in groups B, C, J, H, M or Z",$G211="B - Married women and widows entitled to reduced NI",$G211="C - Over the State Pension age",$G211="H - Apprentice under 25",$G211="J – Deferment",$G211="M - Under 21",$G211="Z - Deferment (Under 21)",$G211="Please Enter The NI Cont. in ££££")),$G211,SUM(MAX(MIN(AE211-'Input Data'!$BG$3,'Input Data'!$BG$5-'Input Data'!$BG$3),0)*VLOOKUP($G211,'Input Data'!$BI$3:$BL$10,2,FALSE),MAX(MIN(AE211-'Input Data'!$BG$5,IF(OR($G211="M (under 21)",$G211="Z (under 21 - deferment)"),'Input Data'!$BG$6,IF($G211="H (Apprentice under 25)",'Input Data'!$BG$7,'Input Data'!$BG$8))-'Input Data'!$BG$5),0)*VLOOKUP($G211,'Input Data'!$BI$3:$BL$10,3,FALSE),MAX((AE211-IF(OR($G211="M (under 21)",$G211="Z (under 21 - deferment)"),'Input Data'!$BG$6,IF($G211="H (Apprentice under 25)",'Input Data'!$BG$7,'Input Data'!$BG$8))),0)*VLOOKUP($G211,'Input Data'!$BI$3:$BL$10,4,FALSE))))</f>
        <v>0</v>
      </c>
      <c r="AN211" s="56">
        <f>IF($G211="",0,IF(NOT(OR($G211="A - All employees not in groups B, C, J, H, M or Z",$G211="B - Married women and widows entitled to reduced NI",$G211="C - Over the State Pension age",$G211="H - Apprentice under 25",$G211="J – Deferment",$G211="M - Under 21",$G211="Z - Deferment (Under 21)",$G211="Please Enter The NI Cont. in ££££")),$G211,SUM(MAX(MIN(AF211-'Input Data'!$BG$3,'Input Data'!$BG$5-'Input Data'!$BG$3),0)*VLOOKUP($G211,'Input Data'!$BI$3:$BL$10,2,FALSE),MAX(MIN(AF211-'Input Data'!$BG$5,IF(OR($G211="M (under 21)",$G211="Z (under 21 - deferment)"),'Input Data'!$BG$6,IF($G211="H (Apprentice under 25)",'Input Data'!$BG$7,'Input Data'!$BG$8))-'Input Data'!$BG$5),0)*VLOOKUP($G211,'Input Data'!$BI$3:$BL$10,3,FALSE),MAX((AF211-IF(OR($G211="M (under 21)",$G211="Z (under 21 - deferment)"),'Input Data'!$BG$6,IF($G211="H (Apprentice under 25)",'Input Data'!$BG$7,'Input Data'!$BG$8))),0)*VLOOKUP($G211,'Input Data'!$BI$3:$BL$10,4,FALSE))))</f>
        <v>0</v>
      </c>
      <c r="AO211" s="56">
        <f>IF($G211="",0,IF(NOT(OR($G211="A - All employees not in groups B, C, J, H, M or Z",$G211="B - Married women and widows entitled to reduced NI",$G211="C - Over the State Pension age",$G211="H - Apprentice under 25",$G211="J – Deferment",$G211="M - Under 21",$G211="Z - Deferment (Under 21)",$G211="Please Enter The NI Cont. in ££££")),$G211,SUM(MAX(MIN(AG211-'Input Data'!$BG$3,'Input Data'!$BG$5-'Input Data'!$BG$3),0)*VLOOKUP($G211,'Input Data'!$BI$3:$BL$10,2,FALSE),MAX(MIN(AG211-'Input Data'!$BG$5,IF(OR($G211="M (under 21)",$G211="Z (under 21 - deferment)"),'Input Data'!$BG$6,IF($G211="H (Apprentice under 25)",'Input Data'!$BG$7,'Input Data'!$BG$8))-'Input Data'!$BG$5),0)*VLOOKUP($G211,'Input Data'!$BI$3:$BL$10,3,FALSE),MAX((AG211-IF(OR($G211="M (under 21)",$G211="Z (under 21 - deferment)"),'Input Data'!$BG$6,IF($G211="H (Apprentice under 25)",'Input Data'!$BG$7,'Input Data'!$BG$8))),0)*VLOOKUP($G211,'Input Data'!$BI$3:$BL$10,4,FALSE))))</f>
        <v>0</v>
      </c>
      <c r="AP211" s="56">
        <f>IF($G211="",0,IF(NOT(OR($G211="A - All employees not in groups B, C, J, H, M or Z",$G211="B - Married women and widows entitled to reduced NI",$G211="C - Over the State Pension age",$G211="H - Apprentice under 25",$G211="J – Deferment",$G211="M - Under 21",$G211="Z - Deferment (Under 21)",$G211="Please Enter The NI Cont. in ££££")),$G211,SUM(MAX(MIN(AH211-'Input Data'!$BG$3,'Input Data'!$BG$5-'Input Data'!$BG$3),0)*VLOOKUP($G211,'Input Data'!$BI$3:$BL$10,2,FALSE),MAX(MIN(AH211-'Input Data'!$BG$5,IF(OR($G211="M (under 21)",$G211="Z (under 21 - deferment)"),'Input Data'!$BG$6,IF($G211="H (Apprentice under 25)",'Input Data'!$BG$7,'Input Data'!$BG$8))-'Input Data'!$BG$5),0)*VLOOKUP($G211,'Input Data'!$BI$3:$BL$10,3,FALSE),MAX((AH211-IF(OR($G211="M (under 21)",$G211="Z (under 21 - deferment)"),'Input Data'!$BG$6,IF($G211="H (Apprentice under 25)",'Input Data'!$BG$7,'Input Data'!$BG$8))),0)*VLOOKUP($G211,'Input Data'!$BI$3:$BL$10,4,FALSE))))</f>
        <v>0</v>
      </c>
      <c r="AQ211" s="56">
        <f>IF($G211="",0,IF(NOT(OR($G211="A - All employees not in groups B, C, J, H, M or Z",$G211="B - Married women and widows entitled to reduced NI",$G211="C - Over the State Pension age",$G211="H - Apprentice under 25",$G211="J – Deferment",$G211="M - Under 21",$G211="Z - Deferment (Under 21)",$G211="Please Enter The NI Cont. in ££££")),$G211,SUM(MAX(MIN(AI211-'Input Data'!$BG$3,'Input Data'!$BG$5-'Input Data'!$BG$3),0)*VLOOKUP($G211,'Input Data'!$BI$3:$BL$10,2,FALSE),MAX(MIN(AI211-'Input Data'!$BG$5,IF(OR($G211="M (under 21)",$G211="Z (under 21 - deferment)"),'Input Data'!$BG$6,IF($G211="H (Apprentice under 25)",'Input Data'!$BG$7,'Input Data'!$BG$8))-'Input Data'!$BG$5),0)*VLOOKUP($G211,'Input Data'!$BI$3:$BL$10,3,FALSE),MAX((AI211-IF(OR($G211="M (under 21)",$G211="Z (under 21 - deferment)"),'Input Data'!$BG$6,IF($G211="H (Apprentice under 25)",'Input Data'!$BG$7,'Input Data'!$BG$8))),0)*VLOOKUP($G211,'Input Data'!$BI$3:$BL$10,4,FALSE))))</f>
        <v>0</v>
      </c>
      <c r="AR211" s="56">
        <f>IF($G211="",0,IF(NOT(OR($G211="A - All employees not in groups B, C, J, H, M or Z",$G211="B - Married women and widows entitled to reduced NI",$G211="C - Over the State Pension age",$G211="H - Apprentice under 25",$G211="J – Deferment",$G211="M - Under 21",$G211="Z - Deferment (Under 21)",$G211="Please Enter The NI Cont. in ££££")),$G211,SUM(MAX(MIN(AJ211-'Input Data'!$BG$3,'Input Data'!$BG$5-'Input Data'!$BG$3),0)*VLOOKUP($G211,'Input Data'!$BI$3:$BL$10,2,FALSE),MAX(MIN(AJ211-'Input Data'!$BG$5,IF(OR($G211="M (under 21)",$G211="Z (under 21 - deferment)"),'Input Data'!$BG$6,IF($G211="H (Apprentice under 25)",'Input Data'!$BG$7,'Input Data'!$BG$8))-'Input Data'!$BG$5),0)*VLOOKUP($G211,'Input Data'!$BI$3:$BL$10,3,FALSE),MAX((AJ211-IF(OR($G211="M (under 21)",$G211="Z (under 21 - deferment)"),'Input Data'!$BG$6,IF($G211="H (Apprentice under 25)",'Input Data'!$BG$7,'Input Data'!$BG$8))),0)*VLOOKUP($G211,'Input Data'!$BI$3:$BL$10,4,FALSE))))</f>
        <v>0</v>
      </c>
      <c r="AS211" s="56">
        <f>AC211*$F211</f>
        <v>0</v>
      </c>
      <c r="AT211" s="56">
        <f>AD211*$F211</f>
        <v>0</v>
      </c>
      <c r="AU211" s="56">
        <f>AE211*$F211</f>
        <v>0</v>
      </c>
      <c r="AV211" s="56">
        <f>AF211*$F211</f>
        <v>0</v>
      </c>
      <c r="AW211" s="56">
        <f>AG211*$F211</f>
        <v>0</v>
      </c>
      <c r="AX211" s="56">
        <f>AH211*$F211</f>
        <v>0</v>
      </c>
      <c r="AY211" s="56">
        <f>AI211*$F211</f>
        <v>0</v>
      </c>
      <c r="AZ211" s="56">
        <f>AJ211*$F211</f>
        <v>0</v>
      </c>
    </row>
    <row r="212" spans="2:52" ht="25.5">
      <c r="B212" s="60"/>
      <c r="C212" s="57" t="s">
        <v>83</v>
      </c>
      <c r="D212" s="58"/>
      <c r="E212" s="58"/>
      <c r="F212" s="535"/>
      <c r="G212" s="693" t="s">
        <v>1149</v>
      </c>
      <c r="H212" s="65"/>
      <c r="I212" s="65"/>
      <c r="J212" s="65"/>
      <c r="K212" s="65"/>
      <c r="L212" s="65"/>
      <c r="M212" s="65"/>
      <c r="N212" s="65"/>
      <c r="O212" s="65"/>
      <c r="P212" s="29"/>
      <c r="Q212" s="597"/>
      <c r="R212" s="61"/>
      <c r="T212" s="43">
        <f>SUM(AC212,AK212,AS212)</f>
        <v>0</v>
      </c>
      <c r="U212" s="43">
        <f>SUM(AD212,AL212,AT212)</f>
        <v>0</v>
      </c>
      <c r="V212" s="43">
        <f>SUM(AE212,AM212,AU212)</f>
        <v>0</v>
      </c>
      <c r="W212" s="43">
        <f>SUM(AF212,AN212,AV212)</f>
        <v>0</v>
      </c>
      <c r="X212" s="43">
        <f>SUM(AG212,AO212,AW212)</f>
        <v>0</v>
      </c>
      <c r="Y212" s="43">
        <f>SUM(AH212,AP212,AX212)</f>
        <v>0</v>
      </c>
      <c r="Z212" s="43">
        <f>SUM(AI212,AQ212,AY212)</f>
        <v>0</v>
      </c>
      <c r="AA212" s="43">
        <f>SUM(AJ212,AR212,AZ212)</f>
        <v>0</v>
      </c>
      <c r="AC212" s="631">
        <f>SUM($D212:$E212)*H212</f>
        <v>0</v>
      </c>
      <c r="AD212" s="631">
        <f>SUM($D212:$E212)*I212</f>
        <v>0</v>
      </c>
      <c r="AE212" s="631">
        <f>SUM($D212:$E212)*J212</f>
        <v>0</v>
      </c>
      <c r="AF212" s="631">
        <f>SUM($D212:$E212)*K212</f>
        <v>0</v>
      </c>
      <c r="AG212" s="631">
        <f>SUM($D212:$E212)*L212</f>
        <v>0</v>
      </c>
      <c r="AH212" s="631">
        <f>SUM($D212:$E212)*M212</f>
        <v>0</v>
      </c>
      <c r="AI212" s="631">
        <f>SUM($D212:$E212)*N212</f>
        <v>0</v>
      </c>
      <c r="AJ212" s="631">
        <f>SUM($D212:$E212)*O212</f>
        <v>0</v>
      </c>
      <c r="AK212" s="56">
        <f>IF($G212="",0,IF(NOT(OR($G212="A - All employees not in groups B, C, J, H, M or Z",$G212="B - Married women and widows entitled to reduced NI",$G212="C - Over the State Pension age",$G212="H - Apprentice under 25",$G212="J – Deferment",$G212="M - Under 21",$G212="Z - Deferment (Under 21)",$G212="Please Enter The NI Cont. in ££££")),$G212,SUM(MAX(MIN(AC212-'Input Data'!$BG$3,'Input Data'!$BG$5-'Input Data'!$BG$3),0)*VLOOKUP($G212,'Input Data'!$BI$3:$BL$10,2,FALSE),MAX(MIN(AC212-'Input Data'!$BG$5,IF(OR($G212="M (under 21)",$G212="Z (under 21 - deferment)"),'Input Data'!$BG$6,IF($G212="H (Apprentice under 25)",'Input Data'!$BG$7,'Input Data'!$BG$8))-'Input Data'!$BG$5),0)*VLOOKUP($G212,'Input Data'!$BI$3:$BL$10,3,FALSE),MAX((AC212-IF(OR($G212="M (under 21)",$G212="Z (under 21 - deferment)"),'Input Data'!$BG$6,IF($G212="H (Apprentice under 25)",'Input Data'!$BG$7,'Input Data'!$BG$8))),0)*VLOOKUP($G212,'Input Data'!$BI$3:$BL$10,4,FALSE))))</f>
        <v>0</v>
      </c>
      <c r="AL212" s="56">
        <f>IF($G212="",0,IF(NOT(OR($G212="A - All employees not in groups B, C, J, H, M or Z",$G212="B - Married women and widows entitled to reduced NI",$G212="C - Over the State Pension age",$G212="H - Apprentice under 25",$G212="J – Deferment",$G212="M - Under 21",$G212="Z - Deferment (Under 21)",$G212="Please Enter The NI Cont. in ££££")),$G212,SUM(MAX(MIN(AD212-'Input Data'!$BG$3,'Input Data'!$BG$5-'Input Data'!$BG$3),0)*VLOOKUP($G212,'Input Data'!$BI$3:$BL$10,2,FALSE),MAX(MIN(AD212-'Input Data'!$BG$5,IF(OR($G212="M (under 21)",$G212="Z (under 21 - deferment)"),'Input Data'!$BG$6,IF($G212="H (Apprentice under 25)",'Input Data'!$BG$7,'Input Data'!$BG$8))-'Input Data'!$BG$5),0)*VLOOKUP($G212,'Input Data'!$BI$3:$BL$10,3,FALSE),MAX((AD212-IF(OR($G212="M (under 21)",$G212="Z (under 21 - deferment)"),'Input Data'!$BG$6,IF($G212="H (Apprentice under 25)",'Input Data'!$BG$7,'Input Data'!$BG$8))),0)*VLOOKUP($G212,'Input Data'!$BI$3:$BL$10,4,FALSE))))</f>
        <v>0</v>
      </c>
      <c r="AM212" s="56">
        <f>IF($G212="",0,IF(NOT(OR($G212="A - All employees not in groups B, C, J, H, M or Z",$G212="B - Married women and widows entitled to reduced NI",$G212="C - Over the State Pension age",$G212="H - Apprentice under 25",$G212="J – Deferment",$G212="M - Under 21",$G212="Z - Deferment (Under 21)",$G212="Please Enter The NI Cont. in ££££")),$G212,SUM(MAX(MIN(AE212-'Input Data'!$BG$3,'Input Data'!$BG$5-'Input Data'!$BG$3),0)*VLOOKUP($G212,'Input Data'!$BI$3:$BL$10,2,FALSE),MAX(MIN(AE212-'Input Data'!$BG$5,IF(OR($G212="M (under 21)",$G212="Z (under 21 - deferment)"),'Input Data'!$BG$6,IF($G212="H (Apprentice under 25)",'Input Data'!$BG$7,'Input Data'!$BG$8))-'Input Data'!$BG$5),0)*VLOOKUP($G212,'Input Data'!$BI$3:$BL$10,3,FALSE),MAX((AE212-IF(OR($G212="M (under 21)",$G212="Z (under 21 - deferment)"),'Input Data'!$BG$6,IF($G212="H (Apprentice under 25)",'Input Data'!$BG$7,'Input Data'!$BG$8))),0)*VLOOKUP($G212,'Input Data'!$BI$3:$BL$10,4,FALSE))))</f>
        <v>0</v>
      </c>
      <c r="AN212" s="56">
        <f>IF($G212="",0,IF(NOT(OR($G212="A - All employees not in groups B, C, J, H, M or Z",$G212="B - Married women and widows entitled to reduced NI",$G212="C - Over the State Pension age",$G212="H - Apprentice under 25",$G212="J – Deferment",$G212="M - Under 21",$G212="Z - Deferment (Under 21)",$G212="Please Enter The NI Cont. in ££££")),$G212,SUM(MAX(MIN(AF212-'Input Data'!$BG$3,'Input Data'!$BG$5-'Input Data'!$BG$3),0)*VLOOKUP($G212,'Input Data'!$BI$3:$BL$10,2,FALSE),MAX(MIN(AF212-'Input Data'!$BG$5,IF(OR($G212="M (under 21)",$G212="Z (under 21 - deferment)"),'Input Data'!$BG$6,IF($G212="H (Apprentice under 25)",'Input Data'!$BG$7,'Input Data'!$BG$8))-'Input Data'!$BG$5),0)*VLOOKUP($G212,'Input Data'!$BI$3:$BL$10,3,FALSE),MAX((AF212-IF(OR($G212="M (under 21)",$G212="Z (under 21 - deferment)"),'Input Data'!$BG$6,IF($G212="H (Apprentice under 25)",'Input Data'!$BG$7,'Input Data'!$BG$8))),0)*VLOOKUP($G212,'Input Data'!$BI$3:$BL$10,4,FALSE))))</f>
        <v>0</v>
      </c>
      <c r="AO212" s="56">
        <f>IF($G212="",0,IF(NOT(OR($G212="A - All employees not in groups B, C, J, H, M or Z",$G212="B - Married women and widows entitled to reduced NI",$G212="C - Over the State Pension age",$G212="H - Apprentice under 25",$G212="J – Deferment",$G212="M - Under 21",$G212="Z - Deferment (Under 21)",$G212="Please Enter The NI Cont. in ££££")),$G212,SUM(MAX(MIN(AG212-'Input Data'!$BG$3,'Input Data'!$BG$5-'Input Data'!$BG$3),0)*VLOOKUP($G212,'Input Data'!$BI$3:$BL$10,2,FALSE),MAX(MIN(AG212-'Input Data'!$BG$5,IF(OR($G212="M (under 21)",$G212="Z (under 21 - deferment)"),'Input Data'!$BG$6,IF($G212="H (Apprentice under 25)",'Input Data'!$BG$7,'Input Data'!$BG$8))-'Input Data'!$BG$5),0)*VLOOKUP($G212,'Input Data'!$BI$3:$BL$10,3,FALSE),MAX((AG212-IF(OR($G212="M (under 21)",$G212="Z (under 21 - deferment)"),'Input Data'!$BG$6,IF($G212="H (Apprentice under 25)",'Input Data'!$BG$7,'Input Data'!$BG$8))),0)*VLOOKUP($G212,'Input Data'!$BI$3:$BL$10,4,FALSE))))</f>
        <v>0</v>
      </c>
      <c r="AP212" s="56">
        <f>IF($G212="",0,IF(NOT(OR($G212="A - All employees not in groups B, C, J, H, M or Z",$G212="B - Married women and widows entitled to reduced NI",$G212="C - Over the State Pension age",$G212="H - Apprentice under 25",$G212="J – Deferment",$G212="M - Under 21",$G212="Z - Deferment (Under 21)",$G212="Please Enter The NI Cont. in ££££")),$G212,SUM(MAX(MIN(AH212-'Input Data'!$BG$3,'Input Data'!$BG$5-'Input Data'!$BG$3),0)*VLOOKUP($G212,'Input Data'!$BI$3:$BL$10,2,FALSE),MAX(MIN(AH212-'Input Data'!$BG$5,IF(OR($G212="M (under 21)",$G212="Z (under 21 - deferment)"),'Input Data'!$BG$6,IF($G212="H (Apprentice under 25)",'Input Data'!$BG$7,'Input Data'!$BG$8))-'Input Data'!$BG$5),0)*VLOOKUP($G212,'Input Data'!$BI$3:$BL$10,3,FALSE),MAX((AH212-IF(OR($G212="M (under 21)",$G212="Z (under 21 - deferment)"),'Input Data'!$BG$6,IF($G212="H (Apprentice under 25)",'Input Data'!$BG$7,'Input Data'!$BG$8))),0)*VLOOKUP($G212,'Input Data'!$BI$3:$BL$10,4,FALSE))))</f>
        <v>0</v>
      </c>
      <c r="AQ212" s="56">
        <f>IF($G212="",0,IF(NOT(OR($G212="A - All employees not in groups B, C, J, H, M or Z",$G212="B - Married women and widows entitled to reduced NI",$G212="C - Over the State Pension age",$G212="H - Apprentice under 25",$G212="J – Deferment",$G212="M - Under 21",$G212="Z - Deferment (Under 21)",$G212="Please Enter The NI Cont. in ££££")),$G212,SUM(MAX(MIN(AI212-'Input Data'!$BG$3,'Input Data'!$BG$5-'Input Data'!$BG$3),0)*VLOOKUP($G212,'Input Data'!$BI$3:$BL$10,2,FALSE),MAX(MIN(AI212-'Input Data'!$BG$5,IF(OR($G212="M (under 21)",$G212="Z (under 21 - deferment)"),'Input Data'!$BG$6,IF($G212="H (Apprentice under 25)",'Input Data'!$BG$7,'Input Data'!$BG$8))-'Input Data'!$BG$5),0)*VLOOKUP($G212,'Input Data'!$BI$3:$BL$10,3,FALSE),MAX((AI212-IF(OR($G212="M (under 21)",$G212="Z (under 21 - deferment)"),'Input Data'!$BG$6,IF($G212="H (Apprentice under 25)",'Input Data'!$BG$7,'Input Data'!$BG$8))),0)*VLOOKUP($G212,'Input Data'!$BI$3:$BL$10,4,FALSE))))</f>
        <v>0</v>
      </c>
      <c r="AR212" s="56">
        <f>IF($G212="",0,IF(NOT(OR($G212="A - All employees not in groups B, C, J, H, M or Z",$G212="B - Married women and widows entitled to reduced NI",$G212="C - Over the State Pension age",$G212="H - Apprentice under 25",$G212="J – Deferment",$G212="M - Under 21",$G212="Z - Deferment (Under 21)",$G212="Please Enter The NI Cont. in ££££")),$G212,SUM(MAX(MIN(AJ212-'Input Data'!$BG$3,'Input Data'!$BG$5-'Input Data'!$BG$3),0)*VLOOKUP($G212,'Input Data'!$BI$3:$BL$10,2,FALSE),MAX(MIN(AJ212-'Input Data'!$BG$5,IF(OR($G212="M (under 21)",$G212="Z (under 21 - deferment)"),'Input Data'!$BG$6,IF($G212="H (Apprentice under 25)",'Input Data'!$BG$7,'Input Data'!$BG$8))-'Input Data'!$BG$5),0)*VLOOKUP($G212,'Input Data'!$BI$3:$BL$10,3,FALSE),MAX((AJ212-IF(OR($G212="M (under 21)",$G212="Z (under 21 - deferment)"),'Input Data'!$BG$6,IF($G212="H (Apprentice under 25)",'Input Data'!$BG$7,'Input Data'!$BG$8))),0)*VLOOKUP($G212,'Input Data'!$BI$3:$BL$10,4,FALSE))))</f>
        <v>0</v>
      </c>
      <c r="AS212" s="56">
        <f>AC212*$F212</f>
        <v>0</v>
      </c>
      <c r="AT212" s="56">
        <f>AD212*$F212</f>
        <v>0</v>
      </c>
      <c r="AU212" s="56">
        <f>AE212*$F212</f>
        <v>0</v>
      </c>
      <c r="AV212" s="56">
        <f>AF212*$F212</f>
        <v>0</v>
      </c>
      <c r="AW212" s="56">
        <f>AG212*$F212</f>
        <v>0</v>
      </c>
      <c r="AX212" s="56">
        <f>AH212*$F212</f>
        <v>0</v>
      </c>
      <c r="AY212" s="56">
        <f>AI212*$F212</f>
        <v>0</v>
      </c>
      <c r="AZ212" s="56">
        <f>AJ212*$F212</f>
        <v>0</v>
      </c>
    </row>
    <row r="213" spans="2:52" ht="25.5">
      <c r="B213" s="60"/>
      <c r="C213" s="57" t="s">
        <v>84</v>
      </c>
      <c r="D213" s="58"/>
      <c r="E213" s="58"/>
      <c r="F213" s="535"/>
      <c r="G213" s="693" t="s">
        <v>1149</v>
      </c>
      <c r="H213" s="65"/>
      <c r="I213" s="65"/>
      <c r="J213" s="65"/>
      <c r="K213" s="65"/>
      <c r="L213" s="65"/>
      <c r="M213" s="65"/>
      <c r="N213" s="65"/>
      <c r="O213" s="65"/>
      <c r="P213" s="29"/>
      <c r="Q213" s="597"/>
      <c r="R213" s="61"/>
      <c r="T213" s="43">
        <f>SUM(AC213,AK213,AS213)</f>
        <v>0</v>
      </c>
      <c r="U213" s="43">
        <f>SUM(AD213,AL213,AT213)</f>
        <v>0</v>
      </c>
      <c r="V213" s="43">
        <f>SUM(AE213,AM213,AU213)</f>
        <v>0</v>
      </c>
      <c r="W213" s="43">
        <f>SUM(AF213,AN213,AV213)</f>
        <v>0</v>
      </c>
      <c r="X213" s="43">
        <f>SUM(AG213,AO213,AW213)</f>
        <v>0</v>
      </c>
      <c r="Y213" s="43">
        <f>SUM(AH213,AP213,AX213)</f>
        <v>0</v>
      </c>
      <c r="Z213" s="43">
        <f>SUM(AI213,AQ213,AY213)</f>
        <v>0</v>
      </c>
      <c r="AA213" s="43">
        <f>SUM(AJ213,AR213,AZ213)</f>
        <v>0</v>
      </c>
      <c r="AC213" s="631">
        <f>SUM($D213:$E213)*H213</f>
        <v>0</v>
      </c>
      <c r="AD213" s="631">
        <f>SUM($D213:$E213)*I213</f>
        <v>0</v>
      </c>
      <c r="AE213" s="631">
        <f>SUM($D213:$E213)*J213</f>
        <v>0</v>
      </c>
      <c r="AF213" s="631">
        <f>SUM($D213:$E213)*K213</f>
        <v>0</v>
      </c>
      <c r="AG213" s="631">
        <f>SUM($D213:$E213)*L213</f>
        <v>0</v>
      </c>
      <c r="AH213" s="631">
        <f>SUM($D213:$E213)*M213</f>
        <v>0</v>
      </c>
      <c r="AI213" s="631">
        <f>SUM($D213:$E213)*N213</f>
        <v>0</v>
      </c>
      <c r="AJ213" s="631">
        <f>SUM($D213:$E213)*O213</f>
        <v>0</v>
      </c>
      <c r="AK213" s="56">
        <f>IF($G213="",0,IF(NOT(OR($G213="A - All employees not in groups B, C, J, H, M or Z",$G213="B - Married women and widows entitled to reduced NI",$G213="C - Over the State Pension age",$G213="H - Apprentice under 25",$G213="J – Deferment",$G213="M - Under 21",$G213="Z - Deferment (Under 21)",$G213="Please Enter The NI Cont. in ££££")),$G213,SUM(MAX(MIN(AC213-'Input Data'!$BG$3,'Input Data'!$BG$5-'Input Data'!$BG$3),0)*VLOOKUP($G213,'Input Data'!$BI$3:$BL$10,2,FALSE),MAX(MIN(AC213-'Input Data'!$BG$5,IF(OR($G213="M (under 21)",$G213="Z (under 21 - deferment)"),'Input Data'!$BG$6,IF($G213="H (Apprentice under 25)",'Input Data'!$BG$7,'Input Data'!$BG$8))-'Input Data'!$BG$5),0)*VLOOKUP($G213,'Input Data'!$BI$3:$BL$10,3,FALSE),MAX((AC213-IF(OR($G213="M (under 21)",$G213="Z (under 21 - deferment)"),'Input Data'!$BG$6,IF($G213="H (Apprentice under 25)",'Input Data'!$BG$7,'Input Data'!$BG$8))),0)*VLOOKUP($G213,'Input Data'!$BI$3:$BL$10,4,FALSE))))</f>
        <v>0</v>
      </c>
      <c r="AL213" s="56">
        <f>IF($G213="",0,IF(NOT(OR($G213="A - All employees not in groups B, C, J, H, M or Z",$G213="B - Married women and widows entitled to reduced NI",$G213="C - Over the State Pension age",$G213="H - Apprentice under 25",$G213="J – Deferment",$G213="M - Under 21",$G213="Z - Deferment (Under 21)",$G213="Please Enter The NI Cont. in ££££")),$G213,SUM(MAX(MIN(AD213-'Input Data'!$BG$3,'Input Data'!$BG$5-'Input Data'!$BG$3),0)*VLOOKUP($G213,'Input Data'!$BI$3:$BL$10,2,FALSE),MAX(MIN(AD213-'Input Data'!$BG$5,IF(OR($G213="M (under 21)",$G213="Z (under 21 - deferment)"),'Input Data'!$BG$6,IF($G213="H (Apprentice under 25)",'Input Data'!$BG$7,'Input Data'!$BG$8))-'Input Data'!$BG$5),0)*VLOOKUP($G213,'Input Data'!$BI$3:$BL$10,3,FALSE),MAX((AD213-IF(OR($G213="M (under 21)",$G213="Z (under 21 - deferment)"),'Input Data'!$BG$6,IF($G213="H (Apprentice under 25)",'Input Data'!$BG$7,'Input Data'!$BG$8))),0)*VLOOKUP($G213,'Input Data'!$BI$3:$BL$10,4,FALSE))))</f>
        <v>0</v>
      </c>
      <c r="AM213" s="56">
        <f>IF($G213="",0,IF(NOT(OR($G213="A - All employees not in groups B, C, J, H, M or Z",$G213="B - Married women and widows entitled to reduced NI",$G213="C - Over the State Pension age",$G213="H - Apprentice under 25",$G213="J – Deferment",$G213="M - Under 21",$G213="Z - Deferment (Under 21)",$G213="Please Enter The NI Cont. in ££££")),$G213,SUM(MAX(MIN(AE213-'Input Data'!$BG$3,'Input Data'!$BG$5-'Input Data'!$BG$3),0)*VLOOKUP($G213,'Input Data'!$BI$3:$BL$10,2,FALSE),MAX(MIN(AE213-'Input Data'!$BG$5,IF(OR($G213="M (under 21)",$G213="Z (under 21 - deferment)"),'Input Data'!$BG$6,IF($G213="H (Apprentice under 25)",'Input Data'!$BG$7,'Input Data'!$BG$8))-'Input Data'!$BG$5),0)*VLOOKUP($G213,'Input Data'!$BI$3:$BL$10,3,FALSE),MAX((AE213-IF(OR($G213="M (under 21)",$G213="Z (under 21 - deferment)"),'Input Data'!$BG$6,IF($G213="H (Apprentice under 25)",'Input Data'!$BG$7,'Input Data'!$BG$8))),0)*VLOOKUP($G213,'Input Data'!$BI$3:$BL$10,4,FALSE))))</f>
        <v>0</v>
      </c>
      <c r="AN213" s="56">
        <f>IF($G213="",0,IF(NOT(OR($G213="A - All employees not in groups B, C, J, H, M or Z",$G213="B - Married women and widows entitled to reduced NI",$G213="C - Over the State Pension age",$G213="H - Apprentice under 25",$G213="J – Deferment",$G213="M - Under 21",$G213="Z - Deferment (Under 21)",$G213="Please Enter The NI Cont. in ££££")),$G213,SUM(MAX(MIN(AF213-'Input Data'!$BG$3,'Input Data'!$BG$5-'Input Data'!$BG$3),0)*VLOOKUP($G213,'Input Data'!$BI$3:$BL$10,2,FALSE),MAX(MIN(AF213-'Input Data'!$BG$5,IF(OR($G213="M (under 21)",$G213="Z (under 21 - deferment)"),'Input Data'!$BG$6,IF($G213="H (Apprentice under 25)",'Input Data'!$BG$7,'Input Data'!$BG$8))-'Input Data'!$BG$5),0)*VLOOKUP($G213,'Input Data'!$BI$3:$BL$10,3,FALSE),MAX((AF213-IF(OR($G213="M (under 21)",$G213="Z (under 21 - deferment)"),'Input Data'!$BG$6,IF($G213="H (Apprentice under 25)",'Input Data'!$BG$7,'Input Data'!$BG$8))),0)*VLOOKUP($G213,'Input Data'!$BI$3:$BL$10,4,FALSE))))</f>
        <v>0</v>
      </c>
      <c r="AO213" s="56">
        <f>IF($G213="",0,IF(NOT(OR($G213="A - All employees not in groups B, C, J, H, M or Z",$G213="B - Married women and widows entitled to reduced NI",$G213="C - Over the State Pension age",$G213="H - Apprentice under 25",$G213="J – Deferment",$G213="M - Under 21",$G213="Z - Deferment (Under 21)",$G213="Please Enter The NI Cont. in ££££")),$G213,SUM(MAX(MIN(AG213-'Input Data'!$BG$3,'Input Data'!$BG$5-'Input Data'!$BG$3),0)*VLOOKUP($G213,'Input Data'!$BI$3:$BL$10,2,FALSE),MAX(MIN(AG213-'Input Data'!$BG$5,IF(OR($G213="M (under 21)",$G213="Z (under 21 - deferment)"),'Input Data'!$BG$6,IF($G213="H (Apprentice under 25)",'Input Data'!$BG$7,'Input Data'!$BG$8))-'Input Data'!$BG$5),0)*VLOOKUP($G213,'Input Data'!$BI$3:$BL$10,3,FALSE),MAX((AG213-IF(OR($G213="M (under 21)",$G213="Z (under 21 - deferment)"),'Input Data'!$BG$6,IF($G213="H (Apprentice under 25)",'Input Data'!$BG$7,'Input Data'!$BG$8))),0)*VLOOKUP($G213,'Input Data'!$BI$3:$BL$10,4,FALSE))))</f>
        <v>0</v>
      </c>
      <c r="AP213" s="56">
        <f>IF($G213="",0,IF(NOT(OR($G213="A - All employees not in groups B, C, J, H, M or Z",$G213="B - Married women and widows entitled to reduced NI",$G213="C - Over the State Pension age",$G213="H - Apprentice under 25",$G213="J – Deferment",$G213="M - Under 21",$G213="Z - Deferment (Under 21)",$G213="Please Enter The NI Cont. in ££££")),$G213,SUM(MAX(MIN(AH213-'Input Data'!$BG$3,'Input Data'!$BG$5-'Input Data'!$BG$3),0)*VLOOKUP($G213,'Input Data'!$BI$3:$BL$10,2,FALSE),MAX(MIN(AH213-'Input Data'!$BG$5,IF(OR($G213="M (under 21)",$G213="Z (under 21 - deferment)"),'Input Data'!$BG$6,IF($G213="H (Apprentice under 25)",'Input Data'!$BG$7,'Input Data'!$BG$8))-'Input Data'!$BG$5),0)*VLOOKUP($G213,'Input Data'!$BI$3:$BL$10,3,FALSE),MAX((AH213-IF(OR($G213="M (under 21)",$G213="Z (under 21 - deferment)"),'Input Data'!$BG$6,IF($G213="H (Apprentice under 25)",'Input Data'!$BG$7,'Input Data'!$BG$8))),0)*VLOOKUP($G213,'Input Data'!$BI$3:$BL$10,4,FALSE))))</f>
        <v>0</v>
      </c>
      <c r="AQ213" s="56">
        <f>IF($G213="",0,IF(NOT(OR($G213="A - All employees not in groups B, C, J, H, M or Z",$G213="B - Married women and widows entitled to reduced NI",$G213="C - Over the State Pension age",$G213="H - Apprentice under 25",$G213="J – Deferment",$G213="M - Under 21",$G213="Z - Deferment (Under 21)",$G213="Please Enter The NI Cont. in ££££")),$G213,SUM(MAX(MIN(AI213-'Input Data'!$BG$3,'Input Data'!$BG$5-'Input Data'!$BG$3),0)*VLOOKUP($G213,'Input Data'!$BI$3:$BL$10,2,FALSE),MAX(MIN(AI213-'Input Data'!$BG$5,IF(OR($G213="M (under 21)",$G213="Z (under 21 - deferment)"),'Input Data'!$BG$6,IF($G213="H (Apprentice under 25)",'Input Data'!$BG$7,'Input Data'!$BG$8))-'Input Data'!$BG$5),0)*VLOOKUP($G213,'Input Data'!$BI$3:$BL$10,3,FALSE),MAX((AI213-IF(OR($G213="M (under 21)",$G213="Z (under 21 - deferment)"),'Input Data'!$BG$6,IF($G213="H (Apprentice under 25)",'Input Data'!$BG$7,'Input Data'!$BG$8))),0)*VLOOKUP($G213,'Input Data'!$BI$3:$BL$10,4,FALSE))))</f>
        <v>0</v>
      </c>
      <c r="AR213" s="56">
        <f>IF($G213="",0,IF(NOT(OR($G213="A - All employees not in groups B, C, J, H, M or Z",$G213="B - Married women and widows entitled to reduced NI",$G213="C - Over the State Pension age",$G213="H - Apprentice under 25",$G213="J – Deferment",$G213="M - Under 21",$G213="Z - Deferment (Under 21)",$G213="Please Enter The NI Cont. in ££££")),$G213,SUM(MAX(MIN(AJ213-'Input Data'!$BG$3,'Input Data'!$BG$5-'Input Data'!$BG$3),0)*VLOOKUP($G213,'Input Data'!$BI$3:$BL$10,2,FALSE),MAX(MIN(AJ213-'Input Data'!$BG$5,IF(OR($G213="M (under 21)",$G213="Z (under 21 - deferment)"),'Input Data'!$BG$6,IF($G213="H (Apprentice under 25)",'Input Data'!$BG$7,'Input Data'!$BG$8))-'Input Data'!$BG$5),0)*VLOOKUP($G213,'Input Data'!$BI$3:$BL$10,3,FALSE),MAX((AJ213-IF(OR($G213="M (under 21)",$G213="Z (under 21 - deferment)"),'Input Data'!$BG$6,IF($G213="H (Apprentice under 25)",'Input Data'!$BG$7,'Input Data'!$BG$8))),0)*VLOOKUP($G213,'Input Data'!$BI$3:$BL$10,4,FALSE))))</f>
        <v>0</v>
      </c>
      <c r="AS213" s="56">
        <f>AC213*$F213</f>
        <v>0</v>
      </c>
      <c r="AT213" s="56">
        <f>AD213*$F213</f>
        <v>0</v>
      </c>
      <c r="AU213" s="56">
        <f>AE213*$F213</f>
        <v>0</v>
      </c>
      <c r="AV213" s="56">
        <f>AF213*$F213</f>
        <v>0</v>
      </c>
      <c r="AW213" s="56">
        <f>AG213*$F213</f>
        <v>0</v>
      </c>
      <c r="AX213" s="56">
        <f>AH213*$F213</f>
        <v>0</v>
      </c>
      <c r="AY213" s="56">
        <f>AI213*$F213</f>
        <v>0</v>
      </c>
      <c r="AZ213" s="56">
        <f>AJ213*$F213</f>
        <v>0</v>
      </c>
    </row>
    <row r="214" spans="2:52" ht="15">
      <c r="B214" s="60"/>
      <c r="C214" s="33"/>
      <c r="D214" s="33"/>
      <c r="E214" s="33"/>
      <c r="F214" s="33"/>
      <c r="G214" s="34"/>
      <c r="H214" s="53"/>
      <c r="I214" s="53"/>
      <c r="J214" s="53"/>
      <c r="K214" s="53"/>
      <c r="L214" s="53"/>
      <c r="M214" s="53"/>
      <c r="N214" s="53"/>
      <c r="O214" s="53"/>
      <c r="P214" s="26"/>
      <c r="Q214" s="33"/>
      <c r="R214" s="61"/>
      <c r="T214"/>
      <c r="U214"/>
      <c r="V214"/>
      <c r="W214"/>
      <c r="X214"/>
      <c r="Y214"/>
      <c r="Z214"/>
      <c r="AA214"/>
      <c r="AB214"/>
      <c r="AC214" s="631"/>
      <c r="AD214" s="631"/>
      <c r="AE214" s="631"/>
      <c r="AF214" s="631"/>
      <c r="AG214" s="631"/>
      <c r="AH214" s="631"/>
      <c r="AI214" s="631"/>
      <c r="AJ214" s="631"/>
      <c r="AK214" s="56"/>
      <c r="AL214" s="56"/>
      <c r="AM214" s="56"/>
      <c r="AN214" s="56"/>
      <c r="AO214" s="56"/>
      <c r="AP214" s="56"/>
      <c r="AQ214" s="56"/>
      <c r="AR214" s="56"/>
      <c r="AS214"/>
      <c r="AT214"/>
      <c r="AU214"/>
      <c r="AV214"/>
      <c r="AW214"/>
      <c r="AX214"/>
      <c r="AY214"/>
      <c r="AZ214"/>
    </row>
    <row r="215" spans="2:52" ht="15">
      <c r="B215" s="60"/>
      <c r="C215" s="33"/>
      <c r="D215" s="33"/>
      <c r="E215" s="33"/>
      <c r="F215" s="33"/>
      <c r="G215" s="35" t="s">
        <v>1142</v>
      </c>
      <c r="H215" s="53"/>
      <c r="I215" s="53"/>
      <c r="J215" s="53"/>
      <c r="K215" s="53"/>
      <c r="L215" s="53"/>
      <c r="M215" s="53"/>
      <c r="N215" s="53"/>
      <c r="O215" s="53"/>
      <c r="P215" s="26"/>
      <c r="Q215" s="33"/>
      <c r="R215" s="61"/>
      <c r="T215"/>
      <c r="U215"/>
      <c r="V215"/>
      <c r="W215"/>
      <c r="X215"/>
      <c r="Y215"/>
      <c r="Z215"/>
      <c r="AA215"/>
      <c r="AB215"/>
      <c r="AC215" s="631"/>
      <c r="AD215" s="631"/>
      <c r="AE215" s="631"/>
      <c r="AF215" s="631"/>
      <c r="AG215" s="631"/>
      <c r="AH215" s="631"/>
      <c r="AI215" s="631"/>
      <c r="AJ215" s="631"/>
      <c r="AK215" s="56"/>
      <c r="AL215" s="56"/>
      <c r="AM215" s="56"/>
      <c r="AN215" s="56"/>
      <c r="AO215" s="56"/>
      <c r="AP215" s="56"/>
      <c r="AQ215" s="56"/>
      <c r="AR215" s="56"/>
      <c r="AS215"/>
      <c r="AT215"/>
      <c r="AU215"/>
      <c r="AV215"/>
      <c r="AW215"/>
      <c r="AX215"/>
      <c r="AY215"/>
      <c r="AZ215"/>
    </row>
    <row r="216" spans="2:52" ht="15">
      <c r="B216" s="60"/>
      <c r="C216" s="33" t="s">
        <v>130</v>
      </c>
      <c r="D216" s="33"/>
      <c r="E216" s="33"/>
      <c r="F216" s="33"/>
      <c r="G216" s="34"/>
      <c r="H216" s="53"/>
      <c r="I216" s="53"/>
      <c r="J216" s="53"/>
      <c r="K216" s="53"/>
      <c r="L216" s="53"/>
      <c r="M216" s="53"/>
      <c r="N216" s="53"/>
      <c r="O216" s="53"/>
      <c r="P216" s="26"/>
      <c r="Q216" s="33"/>
      <c r="R216" s="61"/>
      <c r="T216"/>
      <c r="U216"/>
      <c r="V216"/>
      <c r="W216"/>
      <c r="X216"/>
      <c r="Y216"/>
      <c r="Z216"/>
      <c r="AA216"/>
      <c r="AB216"/>
      <c r="AC216" s="631"/>
      <c r="AD216" s="631"/>
      <c r="AE216" s="631"/>
      <c r="AF216" s="631"/>
      <c r="AG216" s="631"/>
      <c r="AH216" s="631"/>
      <c r="AI216" s="631"/>
      <c r="AJ216" s="631"/>
      <c r="AK216" s="56"/>
      <c r="AL216" s="56"/>
      <c r="AM216" s="56"/>
      <c r="AN216" s="56"/>
      <c r="AO216" s="56"/>
      <c r="AP216" s="56"/>
      <c r="AQ216" s="56"/>
      <c r="AR216" s="56"/>
      <c r="AS216"/>
      <c r="AT216"/>
      <c r="AU216"/>
      <c r="AV216"/>
      <c r="AW216"/>
      <c r="AX216"/>
      <c r="AY216"/>
      <c r="AZ216"/>
    </row>
    <row r="217" spans="2:52" ht="25.5">
      <c r="B217" s="60"/>
      <c r="C217" s="57" t="s">
        <v>65</v>
      </c>
      <c r="D217" s="58"/>
      <c r="E217" s="58"/>
      <c r="F217" s="535"/>
      <c r="G217" s="693" t="s">
        <v>1149</v>
      </c>
      <c r="H217" s="65"/>
      <c r="I217" s="65"/>
      <c r="J217" s="65"/>
      <c r="K217" s="65"/>
      <c r="L217" s="65"/>
      <c r="M217" s="65"/>
      <c r="N217" s="65"/>
      <c r="O217" s="65"/>
      <c r="P217" s="29"/>
      <c r="Q217" s="597"/>
      <c r="R217" s="61"/>
      <c r="T217" s="43">
        <f>SUM(AC217,AK217,AS217)</f>
        <v>0</v>
      </c>
      <c r="U217" s="43">
        <f>SUM(AD217,AL217,AT217)</f>
        <v>0</v>
      </c>
      <c r="V217" s="43">
        <f>SUM(AE217,AM217,AU217)</f>
        <v>0</v>
      </c>
      <c r="W217" s="43">
        <f>SUM(AF217,AN217,AV217)</f>
        <v>0</v>
      </c>
      <c r="X217" s="43">
        <f>SUM(AG217,AO217,AW217)</f>
        <v>0</v>
      </c>
      <c r="Y217" s="43">
        <f>SUM(AH217,AP217,AX217)</f>
        <v>0</v>
      </c>
      <c r="Z217" s="43">
        <f>SUM(AI217,AQ217,AY217)</f>
        <v>0</v>
      </c>
      <c r="AA217" s="43">
        <f>SUM(AJ217,AR217,AZ217)</f>
        <v>0</v>
      </c>
      <c r="AC217" s="631">
        <f>SUM($D217:$E217)*H217</f>
        <v>0</v>
      </c>
      <c r="AD217" s="631">
        <f>SUM($D217:$E217)*I217</f>
        <v>0</v>
      </c>
      <c r="AE217" s="631">
        <f>SUM($D217:$E217)*J217</f>
        <v>0</v>
      </c>
      <c r="AF217" s="631">
        <f>SUM($D217:$E217)*K217</f>
        <v>0</v>
      </c>
      <c r="AG217" s="631">
        <f>SUM($D217:$E217)*L217</f>
        <v>0</v>
      </c>
      <c r="AH217" s="631">
        <f>SUM($D217:$E217)*M217</f>
        <v>0</v>
      </c>
      <c r="AI217" s="631">
        <f>SUM($D217:$E217)*N217</f>
        <v>0</v>
      </c>
      <c r="AJ217" s="631">
        <f>SUM($D217:$E217)*O217</f>
        <v>0</v>
      </c>
      <c r="AK217" s="56">
        <f>IF($G217="",0,IF(NOT(OR($G217="A - All employees not in groups B, C, J, H, M or Z",$G217="B - Married women and widows entitled to reduced NI",$G217="C - Over the State Pension age",$G217="H - Apprentice under 25",$G217="J – Deferment",$G217="M - Under 21",$G217="Z - Deferment (Under 21)",$G217="Please Enter The NI Cont. in ££££")),$G217,SUM(MAX(MIN(AC217-'Input Data'!$BG$3,'Input Data'!$BG$5-'Input Data'!$BG$3),0)*VLOOKUP($G217,'Input Data'!$BI$3:$BL$10,2,FALSE),MAX(MIN(AC217-'Input Data'!$BG$5,IF(OR($G217="M (under 21)",$G217="Z (under 21 - deferment)"),'Input Data'!$BG$6,IF($G217="H (Apprentice under 25)",'Input Data'!$BG$7,'Input Data'!$BG$8))-'Input Data'!$BG$5),0)*VLOOKUP($G217,'Input Data'!$BI$3:$BL$10,3,FALSE),MAX((AC217-IF(OR($G217="M (under 21)",$G217="Z (under 21 - deferment)"),'Input Data'!$BG$6,IF($G217="H (Apprentice under 25)",'Input Data'!$BG$7,'Input Data'!$BG$8))),0)*VLOOKUP($G217,'Input Data'!$BI$3:$BL$10,4,FALSE))))</f>
        <v>0</v>
      </c>
      <c r="AL217" s="56">
        <f>IF($G217="",0,IF(NOT(OR($G217="A - All employees not in groups B, C, J, H, M or Z",$G217="B - Married women and widows entitled to reduced NI",$G217="C - Over the State Pension age",$G217="H - Apprentice under 25",$G217="J – Deferment",$G217="M - Under 21",$G217="Z - Deferment (Under 21)",$G217="Please Enter The NI Cont. in ££££")),$G217,SUM(MAX(MIN(AD217-'Input Data'!$BG$3,'Input Data'!$BG$5-'Input Data'!$BG$3),0)*VLOOKUP($G217,'Input Data'!$BI$3:$BL$10,2,FALSE),MAX(MIN(AD217-'Input Data'!$BG$5,IF(OR($G217="M (under 21)",$G217="Z (under 21 - deferment)"),'Input Data'!$BG$6,IF($G217="H (Apprentice under 25)",'Input Data'!$BG$7,'Input Data'!$BG$8))-'Input Data'!$BG$5),0)*VLOOKUP($G217,'Input Data'!$BI$3:$BL$10,3,FALSE),MAX((AD217-IF(OR($G217="M (under 21)",$G217="Z (under 21 - deferment)"),'Input Data'!$BG$6,IF($G217="H (Apprentice under 25)",'Input Data'!$BG$7,'Input Data'!$BG$8))),0)*VLOOKUP($G217,'Input Data'!$BI$3:$BL$10,4,FALSE))))</f>
        <v>0</v>
      </c>
      <c r="AM217" s="56">
        <f>IF($G217="",0,IF(NOT(OR($G217="A - All employees not in groups B, C, J, H, M or Z",$G217="B - Married women and widows entitled to reduced NI",$G217="C - Over the State Pension age",$G217="H - Apprentice under 25",$G217="J – Deferment",$G217="M - Under 21",$G217="Z - Deferment (Under 21)",$G217="Please Enter The NI Cont. in ££££")),$G217,SUM(MAX(MIN(AE217-'Input Data'!$BG$3,'Input Data'!$BG$5-'Input Data'!$BG$3),0)*VLOOKUP($G217,'Input Data'!$BI$3:$BL$10,2,FALSE),MAX(MIN(AE217-'Input Data'!$BG$5,IF(OR($G217="M (under 21)",$G217="Z (under 21 - deferment)"),'Input Data'!$BG$6,IF($G217="H (Apprentice under 25)",'Input Data'!$BG$7,'Input Data'!$BG$8))-'Input Data'!$BG$5),0)*VLOOKUP($G217,'Input Data'!$BI$3:$BL$10,3,FALSE),MAX((AE217-IF(OR($G217="M (under 21)",$G217="Z (under 21 - deferment)"),'Input Data'!$BG$6,IF($G217="H (Apprentice under 25)",'Input Data'!$BG$7,'Input Data'!$BG$8))),0)*VLOOKUP($G217,'Input Data'!$BI$3:$BL$10,4,FALSE))))</f>
        <v>0</v>
      </c>
      <c r="AN217" s="56">
        <f>IF($G217="",0,IF(NOT(OR($G217="A - All employees not in groups B, C, J, H, M or Z",$G217="B - Married women and widows entitled to reduced NI",$G217="C - Over the State Pension age",$G217="H - Apprentice under 25",$G217="J – Deferment",$G217="M - Under 21",$G217="Z - Deferment (Under 21)",$G217="Please Enter The NI Cont. in ££££")),$G217,SUM(MAX(MIN(AF217-'Input Data'!$BG$3,'Input Data'!$BG$5-'Input Data'!$BG$3),0)*VLOOKUP($G217,'Input Data'!$BI$3:$BL$10,2,FALSE),MAX(MIN(AF217-'Input Data'!$BG$5,IF(OR($G217="M (under 21)",$G217="Z (under 21 - deferment)"),'Input Data'!$BG$6,IF($G217="H (Apprentice under 25)",'Input Data'!$BG$7,'Input Data'!$BG$8))-'Input Data'!$BG$5),0)*VLOOKUP($G217,'Input Data'!$BI$3:$BL$10,3,FALSE),MAX((AF217-IF(OR($G217="M (under 21)",$G217="Z (under 21 - deferment)"),'Input Data'!$BG$6,IF($G217="H (Apprentice under 25)",'Input Data'!$BG$7,'Input Data'!$BG$8))),0)*VLOOKUP($G217,'Input Data'!$BI$3:$BL$10,4,FALSE))))</f>
        <v>0</v>
      </c>
      <c r="AO217" s="56">
        <f>IF($G217="",0,IF(NOT(OR($G217="A - All employees not in groups B, C, J, H, M or Z",$G217="B - Married women and widows entitled to reduced NI",$G217="C - Over the State Pension age",$G217="H - Apprentice under 25",$G217="J – Deferment",$G217="M - Under 21",$G217="Z - Deferment (Under 21)",$G217="Please Enter The NI Cont. in ££££")),$G217,SUM(MAX(MIN(AG217-'Input Data'!$BG$3,'Input Data'!$BG$5-'Input Data'!$BG$3),0)*VLOOKUP($G217,'Input Data'!$BI$3:$BL$10,2,FALSE),MAX(MIN(AG217-'Input Data'!$BG$5,IF(OR($G217="M (under 21)",$G217="Z (under 21 - deferment)"),'Input Data'!$BG$6,IF($G217="H (Apprentice under 25)",'Input Data'!$BG$7,'Input Data'!$BG$8))-'Input Data'!$BG$5),0)*VLOOKUP($G217,'Input Data'!$BI$3:$BL$10,3,FALSE),MAX((AG217-IF(OR($G217="M (under 21)",$G217="Z (under 21 - deferment)"),'Input Data'!$BG$6,IF($G217="H (Apprentice under 25)",'Input Data'!$BG$7,'Input Data'!$BG$8))),0)*VLOOKUP($G217,'Input Data'!$BI$3:$BL$10,4,FALSE))))</f>
        <v>0</v>
      </c>
      <c r="AP217" s="56">
        <f>IF($G217="",0,IF(NOT(OR($G217="A - All employees not in groups B, C, J, H, M or Z",$G217="B - Married women and widows entitled to reduced NI",$G217="C - Over the State Pension age",$G217="H - Apprentice under 25",$G217="J – Deferment",$G217="M - Under 21",$G217="Z - Deferment (Under 21)",$G217="Please Enter The NI Cont. in ££££")),$G217,SUM(MAX(MIN(AH217-'Input Data'!$BG$3,'Input Data'!$BG$5-'Input Data'!$BG$3),0)*VLOOKUP($G217,'Input Data'!$BI$3:$BL$10,2,FALSE),MAX(MIN(AH217-'Input Data'!$BG$5,IF(OR($G217="M (under 21)",$G217="Z (under 21 - deferment)"),'Input Data'!$BG$6,IF($G217="H (Apprentice under 25)",'Input Data'!$BG$7,'Input Data'!$BG$8))-'Input Data'!$BG$5),0)*VLOOKUP($G217,'Input Data'!$BI$3:$BL$10,3,FALSE),MAX((AH217-IF(OR($G217="M (under 21)",$G217="Z (under 21 - deferment)"),'Input Data'!$BG$6,IF($G217="H (Apprentice under 25)",'Input Data'!$BG$7,'Input Data'!$BG$8))),0)*VLOOKUP($G217,'Input Data'!$BI$3:$BL$10,4,FALSE))))</f>
        <v>0</v>
      </c>
      <c r="AQ217" s="56">
        <f>IF($G217="",0,IF(NOT(OR($G217="A - All employees not in groups B, C, J, H, M or Z",$G217="B - Married women and widows entitled to reduced NI",$G217="C - Over the State Pension age",$G217="H - Apprentice under 25",$G217="J – Deferment",$G217="M - Under 21",$G217="Z - Deferment (Under 21)",$G217="Please Enter The NI Cont. in ££££")),$G217,SUM(MAX(MIN(AI217-'Input Data'!$BG$3,'Input Data'!$BG$5-'Input Data'!$BG$3),0)*VLOOKUP($G217,'Input Data'!$BI$3:$BL$10,2,FALSE),MAX(MIN(AI217-'Input Data'!$BG$5,IF(OR($G217="M (under 21)",$G217="Z (under 21 - deferment)"),'Input Data'!$BG$6,IF($G217="H (Apprentice under 25)",'Input Data'!$BG$7,'Input Data'!$BG$8))-'Input Data'!$BG$5),0)*VLOOKUP($G217,'Input Data'!$BI$3:$BL$10,3,FALSE),MAX((AI217-IF(OR($G217="M (under 21)",$G217="Z (under 21 - deferment)"),'Input Data'!$BG$6,IF($G217="H (Apprentice under 25)",'Input Data'!$BG$7,'Input Data'!$BG$8))),0)*VLOOKUP($G217,'Input Data'!$BI$3:$BL$10,4,FALSE))))</f>
        <v>0</v>
      </c>
      <c r="AR217" s="56">
        <f>IF($G217="",0,IF(NOT(OR($G217="A - All employees not in groups B, C, J, H, M or Z",$G217="B - Married women and widows entitled to reduced NI",$G217="C - Over the State Pension age",$G217="H - Apprentice under 25",$G217="J – Deferment",$G217="M - Under 21",$G217="Z - Deferment (Under 21)",$G217="Please Enter The NI Cont. in ££££")),$G217,SUM(MAX(MIN(AJ217-'Input Data'!$BG$3,'Input Data'!$BG$5-'Input Data'!$BG$3),0)*VLOOKUP($G217,'Input Data'!$BI$3:$BL$10,2,FALSE),MAX(MIN(AJ217-'Input Data'!$BG$5,IF(OR($G217="M (under 21)",$G217="Z (under 21 - deferment)"),'Input Data'!$BG$6,IF($G217="H (Apprentice under 25)",'Input Data'!$BG$7,'Input Data'!$BG$8))-'Input Data'!$BG$5),0)*VLOOKUP($G217,'Input Data'!$BI$3:$BL$10,3,FALSE),MAX((AJ217-IF(OR($G217="M (under 21)",$G217="Z (under 21 - deferment)"),'Input Data'!$BG$6,IF($G217="H (Apprentice under 25)",'Input Data'!$BG$7,'Input Data'!$BG$8))),0)*VLOOKUP($G217,'Input Data'!$BI$3:$BL$10,4,FALSE))))</f>
        <v>0</v>
      </c>
      <c r="AS217" s="56">
        <f>AC217*$F217</f>
        <v>0</v>
      </c>
      <c r="AT217" s="56">
        <f>AD217*$F217</f>
        <v>0</v>
      </c>
      <c r="AU217" s="56">
        <f>AE217*$F217</f>
        <v>0</v>
      </c>
      <c r="AV217" s="56">
        <f>AF217*$F217</f>
        <v>0</v>
      </c>
      <c r="AW217" s="56">
        <f>AG217*$F217</f>
        <v>0</v>
      </c>
      <c r="AX217" s="56">
        <f>AH217*$F217</f>
        <v>0</v>
      </c>
      <c r="AY217" s="56">
        <f>AI217*$F217</f>
        <v>0</v>
      </c>
      <c r="AZ217" s="56">
        <f>AJ217*$F217</f>
        <v>0</v>
      </c>
    </row>
    <row r="218" spans="2:52" ht="25.5">
      <c r="B218" s="60"/>
      <c r="C218" s="57" t="s">
        <v>66</v>
      </c>
      <c r="D218" s="58"/>
      <c r="E218" s="58"/>
      <c r="F218" s="535"/>
      <c r="G218" s="693" t="s">
        <v>1149</v>
      </c>
      <c r="H218" s="65"/>
      <c r="I218" s="65"/>
      <c r="J218" s="65"/>
      <c r="K218" s="65"/>
      <c r="L218" s="65"/>
      <c r="M218" s="65"/>
      <c r="N218" s="65"/>
      <c r="O218" s="65"/>
      <c r="P218" s="29"/>
      <c r="Q218" s="597"/>
      <c r="R218" s="61"/>
      <c r="T218" s="43">
        <f>SUM(AC218,AK218,AS218)</f>
        <v>0</v>
      </c>
      <c r="U218" s="43">
        <f>SUM(AD218,AL218,AT218)</f>
        <v>0</v>
      </c>
      <c r="V218" s="43">
        <f>SUM(AE218,AM218,AU218)</f>
        <v>0</v>
      </c>
      <c r="W218" s="43">
        <f>SUM(AF218,AN218,AV218)</f>
        <v>0</v>
      </c>
      <c r="X218" s="43">
        <f>SUM(AG218,AO218,AW218)</f>
        <v>0</v>
      </c>
      <c r="Y218" s="43">
        <f>SUM(AH218,AP218,AX218)</f>
        <v>0</v>
      </c>
      <c r="Z218" s="43">
        <f>SUM(AI218,AQ218,AY218)</f>
        <v>0</v>
      </c>
      <c r="AA218" s="43">
        <f>SUM(AJ218,AR218,AZ218)</f>
        <v>0</v>
      </c>
      <c r="AC218" s="631">
        <f>SUM($D218:$E218)*H218</f>
        <v>0</v>
      </c>
      <c r="AD218" s="631">
        <f>SUM($D218:$E218)*I218</f>
        <v>0</v>
      </c>
      <c r="AE218" s="631">
        <f>SUM($D218:$E218)*J218</f>
        <v>0</v>
      </c>
      <c r="AF218" s="631">
        <f>SUM($D218:$E218)*K218</f>
        <v>0</v>
      </c>
      <c r="AG218" s="631">
        <f>SUM($D218:$E218)*L218</f>
        <v>0</v>
      </c>
      <c r="AH218" s="631">
        <f>SUM($D218:$E218)*M218</f>
        <v>0</v>
      </c>
      <c r="AI218" s="631">
        <f>SUM($D218:$E218)*N218</f>
        <v>0</v>
      </c>
      <c r="AJ218" s="631">
        <f>SUM($D218:$E218)*O218</f>
        <v>0</v>
      </c>
      <c r="AK218" s="56">
        <f>IF($G218="",0,IF(NOT(OR($G218="A - All employees not in groups B, C, J, H, M or Z",$G218="B - Married women and widows entitled to reduced NI",$G218="C - Over the State Pension age",$G218="H - Apprentice under 25",$G218="J – Deferment",$G218="M - Under 21",$G218="Z - Deferment (Under 21)",$G218="Please Enter The NI Cont. in ££££")),$G218,SUM(MAX(MIN(AC218-'Input Data'!$BG$3,'Input Data'!$BG$5-'Input Data'!$BG$3),0)*VLOOKUP($G218,'Input Data'!$BI$3:$BL$10,2,FALSE),MAX(MIN(AC218-'Input Data'!$BG$5,IF(OR($G218="M (under 21)",$G218="Z (under 21 - deferment)"),'Input Data'!$BG$6,IF($G218="H (Apprentice under 25)",'Input Data'!$BG$7,'Input Data'!$BG$8))-'Input Data'!$BG$5),0)*VLOOKUP($G218,'Input Data'!$BI$3:$BL$10,3,FALSE),MAX((AC218-IF(OR($G218="M (under 21)",$G218="Z (under 21 - deferment)"),'Input Data'!$BG$6,IF($G218="H (Apprentice under 25)",'Input Data'!$BG$7,'Input Data'!$BG$8))),0)*VLOOKUP($G218,'Input Data'!$BI$3:$BL$10,4,FALSE))))</f>
        <v>0</v>
      </c>
      <c r="AL218" s="56">
        <f>IF($G218="",0,IF(NOT(OR($G218="A - All employees not in groups B, C, J, H, M or Z",$G218="B - Married women and widows entitled to reduced NI",$G218="C - Over the State Pension age",$G218="H - Apprentice under 25",$G218="J – Deferment",$G218="M - Under 21",$G218="Z - Deferment (Under 21)",$G218="Please Enter The NI Cont. in ££££")),$G218,SUM(MAX(MIN(AD218-'Input Data'!$BG$3,'Input Data'!$BG$5-'Input Data'!$BG$3),0)*VLOOKUP($G218,'Input Data'!$BI$3:$BL$10,2,FALSE),MAX(MIN(AD218-'Input Data'!$BG$5,IF(OR($G218="M (under 21)",$G218="Z (under 21 - deferment)"),'Input Data'!$BG$6,IF($G218="H (Apprentice under 25)",'Input Data'!$BG$7,'Input Data'!$BG$8))-'Input Data'!$BG$5),0)*VLOOKUP($G218,'Input Data'!$BI$3:$BL$10,3,FALSE),MAX((AD218-IF(OR($G218="M (under 21)",$G218="Z (under 21 - deferment)"),'Input Data'!$BG$6,IF($G218="H (Apprentice under 25)",'Input Data'!$BG$7,'Input Data'!$BG$8))),0)*VLOOKUP($G218,'Input Data'!$BI$3:$BL$10,4,FALSE))))</f>
        <v>0</v>
      </c>
      <c r="AM218" s="56">
        <f>IF($G218="",0,IF(NOT(OR($G218="A - All employees not in groups B, C, J, H, M or Z",$G218="B - Married women and widows entitled to reduced NI",$G218="C - Over the State Pension age",$G218="H - Apprentice under 25",$G218="J – Deferment",$G218="M - Under 21",$G218="Z - Deferment (Under 21)",$G218="Please Enter The NI Cont. in ££££")),$G218,SUM(MAX(MIN(AE218-'Input Data'!$BG$3,'Input Data'!$BG$5-'Input Data'!$BG$3),0)*VLOOKUP($G218,'Input Data'!$BI$3:$BL$10,2,FALSE),MAX(MIN(AE218-'Input Data'!$BG$5,IF(OR($G218="M (under 21)",$G218="Z (under 21 - deferment)"),'Input Data'!$BG$6,IF($G218="H (Apprentice under 25)",'Input Data'!$BG$7,'Input Data'!$BG$8))-'Input Data'!$BG$5),0)*VLOOKUP($G218,'Input Data'!$BI$3:$BL$10,3,FALSE),MAX((AE218-IF(OR($G218="M (under 21)",$G218="Z (under 21 - deferment)"),'Input Data'!$BG$6,IF($G218="H (Apprentice under 25)",'Input Data'!$BG$7,'Input Data'!$BG$8))),0)*VLOOKUP($G218,'Input Data'!$BI$3:$BL$10,4,FALSE))))</f>
        <v>0</v>
      </c>
      <c r="AN218" s="56">
        <f>IF($G218="",0,IF(NOT(OR($G218="A - All employees not in groups B, C, J, H, M or Z",$G218="B - Married women and widows entitled to reduced NI",$G218="C - Over the State Pension age",$G218="H - Apprentice under 25",$G218="J – Deferment",$G218="M - Under 21",$G218="Z - Deferment (Under 21)",$G218="Please Enter The NI Cont. in ££££")),$G218,SUM(MAX(MIN(AF218-'Input Data'!$BG$3,'Input Data'!$BG$5-'Input Data'!$BG$3),0)*VLOOKUP($G218,'Input Data'!$BI$3:$BL$10,2,FALSE),MAX(MIN(AF218-'Input Data'!$BG$5,IF(OR($G218="M (under 21)",$G218="Z (under 21 - deferment)"),'Input Data'!$BG$6,IF($G218="H (Apprentice under 25)",'Input Data'!$BG$7,'Input Data'!$BG$8))-'Input Data'!$BG$5),0)*VLOOKUP($G218,'Input Data'!$BI$3:$BL$10,3,FALSE),MAX((AF218-IF(OR($G218="M (under 21)",$G218="Z (under 21 - deferment)"),'Input Data'!$BG$6,IF($G218="H (Apprentice under 25)",'Input Data'!$BG$7,'Input Data'!$BG$8))),0)*VLOOKUP($G218,'Input Data'!$BI$3:$BL$10,4,FALSE))))</f>
        <v>0</v>
      </c>
      <c r="AO218" s="56">
        <f>IF($G218="",0,IF(NOT(OR($G218="A - All employees not in groups B, C, J, H, M or Z",$G218="B - Married women and widows entitled to reduced NI",$G218="C - Over the State Pension age",$G218="H - Apprentice under 25",$G218="J – Deferment",$G218="M - Under 21",$G218="Z - Deferment (Under 21)",$G218="Please Enter The NI Cont. in ££££")),$G218,SUM(MAX(MIN(AG218-'Input Data'!$BG$3,'Input Data'!$BG$5-'Input Data'!$BG$3),0)*VLOOKUP($G218,'Input Data'!$BI$3:$BL$10,2,FALSE),MAX(MIN(AG218-'Input Data'!$BG$5,IF(OR($G218="M (under 21)",$G218="Z (under 21 - deferment)"),'Input Data'!$BG$6,IF($G218="H (Apprentice under 25)",'Input Data'!$BG$7,'Input Data'!$BG$8))-'Input Data'!$BG$5),0)*VLOOKUP($G218,'Input Data'!$BI$3:$BL$10,3,FALSE),MAX((AG218-IF(OR($G218="M (under 21)",$G218="Z (under 21 - deferment)"),'Input Data'!$BG$6,IF($G218="H (Apprentice under 25)",'Input Data'!$BG$7,'Input Data'!$BG$8))),0)*VLOOKUP($G218,'Input Data'!$BI$3:$BL$10,4,FALSE))))</f>
        <v>0</v>
      </c>
      <c r="AP218" s="56">
        <f>IF($G218="",0,IF(NOT(OR($G218="A - All employees not in groups B, C, J, H, M or Z",$G218="B - Married women and widows entitled to reduced NI",$G218="C - Over the State Pension age",$G218="H - Apprentice under 25",$G218="J – Deferment",$G218="M - Under 21",$G218="Z - Deferment (Under 21)",$G218="Please Enter The NI Cont. in ££££")),$G218,SUM(MAX(MIN(AH218-'Input Data'!$BG$3,'Input Data'!$BG$5-'Input Data'!$BG$3),0)*VLOOKUP($G218,'Input Data'!$BI$3:$BL$10,2,FALSE),MAX(MIN(AH218-'Input Data'!$BG$5,IF(OR($G218="M (under 21)",$G218="Z (under 21 - deferment)"),'Input Data'!$BG$6,IF($G218="H (Apprentice under 25)",'Input Data'!$BG$7,'Input Data'!$BG$8))-'Input Data'!$BG$5),0)*VLOOKUP($G218,'Input Data'!$BI$3:$BL$10,3,FALSE),MAX((AH218-IF(OR($G218="M (under 21)",$G218="Z (under 21 - deferment)"),'Input Data'!$BG$6,IF($G218="H (Apprentice under 25)",'Input Data'!$BG$7,'Input Data'!$BG$8))),0)*VLOOKUP($G218,'Input Data'!$BI$3:$BL$10,4,FALSE))))</f>
        <v>0</v>
      </c>
      <c r="AQ218" s="56">
        <f>IF($G218="",0,IF(NOT(OR($G218="A - All employees not in groups B, C, J, H, M or Z",$G218="B - Married women and widows entitled to reduced NI",$G218="C - Over the State Pension age",$G218="H - Apprentice under 25",$G218="J – Deferment",$G218="M - Under 21",$G218="Z - Deferment (Under 21)",$G218="Please Enter The NI Cont. in ££££")),$G218,SUM(MAX(MIN(AI218-'Input Data'!$BG$3,'Input Data'!$BG$5-'Input Data'!$BG$3),0)*VLOOKUP($G218,'Input Data'!$BI$3:$BL$10,2,FALSE),MAX(MIN(AI218-'Input Data'!$BG$5,IF(OR($G218="M (under 21)",$G218="Z (under 21 - deferment)"),'Input Data'!$BG$6,IF($G218="H (Apprentice under 25)",'Input Data'!$BG$7,'Input Data'!$BG$8))-'Input Data'!$BG$5),0)*VLOOKUP($G218,'Input Data'!$BI$3:$BL$10,3,FALSE),MAX((AI218-IF(OR($G218="M (under 21)",$G218="Z (under 21 - deferment)"),'Input Data'!$BG$6,IF($G218="H (Apprentice under 25)",'Input Data'!$BG$7,'Input Data'!$BG$8))),0)*VLOOKUP($G218,'Input Data'!$BI$3:$BL$10,4,FALSE))))</f>
        <v>0</v>
      </c>
      <c r="AR218" s="56">
        <f>IF($G218="",0,IF(NOT(OR($G218="A - All employees not in groups B, C, J, H, M or Z",$G218="B - Married women and widows entitled to reduced NI",$G218="C - Over the State Pension age",$G218="H - Apprentice under 25",$G218="J – Deferment",$G218="M - Under 21",$G218="Z - Deferment (Under 21)",$G218="Please Enter The NI Cont. in ££££")),$G218,SUM(MAX(MIN(AJ218-'Input Data'!$BG$3,'Input Data'!$BG$5-'Input Data'!$BG$3),0)*VLOOKUP($G218,'Input Data'!$BI$3:$BL$10,2,FALSE),MAX(MIN(AJ218-'Input Data'!$BG$5,IF(OR($G218="M (under 21)",$G218="Z (under 21 - deferment)"),'Input Data'!$BG$6,IF($G218="H (Apprentice under 25)",'Input Data'!$BG$7,'Input Data'!$BG$8))-'Input Data'!$BG$5),0)*VLOOKUP($G218,'Input Data'!$BI$3:$BL$10,3,FALSE),MAX((AJ218-IF(OR($G218="M (under 21)",$G218="Z (under 21 - deferment)"),'Input Data'!$BG$6,IF($G218="H (Apprentice under 25)",'Input Data'!$BG$7,'Input Data'!$BG$8))),0)*VLOOKUP($G218,'Input Data'!$BI$3:$BL$10,4,FALSE))))</f>
        <v>0</v>
      </c>
      <c r="AS218" s="56">
        <f>AC218*$F218</f>
        <v>0</v>
      </c>
      <c r="AT218" s="56">
        <f>AD218*$F218</f>
        <v>0</v>
      </c>
      <c r="AU218" s="56">
        <f>AE218*$F218</f>
        <v>0</v>
      </c>
      <c r="AV218" s="56">
        <f>AF218*$F218</f>
        <v>0</v>
      </c>
      <c r="AW218" s="56">
        <f>AG218*$F218</f>
        <v>0</v>
      </c>
      <c r="AX218" s="56">
        <f>AH218*$F218</f>
        <v>0</v>
      </c>
      <c r="AY218" s="56">
        <f>AI218*$F218</f>
        <v>0</v>
      </c>
      <c r="AZ218" s="56">
        <f>AJ218*$F218</f>
        <v>0</v>
      </c>
    </row>
    <row r="219" spans="2:52" ht="25.5">
      <c r="B219" s="60"/>
      <c r="C219" s="57" t="s">
        <v>67</v>
      </c>
      <c r="D219" s="58"/>
      <c r="E219" s="58"/>
      <c r="F219" s="535"/>
      <c r="G219" s="693" t="s">
        <v>1149</v>
      </c>
      <c r="H219" s="65"/>
      <c r="I219" s="65"/>
      <c r="J219" s="65"/>
      <c r="K219" s="65"/>
      <c r="L219" s="65"/>
      <c r="M219" s="65"/>
      <c r="N219" s="65"/>
      <c r="O219" s="65"/>
      <c r="P219" s="29"/>
      <c r="Q219" s="597"/>
      <c r="R219" s="61"/>
      <c r="T219" s="43">
        <f>SUM(AC219,AK219,AS219)</f>
        <v>0</v>
      </c>
      <c r="U219" s="43">
        <f>SUM(AD219,AL219,AT219)</f>
        <v>0</v>
      </c>
      <c r="V219" s="43">
        <f>SUM(AE219,AM219,AU219)</f>
        <v>0</v>
      </c>
      <c r="W219" s="43">
        <f>SUM(AF219,AN219,AV219)</f>
        <v>0</v>
      </c>
      <c r="X219" s="43">
        <f>SUM(AG219,AO219,AW219)</f>
        <v>0</v>
      </c>
      <c r="Y219" s="43">
        <f>SUM(AH219,AP219,AX219)</f>
        <v>0</v>
      </c>
      <c r="Z219" s="43">
        <f>SUM(AI219,AQ219,AY219)</f>
        <v>0</v>
      </c>
      <c r="AA219" s="43">
        <f>SUM(AJ219,AR219,AZ219)</f>
        <v>0</v>
      </c>
      <c r="AC219" s="631">
        <f>SUM($D219:$E219)*H219</f>
        <v>0</v>
      </c>
      <c r="AD219" s="631">
        <f>SUM($D219:$E219)*I219</f>
        <v>0</v>
      </c>
      <c r="AE219" s="631">
        <f>SUM($D219:$E219)*J219</f>
        <v>0</v>
      </c>
      <c r="AF219" s="631">
        <f>SUM($D219:$E219)*K219</f>
        <v>0</v>
      </c>
      <c r="AG219" s="631">
        <f>SUM($D219:$E219)*L219</f>
        <v>0</v>
      </c>
      <c r="AH219" s="631">
        <f>SUM($D219:$E219)*M219</f>
        <v>0</v>
      </c>
      <c r="AI219" s="631">
        <f>SUM($D219:$E219)*N219</f>
        <v>0</v>
      </c>
      <c r="AJ219" s="631">
        <f>SUM($D219:$E219)*O219</f>
        <v>0</v>
      </c>
      <c r="AK219" s="56">
        <f>IF($G219="",0,IF(NOT(OR($G219="A - All employees not in groups B, C, J, H, M or Z",$G219="B - Married women and widows entitled to reduced NI",$G219="C - Over the State Pension age",$G219="H - Apprentice under 25",$G219="J – Deferment",$G219="M - Under 21",$G219="Z - Deferment (Under 21)",$G219="Please Enter The NI Cont. in ££££")),$G219,SUM(MAX(MIN(AC219-'Input Data'!$BG$3,'Input Data'!$BG$5-'Input Data'!$BG$3),0)*VLOOKUP($G219,'Input Data'!$BI$3:$BL$10,2,FALSE),MAX(MIN(AC219-'Input Data'!$BG$5,IF(OR($G219="M (under 21)",$G219="Z (under 21 - deferment)"),'Input Data'!$BG$6,IF($G219="H (Apprentice under 25)",'Input Data'!$BG$7,'Input Data'!$BG$8))-'Input Data'!$BG$5),0)*VLOOKUP($G219,'Input Data'!$BI$3:$BL$10,3,FALSE),MAX((AC219-IF(OR($G219="M (under 21)",$G219="Z (under 21 - deferment)"),'Input Data'!$BG$6,IF($G219="H (Apprentice under 25)",'Input Data'!$BG$7,'Input Data'!$BG$8))),0)*VLOOKUP($G219,'Input Data'!$BI$3:$BL$10,4,FALSE))))</f>
        <v>0</v>
      </c>
      <c r="AL219" s="56">
        <f>IF($G219="",0,IF(NOT(OR($G219="A - All employees not in groups B, C, J, H, M or Z",$G219="B - Married women and widows entitled to reduced NI",$G219="C - Over the State Pension age",$G219="H - Apprentice under 25",$G219="J – Deferment",$G219="M - Under 21",$G219="Z - Deferment (Under 21)",$G219="Please Enter The NI Cont. in ££££")),$G219,SUM(MAX(MIN(AD219-'Input Data'!$BG$3,'Input Data'!$BG$5-'Input Data'!$BG$3),0)*VLOOKUP($G219,'Input Data'!$BI$3:$BL$10,2,FALSE),MAX(MIN(AD219-'Input Data'!$BG$5,IF(OR($G219="M (under 21)",$G219="Z (under 21 - deferment)"),'Input Data'!$BG$6,IF($G219="H (Apprentice under 25)",'Input Data'!$BG$7,'Input Data'!$BG$8))-'Input Data'!$BG$5),0)*VLOOKUP($G219,'Input Data'!$BI$3:$BL$10,3,FALSE),MAX((AD219-IF(OR($G219="M (under 21)",$G219="Z (under 21 - deferment)"),'Input Data'!$BG$6,IF($G219="H (Apprentice under 25)",'Input Data'!$BG$7,'Input Data'!$BG$8))),0)*VLOOKUP($G219,'Input Data'!$BI$3:$BL$10,4,FALSE))))</f>
        <v>0</v>
      </c>
      <c r="AM219" s="56">
        <f>IF($G219="",0,IF(NOT(OR($G219="A - All employees not in groups B, C, J, H, M or Z",$G219="B - Married women and widows entitled to reduced NI",$G219="C - Over the State Pension age",$G219="H - Apprentice under 25",$G219="J – Deferment",$G219="M - Under 21",$G219="Z - Deferment (Under 21)",$G219="Please Enter The NI Cont. in ££££")),$G219,SUM(MAX(MIN(AE219-'Input Data'!$BG$3,'Input Data'!$BG$5-'Input Data'!$BG$3),0)*VLOOKUP($G219,'Input Data'!$BI$3:$BL$10,2,FALSE),MAX(MIN(AE219-'Input Data'!$BG$5,IF(OR($G219="M (under 21)",$G219="Z (under 21 - deferment)"),'Input Data'!$BG$6,IF($G219="H (Apprentice under 25)",'Input Data'!$BG$7,'Input Data'!$BG$8))-'Input Data'!$BG$5),0)*VLOOKUP($G219,'Input Data'!$BI$3:$BL$10,3,FALSE),MAX((AE219-IF(OR($G219="M (under 21)",$G219="Z (under 21 - deferment)"),'Input Data'!$BG$6,IF($G219="H (Apprentice under 25)",'Input Data'!$BG$7,'Input Data'!$BG$8))),0)*VLOOKUP($G219,'Input Data'!$BI$3:$BL$10,4,FALSE))))</f>
        <v>0</v>
      </c>
      <c r="AN219" s="56">
        <f>IF($G219="",0,IF(NOT(OR($G219="A - All employees not in groups B, C, J, H, M or Z",$G219="B - Married women and widows entitled to reduced NI",$G219="C - Over the State Pension age",$G219="H - Apprentice under 25",$G219="J – Deferment",$G219="M - Under 21",$G219="Z - Deferment (Under 21)",$G219="Please Enter The NI Cont. in ££££")),$G219,SUM(MAX(MIN(AF219-'Input Data'!$BG$3,'Input Data'!$BG$5-'Input Data'!$BG$3),0)*VLOOKUP($G219,'Input Data'!$BI$3:$BL$10,2,FALSE),MAX(MIN(AF219-'Input Data'!$BG$5,IF(OR($G219="M (under 21)",$G219="Z (under 21 - deferment)"),'Input Data'!$BG$6,IF($G219="H (Apprentice under 25)",'Input Data'!$BG$7,'Input Data'!$BG$8))-'Input Data'!$BG$5),0)*VLOOKUP($G219,'Input Data'!$BI$3:$BL$10,3,FALSE),MAX((AF219-IF(OR($G219="M (under 21)",$G219="Z (under 21 - deferment)"),'Input Data'!$BG$6,IF($G219="H (Apprentice under 25)",'Input Data'!$BG$7,'Input Data'!$BG$8))),0)*VLOOKUP($G219,'Input Data'!$BI$3:$BL$10,4,FALSE))))</f>
        <v>0</v>
      </c>
      <c r="AO219" s="56">
        <f>IF($G219="",0,IF(NOT(OR($G219="A - All employees not in groups B, C, J, H, M or Z",$G219="B - Married women and widows entitled to reduced NI",$G219="C - Over the State Pension age",$G219="H - Apprentice under 25",$G219="J – Deferment",$G219="M - Under 21",$G219="Z - Deferment (Under 21)",$G219="Please Enter The NI Cont. in ££££")),$G219,SUM(MAX(MIN(AG219-'Input Data'!$BG$3,'Input Data'!$BG$5-'Input Data'!$BG$3),0)*VLOOKUP($G219,'Input Data'!$BI$3:$BL$10,2,FALSE),MAX(MIN(AG219-'Input Data'!$BG$5,IF(OR($G219="M (under 21)",$G219="Z (under 21 - deferment)"),'Input Data'!$BG$6,IF($G219="H (Apprentice under 25)",'Input Data'!$BG$7,'Input Data'!$BG$8))-'Input Data'!$BG$5),0)*VLOOKUP($G219,'Input Data'!$BI$3:$BL$10,3,FALSE),MAX((AG219-IF(OR($G219="M (under 21)",$G219="Z (under 21 - deferment)"),'Input Data'!$BG$6,IF($G219="H (Apprentice under 25)",'Input Data'!$BG$7,'Input Data'!$BG$8))),0)*VLOOKUP($G219,'Input Data'!$BI$3:$BL$10,4,FALSE))))</f>
        <v>0</v>
      </c>
      <c r="AP219" s="56">
        <f>IF($G219="",0,IF(NOT(OR($G219="A - All employees not in groups B, C, J, H, M or Z",$G219="B - Married women and widows entitled to reduced NI",$G219="C - Over the State Pension age",$G219="H - Apprentice under 25",$G219="J – Deferment",$G219="M - Under 21",$G219="Z - Deferment (Under 21)",$G219="Please Enter The NI Cont. in ££££")),$G219,SUM(MAX(MIN(AH219-'Input Data'!$BG$3,'Input Data'!$BG$5-'Input Data'!$BG$3),0)*VLOOKUP($G219,'Input Data'!$BI$3:$BL$10,2,FALSE),MAX(MIN(AH219-'Input Data'!$BG$5,IF(OR($G219="M (under 21)",$G219="Z (under 21 - deferment)"),'Input Data'!$BG$6,IF($G219="H (Apprentice under 25)",'Input Data'!$BG$7,'Input Data'!$BG$8))-'Input Data'!$BG$5),0)*VLOOKUP($G219,'Input Data'!$BI$3:$BL$10,3,FALSE),MAX((AH219-IF(OR($G219="M (under 21)",$G219="Z (under 21 - deferment)"),'Input Data'!$BG$6,IF($G219="H (Apprentice under 25)",'Input Data'!$BG$7,'Input Data'!$BG$8))),0)*VLOOKUP($G219,'Input Data'!$BI$3:$BL$10,4,FALSE))))</f>
        <v>0</v>
      </c>
      <c r="AQ219" s="56">
        <f>IF($G219="",0,IF(NOT(OR($G219="A - All employees not in groups B, C, J, H, M or Z",$G219="B - Married women and widows entitled to reduced NI",$G219="C - Over the State Pension age",$G219="H - Apprentice under 25",$G219="J – Deferment",$G219="M - Under 21",$G219="Z - Deferment (Under 21)",$G219="Please Enter The NI Cont. in ££££")),$G219,SUM(MAX(MIN(AI219-'Input Data'!$BG$3,'Input Data'!$BG$5-'Input Data'!$BG$3),0)*VLOOKUP($G219,'Input Data'!$BI$3:$BL$10,2,FALSE),MAX(MIN(AI219-'Input Data'!$BG$5,IF(OR($G219="M (under 21)",$G219="Z (under 21 - deferment)"),'Input Data'!$BG$6,IF($G219="H (Apprentice under 25)",'Input Data'!$BG$7,'Input Data'!$BG$8))-'Input Data'!$BG$5),0)*VLOOKUP($G219,'Input Data'!$BI$3:$BL$10,3,FALSE),MAX((AI219-IF(OR($G219="M (under 21)",$G219="Z (under 21 - deferment)"),'Input Data'!$BG$6,IF($G219="H (Apprentice under 25)",'Input Data'!$BG$7,'Input Data'!$BG$8))),0)*VLOOKUP($G219,'Input Data'!$BI$3:$BL$10,4,FALSE))))</f>
        <v>0</v>
      </c>
      <c r="AR219" s="56">
        <f>IF($G219="",0,IF(NOT(OR($G219="A - All employees not in groups B, C, J, H, M or Z",$G219="B - Married women and widows entitled to reduced NI",$G219="C - Over the State Pension age",$G219="H - Apprentice under 25",$G219="J – Deferment",$G219="M - Under 21",$G219="Z - Deferment (Under 21)",$G219="Please Enter The NI Cont. in ££££")),$G219,SUM(MAX(MIN(AJ219-'Input Data'!$BG$3,'Input Data'!$BG$5-'Input Data'!$BG$3),0)*VLOOKUP($G219,'Input Data'!$BI$3:$BL$10,2,FALSE),MAX(MIN(AJ219-'Input Data'!$BG$5,IF(OR($G219="M (under 21)",$G219="Z (under 21 - deferment)"),'Input Data'!$BG$6,IF($G219="H (Apprentice under 25)",'Input Data'!$BG$7,'Input Data'!$BG$8))-'Input Data'!$BG$5),0)*VLOOKUP($G219,'Input Data'!$BI$3:$BL$10,3,FALSE),MAX((AJ219-IF(OR($G219="M (under 21)",$G219="Z (under 21 - deferment)"),'Input Data'!$BG$6,IF($G219="H (Apprentice under 25)",'Input Data'!$BG$7,'Input Data'!$BG$8))),0)*VLOOKUP($G219,'Input Data'!$BI$3:$BL$10,4,FALSE))))</f>
        <v>0</v>
      </c>
      <c r="AS219" s="56">
        <f>AC219*$F219</f>
        <v>0</v>
      </c>
      <c r="AT219" s="56">
        <f>AD219*$F219</f>
        <v>0</v>
      </c>
      <c r="AU219" s="56">
        <f>AE219*$F219</f>
        <v>0</v>
      </c>
      <c r="AV219" s="56">
        <f>AF219*$F219</f>
        <v>0</v>
      </c>
      <c r="AW219" s="56">
        <f>AG219*$F219</f>
        <v>0</v>
      </c>
      <c r="AX219" s="56">
        <f>AH219*$F219</f>
        <v>0</v>
      </c>
      <c r="AY219" s="56">
        <f>AI219*$F219</f>
        <v>0</v>
      </c>
      <c r="AZ219" s="56">
        <f>AJ219*$F219</f>
        <v>0</v>
      </c>
    </row>
    <row r="220" spans="2:52" ht="25.5">
      <c r="B220" s="60"/>
      <c r="C220" s="57" t="s">
        <v>68</v>
      </c>
      <c r="D220" s="58"/>
      <c r="E220" s="58"/>
      <c r="F220" s="535"/>
      <c r="G220" s="693" t="s">
        <v>1149</v>
      </c>
      <c r="H220" s="65"/>
      <c r="I220" s="65"/>
      <c r="J220" s="65"/>
      <c r="K220" s="65"/>
      <c r="L220" s="65"/>
      <c r="M220" s="65"/>
      <c r="N220" s="65"/>
      <c r="O220" s="65"/>
      <c r="P220" s="29"/>
      <c r="Q220" s="597"/>
      <c r="R220" s="61"/>
      <c r="T220" s="43">
        <f>SUM(AC220,AK220,AS220)</f>
        <v>0</v>
      </c>
      <c r="U220" s="43">
        <f>SUM(AD220,AL220,AT220)</f>
        <v>0</v>
      </c>
      <c r="V220" s="43">
        <f>SUM(AE220,AM220,AU220)</f>
        <v>0</v>
      </c>
      <c r="W220" s="43">
        <f>SUM(AF220,AN220,AV220)</f>
        <v>0</v>
      </c>
      <c r="X220" s="43">
        <f>SUM(AG220,AO220,AW220)</f>
        <v>0</v>
      </c>
      <c r="Y220" s="43">
        <f>SUM(AH220,AP220,AX220)</f>
        <v>0</v>
      </c>
      <c r="Z220" s="43">
        <f>SUM(AI220,AQ220,AY220)</f>
        <v>0</v>
      </c>
      <c r="AA220" s="43">
        <f>SUM(AJ220,AR220,AZ220)</f>
        <v>0</v>
      </c>
      <c r="AC220" s="631">
        <f>SUM($D220:$E220)*H220</f>
        <v>0</v>
      </c>
      <c r="AD220" s="631">
        <f>SUM($D220:$E220)*I220</f>
        <v>0</v>
      </c>
      <c r="AE220" s="631">
        <f>SUM($D220:$E220)*J220</f>
        <v>0</v>
      </c>
      <c r="AF220" s="631">
        <f>SUM($D220:$E220)*K220</f>
        <v>0</v>
      </c>
      <c r="AG220" s="631">
        <f>SUM($D220:$E220)*L220</f>
        <v>0</v>
      </c>
      <c r="AH220" s="631">
        <f>SUM($D220:$E220)*M220</f>
        <v>0</v>
      </c>
      <c r="AI220" s="631">
        <f>SUM($D220:$E220)*N220</f>
        <v>0</v>
      </c>
      <c r="AJ220" s="631">
        <f>SUM($D220:$E220)*O220</f>
        <v>0</v>
      </c>
      <c r="AK220" s="56">
        <f>IF($G220="",0,IF(NOT(OR($G220="A - All employees not in groups B, C, J, H, M or Z",$G220="B - Married women and widows entitled to reduced NI",$G220="C - Over the State Pension age",$G220="H - Apprentice under 25",$G220="J – Deferment",$G220="M - Under 21",$G220="Z - Deferment (Under 21)",$G220="Please Enter The NI Cont. in ££££")),$G220,SUM(MAX(MIN(AC220-'Input Data'!$BG$3,'Input Data'!$BG$5-'Input Data'!$BG$3),0)*VLOOKUP($G220,'Input Data'!$BI$3:$BL$10,2,FALSE),MAX(MIN(AC220-'Input Data'!$BG$5,IF(OR($G220="M (under 21)",$G220="Z (under 21 - deferment)"),'Input Data'!$BG$6,IF($G220="H (Apprentice under 25)",'Input Data'!$BG$7,'Input Data'!$BG$8))-'Input Data'!$BG$5),0)*VLOOKUP($G220,'Input Data'!$BI$3:$BL$10,3,FALSE),MAX((AC220-IF(OR($G220="M (under 21)",$G220="Z (under 21 - deferment)"),'Input Data'!$BG$6,IF($G220="H (Apprentice under 25)",'Input Data'!$BG$7,'Input Data'!$BG$8))),0)*VLOOKUP($G220,'Input Data'!$BI$3:$BL$10,4,FALSE))))</f>
        <v>0</v>
      </c>
      <c r="AL220" s="56">
        <f>IF($G220="",0,IF(NOT(OR($G220="A - All employees not in groups B, C, J, H, M or Z",$G220="B - Married women and widows entitled to reduced NI",$G220="C - Over the State Pension age",$G220="H - Apprentice under 25",$G220="J – Deferment",$G220="M - Under 21",$G220="Z - Deferment (Under 21)",$G220="Please Enter The NI Cont. in ££££")),$G220,SUM(MAX(MIN(AD220-'Input Data'!$BG$3,'Input Data'!$BG$5-'Input Data'!$BG$3),0)*VLOOKUP($G220,'Input Data'!$BI$3:$BL$10,2,FALSE),MAX(MIN(AD220-'Input Data'!$BG$5,IF(OR($G220="M (under 21)",$G220="Z (under 21 - deferment)"),'Input Data'!$BG$6,IF($G220="H (Apprentice under 25)",'Input Data'!$BG$7,'Input Data'!$BG$8))-'Input Data'!$BG$5),0)*VLOOKUP($G220,'Input Data'!$BI$3:$BL$10,3,FALSE),MAX((AD220-IF(OR($G220="M (under 21)",$G220="Z (under 21 - deferment)"),'Input Data'!$BG$6,IF($G220="H (Apprentice under 25)",'Input Data'!$BG$7,'Input Data'!$BG$8))),0)*VLOOKUP($G220,'Input Data'!$BI$3:$BL$10,4,FALSE))))</f>
        <v>0</v>
      </c>
      <c r="AM220" s="56">
        <f>IF($G220="",0,IF(NOT(OR($G220="A - All employees not in groups B, C, J, H, M or Z",$G220="B - Married women and widows entitled to reduced NI",$G220="C - Over the State Pension age",$G220="H - Apprentice under 25",$G220="J – Deferment",$G220="M - Under 21",$G220="Z - Deferment (Under 21)",$G220="Please Enter The NI Cont. in ££££")),$G220,SUM(MAX(MIN(AE220-'Input Data'!$BG$3,'Input Data'!$BG$5-'Input Data'!$BG$3),0)*VLOOKUP($G220,'Input Data'!$BI$3:$BL$10,2,FALSE),MAX(MIN(AE220-'Input Data'!$BG$5,IF(OR($G220="M (under 21)",$G220="Z (under 21 - deferment)"),'Input Data'!$BG$6,IF($G220="H (Apprentice under 25)",'Input Data'!$BG$7,'Input Data'!$BG$8))-'Input Data'!$BG$5),0)*VLOOKUP($G220,'Input Data'!$BI$3:$BL$10,3,FALSE),MAX((AE220-IF(OR($G220="M (under 21)",$G220="Z (under 21 - deferment)"),'Input Data'!$BG$6,IF($G220="H (Apprentice under 25)",'Input Data'!$BG$7,'Input Data'!$BG$8))),0)*VLOOKUP($G220,'Input Data'!$BI$3:$BL$10,4,FALSE))))</f>
        <v>0</v>
      </c>
      <c r="AN220" s="56">
        <f>IF($G220="",0,IF(NOT(OR($G220="A - All employees not in groups B, C, J, H, M or Z",$G220="B - Married women and widows entitled to reduced NI",$G220="C - Over the State Pension age",$G220="H - Apprentice under 25",$G220="J – Deferment",$G220="M - Under 21",$G220="Z - Deferment (Under 21)",$G220="Please Enter The NI Cont. in ££££")),$G220,SUM(MAX(MIN(AF220-'Input Data'!$BG$3,'Input Data'!$BG$5-'Input Data'!$BG$3),0)*VLOOKUP($G220,'Input Data'!$BI$3:$BL$10,2,FALSE),MAX(MIN(AF220-'Input Data'!$BG$5,IF(OR($G220="M (under 21)",$G220="Z (under 21 - deferment)"),'Input Data'!$BG$6,IF($G220="H (Apprentice under 25)",'Input Data'!$BG$7,'Input Data'!$BG$8))-'Input Data'!$BG$5),0)*VLOOKUP($G220,'Input Data'!$BI$3:$BL$10,3,FALSE),MAX((AF220-IF(OR($G220="M (under 21)",$G220="Z (under 21 - deferment)"),'Input Data'!$BG$6,IF($G220="H (Apprentice under 25)",'Input Data'!$BG$7,'Input Data'!$BG$8))),0)*VLOOKUP($G220,'Input Data'!$BI$3:$BL$10,4,FALSE))))</f>
        <v>0</v>
      </c>
      <c r="AO220" s="56">
        <f>IF($G220="",0,IF(NOT(OR($G220="A - All employees not in groups B, C, J, H, M or Z",$G220="B - Married women and widows entitled to reduced NI",$G220="C - Over the State Pension age",$G220="H - Apprentice under 25",$G220="J – Deferment",$G220="M - Under 21",$G220="Z - Deferment (Under 21)",$G220="Please Enter The NI Cont. in ££££")),$G220,SUM(MAX(MIN(AG220-'Input Data'!$BG$3,'Input Data'!$BG$5-'Input Data'!$BG$3),0)*VLOOKUP($G220,'Input Data'!$BI$3:$BL$10,2,FALSE),MAX(MIN(AG220-'Input Data'!$BG$5,IF(OR($G220="M (under 21)",$G220="Z (under 21 - deferment)"),'Input Data'!$BG$6,IF($G220="H (Apprentice under 25)",'Input Data'!$BG$7,'Input Data'!$BG$8))-'Input Data'!$BG$5),0)*VLOOKUP($G220,'Input Data'!$BI$3:$BL$10,3,FALSE),MAX((AG220-IF(OR($G220="M (under 21)",$G220="Z (under 21 - deferment)"),'Input Data'!$BG$6,IF($G220="H (Apprentice under 25)",'Input Data'!$BG$7,'Input Data'!$BG$8))),0)*VLOOKUP($G220,'Input Data'!$BI$3:$BL$10,4,FALSE))))</f>
        <v>0</v>
      </c>
      <c r="AP220" s="56">
        <f>IF($G220="",0,IF(NOT(OR($G220="A - All employees not in groups B, C, J, H, M or Z",$G220="B - Married women and widows entitled to reduced NI",$G220="C - Over the State Pension age",$G220="H - Apprentice under 25",$G220="J – Deferment",$G220="M - Under 21",$G220="Z - Deferment (Under 21)",$G220="Please Enter The NI Cont. in ££££")),$G220,SUM(MAX(MIN(AH220-'Input Data'!$BG$3,'Input Data'!$BG$5-'Input Data'!$BG$3),0)*VLOOKUP($G220,'Input Data'!$BI$3:$BL$10,2,FALSE),MAX(MIN(AH220-'Input Data'!$BG$5,IF(OR($G220="M (under 21)",$G220="Z (under 21 - deferment)"),'Input Data'!$BG$6,IF($G220="H (Apprentice under 25)",'Input Data'!$BG$7,'Input Data'!$BG$8))-'Input Data'!$BG$5),0)*VLOOKUP($G220,'Input Data'!$BI$3:$BL$10,3,FALSE),MAX((AH220-IF(OR($G220="M (under 21)",$G220="Z (under 21 - deferment)"),'Input Data'!$BG$6,IF($G220="H (Apprentice under 25)",'Input Data'!$BG$7,'Input Data'!$BG$8))),0)*VLOOKUP($G220,'Input Data'!$BI$3:$BL$10,4,FALSE))))</f>
        <v>0</v>
      </c>
      <c r="AQ220" s="56">
        <f>IF($G220="",0,IF(NOT(OR($G220="A - All employees not in groups B, C, J, H, M or Z",$G220="B - Married women and widows entitled to reduced NI",$G220="C - Over the State Pension age",$G220="H - Apprentice under 25",$G220="J – Deferment",$G220="M - Under 21",$G220="Z - Deferment (Under 21)",$G220="Please Enter The NI Cont. in ££££")),$G220,SUM(MAX(MIN(AI220-'Input Data'!$BG$3,'Input Data'!$BG$5-'Input Data'!$BG$3),0)*VLOOKUP($G220,'Input Data'!$BI$3:$BL$10,2,FALSE),MAX(MIN(AI220-'Input Data'!$BG$5,IF(OR($G220="M (under 21)",$G220="Z (under 21 - deferment)"),'Input Data'!$BG$6,IF($G220="H (Apprentice under 25)",'Input Data'!$BG$7,'Input Data'!$BG$8))-'Input Data'!$BG$5),0)*VLOOKUP($G220,'Input Data'!$BI$3:$BL$10,3,FALSE),MAX((AI220-IF(OR($G220="M (under 21)",$G220="Z (under 21 - deferment)"),'Input Data'!$BG$6,IF($G220="H (Apprentice under 25)",'Input Data'!$BG$7,'Input Data'!$BG$8))),0)*VLOOKUP($G220,'Input Data'!$BI$3:$BL$10,4,FALSE))))</f>
        <v>0</v>
      </c>
      <c r="AR220" s="56">
        <f>IF($G220="",0,IF(NOT(OR($G220="A - All employees not in groups B, C, J, H, M or Z",$G220="B - Married women and widows entitled to reduced NI",$G220="C - Over the State Pension age",$G220="H - Apprentice under 25",$G220="J – Deferment",$G220="M - Under 21",$G220="Z - Deferment (Under 21)",$G220="Please Enter The NI Cont. in ££££")),$G220,SUM(MAX(MIN(AJ220-'Input Data'!$BG$3,'Input Data'!$BG$5-'Input Data'!$BG$3),0)*VLOOKUP($G220,'Input Data'!$BI$3:$BL$10,2,FALSE),MAX(MIN(AJ220-'Input Data'!$BG$5,IF(OR($G220="M (under 21)",$G220="Z (under 21 - deferment)"),'Input Data'!$BG$6,IF($G220="H (Apprentice under 25)",'Input Data'!$BG$7,'Input Data'!$BG$8))-'Input Data'!$BG$5),0)*VLOOKUP($G220,'Input Data'!$BI$3:$BL$10,3,FALSE),MAX((AJ220-IF(OR($G220="M (under 21)",$G220="Z (under 21 - deferment)"),'Input Data'!$BG$6,IF($G220="H (Apprentice under 25)",'Input Data'!$BG$7,'Input Data'!$BG$8))),0)*VLOOKUP($G220,'Input Data'!$BI$3:$BL$10,4,FALSE))))</f>
        <v>0</v>
      </c>
      <c r="AS220" s="56">
        <f>AC220*$F220</f>
        <v>0</v>
      </c>
      <c r="AT220" s="56">
        <f>AD220*$F220</f>
        <v>0</v>
      </c>
      <c r="AU220" s="56">
        <f>AE220*$F220</f>
        <v>0</v>
      </c>
      <c r="AV220" s="56">
        <f>AF220*$F220</f>
        <v>0</v>
      </c>
      <c r="AW220" s="56">
        <f>AG220*$F220</f>
        <v>0</v>
      </c>
      <c r="AX220" s="56">
        <f>AH220*$F220</f>
        <v>0</v>
      </c>
      <c r="AY220" s="56">
        <f>AI220*$F220</f>
        <v>0</v>
      </c>
      <c r="AZ220" s="56">
        <f>AJ220*$F220</f>
        <v>0</v>
      </c>
    </row>
    <row r="221" spans="2:52" ht="25.5">
      <c r="B221" s="60"/>
      <c r="C221" s="57" t="s">
        <v>69</v>
      </c>
      <c r="D221" s="58"/>
      <c r="E221" s="58"/>
      <c r="F221" s="535"/>
      <c r="G221" s="693" t="s">
        <v>1149</v>
      </c>
      <c r="H221" s="65"/>
      <c r="I221" s="65"/>
      <c r="J221" s="65"/>
      <c r="K221" s="65"/>
      <c r="L221" s="65"/>
      <c r="M221" s="65"/>
      <c r="N221" s="65"/>
      <c r="O221" s="65"/>
      <c r="P221" s="29"/>
      <c r="Q221" s="597"/>
      <c r="R221" s="61"/>
      <c r="T221" s="43">
        <f>SUM(AC221,AK221,AS221)</f>
        <v>0</v>
      </c>
      <c r="U221" s="43">
        <f>SUM(AD221,AL221,AT221)</f>
        <v>0</v>
      </c>
      <c r="V221" s="43">
        <f>SUM(AE221,AM221,AU221)</f>
        <v>0</v>
      </c>
      <c r="W221" s="43">
        <f>SUM(AF221,AN221,AV221)</f>
        <v>0</v>
      </c>
      <c r="X221" s="43">
        <f>SUM(AG221,AO221,AW221)</f>
        <v>0</v>
      </c>
      <c r="Y221" s="43">
        <f>SUM(AH221,AP221,AX221)</f>
        <v>0</v>
      </c>
      <c r="Z221" s="43">
        <f>SUM(AI221,AQ221,AY221)</f>
        <v>0</v>
      </c>
      <c r="AA221" s="43">
        <f>SUM(AJ221,AR221,AZ221)</f>
        <v>0</v>
      </c>
      <c r="AC221" s="631">
        <f>SUM($D221:$E221)*H221</f>
        <v>0</v>
      </c>
      <c r="AD221" s="631">
        <f>SUM($D221:$E221)*I221</f>
        <v>0</v>
      </c>
      <c r="AE221" s="631">
        <f>SUM($D221:$E221)*J221</f>
        <v>0</v>
      </c>
      <c r="AF221" s="631">
        <f>SUM($D221:$E221)*K221</f>
        <v>0</v>
      </c>
      <c r="AG221" s="631">
        <f>SUM($D221:$E221)*L221</f>
        <v>0</v>
      </c>
      <c r="AH221" s="631">
        <f>SUM($D221:$E221)*M221</f>
        <v>0</v>
      </c>
      <c r="AI221" s="631">
        <f>SUM($D221:$E221)*N221</f>
        <v>0</v>
      </c>
      <c r="AJ221" s="631">
        <f>SUM($D221:$E221)*O221</f>
        <v>0</v>
      </c>
      <c r="AK221" s="56">
        <f>IF($G221="",0,IF(NOT(OR($G221="A - All employees not in groups B, C, J, H, M or Z",$G221="B - Married women and widows entitled to reduced NI",$G221="C - Over the State Pension age",$G221="H - Apprentice under 25",$G221="J – Deferment",$G221="M - Under 21",$G221="Z - Deferment (Under 21)",$G221="Please Enter The NI Cont. in ££££")),$G221,SUM(MAX(MIN(AC221-'Input Data'!$BG$3,'Input Data'!$BG$5-'Input Data'!$BG$3),0)*VLOOKUP($G221,'Input Data'!$BI$3:$BL$10,2,FALSE),MAX(MIN(AC221-'Input Data'!$BG$5,IF(OR($G221="M (under 21)",$G221="Z (under 21 - deferment)"),'Input Data'!$BG$6,IF($G221="H (Apprentice under 25)",'Input Data'!$BG$7,'Input Data'!$BG$8))-'Input Data'!$BG$5),0)*VLOOKUP($G221,'Input Data'!$BI$3:$BL$10,3,FALSE),MAX((AC221-IF(OR($G221="M (under 21)",$G221="Z (under 21 - deferment)"),'Input Data'!$BG$6,IF($G221="H (Apprentice under 25)",'Input Data'!$BG$7,'Input Data'!$BG$8))),0)*VLOOKUP($G221,'Input Data'!$BI$3:$BL$10,4,FALSE))))</f>
        <v>0</v>
      </c>
      <c r="AL221" s="56">
        <f>IF($G221="",0,IF(NOT(OR($G221="A - All employees not in groups B, C, J, H, M or Z",$G221="B - Married women and widows entitled to reduced NI",$G221="C - Over the State Pension age",$G221="H - Apprentice under 25",$G221="J – Deferment",$G221="M - Under 21",$G221="Z - Deferment (Under 21)",$G221="Please Enter The NI Cont. in ££££")),$G221,SUM(MAX(MIN(AD221-'Input Data'!$BG$3,'Input Data'!$BG$5-'Input Data'!$BG$3),0)*VLOOKUP($G221,'Input Data'!$BI$3:$BL$10,2,FALSE),MAX(MIN(AD221-'Input Data'!$BG$5,IF(OR($G221="M (under 21)",$G221="Z (under 21 - deferment)"),'Input Data'!$BG$6,IF($G221="H (Apprentice under 25)",'Input Data'!$BG$7,'Input Data'!$BG$8))-'Input Data'!$BG$5),0)*VLOOKUP($G221,'Input Data'!$BI$3:$BL$10,3,FALSE),MAX((AD221-IF(OR($G221="M (under 21)",$G221="Z (under 21 - deferment)"),'Input Data'!$BG$6,IF($G221="H (Apprentice under 25)",'Input Data'!$BG$7,'Input Data'!$BG$8))),0)*VLOOKUP($G221,'Input Data'!$BI$3:$BL$10,4,FALSE))))</f>
        <v>0</v>
      </c>
      <c r="AM221" s="56">
        <f>IF($G221="",0,IF(NOT(OR($G221="A - All employees not in groups B, C, J, H, M or Z",$G221="B - Married women and widows entitled to reduced NI",$G221="C - Over the State Pension age",$G221="H - Apprentice under 25",$G221="J – Deferment",$G221="M - Under 21",$G221="Z - Deferment (Under 21)",$G221="Please Enter The NI Cont. in ££££")),$G221,SUM(MAX(MIN(AE221-'Input Data'!$BG$3,'Input Data'!$BG$5-'Input Data'!$BG$3),0)*VLOOKUP($G221,'Input Data'!$BI$3:$BL$10,2,FALSE),MAX(MIN(AE221-'Input Data'!$BG$5,IF(OR($G221="M (under 21)",$G221="Z (under 21 - deferment)"),'Input Data'!$BG$6,IF($G221="H (Apprentice under 25)",'Input Data'!$BG$7,'Input Data'!$BG$8))-'Input Data'!$BG$5),0)*VLOOKUP($G221,'Input Data'!$BI$3:$BL$10,3,FALSE),MAX((AE221-IF(OR($G221="M (under 21)",$G221="Z (under 21 - deferment)"),'Input Data'!$BG$6,IF($G221="H (Apprentice under 25)",'Input Data'!$BG$7,'Input Data'!$BG$8))),0)*VLOOKUP($G221,'Input Data'!$BI$3:$BL$10,4,FALSE))))</f>
        <v>0</v>
      </c>
      <c r="AN221" s="56">
        <f>IF($G221="",0,IF(NOT(OR($G221="A - All employees not in groups B, C, J, H, M or Z",$G221="B - Married women and widows entitled to reduced NI",$G221="C - Over the State Pension age",$G221="H - Apprentice under 25",$G221="J – Deferment",$G221="M - Under 21",$G221="Z - Deferment (Under 21)",$G221="Please Enter The NI Cont. in ££££")),$G221,SUM(MAX(MIN(AF221-'Input Data'!$BG$3,'Input Data'!$BG$5-'Input Data'!$BG$3),0)*VLOOKUP($G221,'Input Data'!$BI$3:$BL$10,2,FALSE),MAX(MIN(AF221-'Input Data'!$BG$5,IF(OR($G221="M (under 21)",$G221="Z (under 21 - deferment)"),'Input Data'!$BG$6,IF($G221="H (Apprentice under 25)",'Input Data'!$BG$7,'Input Data'!$BG$8))-'Input Data'!$BG$5),0)*VLOOKUP($G221,'Input Data'!$BI$3:$BL$10,3,FALSE),MAX((AF221-IF(OR($G221="M (under 21)",$G221="Z (under 21 - deferment)"),'Input Data'!$BG$6,IF($G221="H (Apprentice under 25)",'Input Data'!$BG$7,'Input Data'!$BG$8))),0)*VLOOKUP($G221,'Input Data'!$BI$3:$BL$10,4,FALSE))))</f>
        <v>0</v>
      </c>
      <c r="AO221" s="56">
        <f>IF($G221="",0,IF(NOT(OR($G221="A - All employees not in groups B, C, J, H, M or Z",$G221="B - Married women and widows entitled to reduced NI",$G221="C - Over the State Pension age",$G221="H - Apprentice under 25",$G221="J – Deferment",$G221="M - Under 21",$G221="Z - Deferment (Under 21)",$G221="Please Enter The NI Cont. in ££££")),$G221,SUM(MAX(MIN(AG221-'Input Data'!$BG$3,'Input Data'!$BG$5-'Input Data'!$BG$3),0)*VLOOKUP($G221,'Input Data'!$BI$3:$BL$10,2,FALSE),MAX(MIN(AG221-'Input Data'!$BG$5,IF(OR($G221="M (under 21)",$G221="Z (under 21 - deferment)"),'Input Data'!$BG$6,IF($G221="H (Apprentice under 25)",'Input Data'!$BG$7,'Input Data'!$BG$8))-'Input Data'!$BG$5),0)*VLOOKUP($G221,'Input Data'!$BI$3:$BL$10,3,FALSE),MAX((AG221-IF(OR($G221="M (under 21)",$G221="Z (under 21 - deferment)"),'Input Data'!$BG$6,IF($G221="H (Apprentice under 25)",'Input Data'!$BG$7,'Input Data'!$BG$8))),0)*VLOOKUP($G221,'Input Data'!$BI$3:$BL$10,4,FALSE))))</f>
        <v>0</v>
      </c>
      <c r="AP221" s="56">
        <f>IF($G221="",0,IF(NOT(OR($G221="A - All employees not in groups B, C, J, H, M or Z",$G221="B - Married women and widows entitled to reduced NI",$G221="C - Over the State Pension age",$G221="H - Apprentice under 25",$G221="J – Deferment",$G221="M - Under 21",$G221="Z - Deferment (Under 21)",$G221="Please Enter The NI Cont. in ££££")),$G221,SUM(MAX(MIN(AH221-'Input Data'!$BG$3,'Input Data'!$BG$5-'Input Data'!$BG$3),0)*VLOOKUP($G221,'Input Data'!$BI$3:$BL$10,2,FALSE),MAX(MIN(AH221-'Input Data'!$BG$5,IF(OR($G221="M (under 21)",$G221="Z (under 21 - deferment)"),'Input Data'!$BG$6,IF($G221="H (Apprentice under 25)",'Input Data'!$BG$7,'Input Data'!$BG$8))-'Input Data'!$BG$5),0)*VLOOKUP($G221,'Input Data'!$BI$3:$BL$10,3,FALSE),MAX((AH221-IF(OR($G221="M (under 21)",$G221="Z (under 21 - deferment)"),'Input Data'!$BG$6,IF($G221="H (Apprentice under 25)",'Input Data'!$BG$7,'Input Data'!$BG$8))),0)*VLOOKUP($G221,'Input Data'!$BI$3:$BL$10,4,FALSE))))</f>
        <v>0</v>
      </c>
      <c r="AQ221" s="56">
        <f>IF($G221="",0,IF(NOT(OR($G221="A - All employees not in groups B, C, J, H, M or Z",$G221="B - Married women and widows entitled to reduced NI",$G221="C - Over the State Pension age",$G221="H - Apprentice under 25",$G221="J – Deferment",$G221="M - Under 21",$G221="Z - Deferment (Under 21)",$G221="Please Enter The NI Cont. in ££££")),$G221,SUM(MAX(MIN(AI221-'Input Data'!$BG$3,'Input Data'!$BG$5-'Input Data'!$BG$3),0)*VLOOKUP($G221,'Input Data'!$BI$3:$BL$10,2,FALSE),MAX(MIN(AI221-'Input Data'!$BG$5,IF(OR($G221="M (under 21)",$G221="Z (under 21 - deferment)"),'Input Data'!$BG$6,IF($G221="H (Apprentice under 25)",'Input Data'!$BG$7,'Input Data'!$BG$8))-'Input Data'!$BG$5),0)*VLOOKUP($G221,'Input Data'!$BI$3:$BL$10,3,FALSE),MAX((AI221-IF(OR($G221="M (under 21)",$G221="Z (under 21 - deferment)"),'Input Data'!$BG$6,IF($G221="H (Apprentice under 25)",'Input Data'!$BG$7,'Input Data'!$BG$8))),0)*VLOOKUP($G221,'Input Data'!$BI$3:$BL$10,4,FALSE))))</f>
        <v>0</v>
      </c>
      <c r="AR221" s="56">
        <f>IF($G221="",0,IF(NOT(OR($G221="A - All employees not in groups B, C, J, H, M or Z",$G221="B - Married women and widows entitled to reduced NI",$G221="C - Over the State Pension age",$G221="H - Apprentice under 25",$G221="J – Deferment",$G221="M - Under 21",$G221="Z - Deferment (Under 21)",$G221="Please Enter The NI Cont. in ££££")),$G221,SUM(MAX(MIN(AJ221-'Input Data'!$BG$3,'Input Data'!$BG$5-'Input Data'!$BG$3),0)*VLOOKUP($G221,'Input Data'!$BI$3:$BL$10,2,FALSE),MAX(MIN(AJ221-'Input Data'!$BG$5,IF(OR($G221="M (under 21)",$G221="Z (under 21 - deferment)"),'Input Data'!$BG$6,IF($G221="H (Apprentice under 25)",'Input Data'!$BG$7,'Input Data'!$BG$8))-'Input Data'!$BG$5),0)*VLOOKUP($G221,'Input Data'!$BI$3:$BL$10,3,FALSE),MAX((AJ221-IF(OR($G221="M (under 21)",$G221="Z (under 21 - deferment)"),'Input Data'!$BG$6,IF($G221="H (Apprentice under 25)",'Input Data'!$BG$7,'Input Data'!$BG$8))),0)*VLOOKUP($G221,'Input Data'!$BI$3:$BL$10,4,FALSE))))</f>
        <v>0</v>
      </c>
      <c r="AS221" s="56">
        <f>AC221*$F221</f>
        <v>0</v>
      </c>
      <c r="AT221" s="56">
        <f>AD221*$F221</f>
        <v>0</v>
      </c>
      <c r="AU221" s="56">
        <f>AE221*$F221</f>
        <v>0</v>
      </c>
      <c r="AV221" s="56">
        <f>AF221*$F221</f>
        <v>0</v>
      </c>
      <c r="AW221" s="56">
        <f>AG221*$F221</f>
        <v>0</v>
      </c>
      <c r="AX221" s="56">
        <f>AH221*$F221</f>
        <v>0</v>
      </c>
      <c r="AY221" s="56">
        <f>AI221*$F221</f>
        <v>0</v>
      </c>
      <c r="AZ221" s="56">
        <f>AJ221*$F221</f>
        <v>0</v>
      </c>
    </row>
    <row r="222" spans="2:52" ht="25.5">
      <c r="B222" s="60"/>
      <c r="C222" s="57" t="s">
        <v>70</v>
      </c>
      <c r="D222" s="58"/>
      <c r="E222" s="58"/>
      <c r="F222" s="535"/>
      <c r="G222" s="693" t="s">
        <v>1149</v>
      </c>
      <c r="H222" s="65"/>
      <c r="I222" s="65"/>
      <c r="J222" s="65"/>
      <c r="K222" s="65"/>
      <c r="L222" s="65"/>
      <c r="M222" s="65"/>
      <c r="N222" s="65"/>
      <c r="O222" s="65"/>
      <c r="P222" s="29"/>
      <c r="Q222" s="597"/>
      <c r="R222" s="61"/>
      <c r="T222" s="43">
        <f>SUM(AC222,AK222,AS222)</f>
        <v>0</v>
      </c>
      <c r="U222" s="43">
        <f>SUM(AD222,AL222,AT222)</f>
        <v>0</v>
      </c>
      <c r="V222" s="43">
        <f>SUM(AE222,AM222,AU222)</f>
        <v>0</v>
      </c>
      <c r="W222" s="43">
        <f>SUM(AF222,AN222,AV222)</f>
        <v>0</v>
      </c>
      <c r="X222" s="43">
        <f>SUM(AG222,AO222,AW222)</f>
        <v>0</v>
      </c>
      <c r="Y222" s="43">
        <f>SUM(AH222,AP222,AX222)</f>
        <v>0</v>
      </c>
      <c r="Z222" s="43">
        <f>SUM(AI222,AQ222,AY222)</f>
        <v>0</v>
      </c>
      <c r="AA222" s="43">
        <f>SUM(AJ222,AR222,AZ222)</f>
        <v>0</v>
      </c>
      <c r="AC222" s="631">
        <f>SUM($D222:$E222)*H222</f>
        <v>0</v>
      </c>
      <c r="AD222" s="631">
        <f>SUM($D222:$E222)*I222</f>
        <v>0</v>
      </c>
      <c r="AE222" s="631">
        <f>SUM($D222:$E222)*J222</f>
        <v>0</v>
      </c>
      <c r="AF222" s="631">
        <f>SUM($D222:$E222)*K222</f>
        <v>0</v>
      </c>
      <c r="AG222" s="631">
        <f>SUM($D222:$E222)*L222</f>
        <v>0</v>
      </c>
      <c r="AH222" s="631">
        <f>SUM($D222:$E222)*M222</f>
        <v>0</v>
      </c>
      <c r="AI222" s="631">
        <f>SUM($D222:$E222)*N222</f>
        <v>0</v>
      </c>
      <c r="AJ222" s="631">
        <f>SUM($D222:$E222)*O222</f>
        <v>0</v>
      </c>
      <c r="AK222" s="56">
        <f>IF($G222="",0,IF(NOT(OR($G222="A - All employees not in groups B, C, J, H, M or Z",$G222="B - Married women and widows entitled to reduced NI",$G222="C - Over the State Pension age",$G222="H - Apprentice under 25",$G222="J – Deferment",$G222="M - Under 21",$G222="Z - Deferment (Under 21)",$G222="Please Enter The NI Cont. in ££££")),$G222,SUM(MAX(MIN(AC222-'Input Data'!$BG$3,'Input Data'!$BG$5-'Input Data'!$BG$3),0)*VLOOKUP($G222,'Input Data'!$BI$3:$BL$10,2,FALSE),MAX(MIN(AC222-'Input Data'!$BG$5,IF(OR($G222="M (under 21)",$G222="Z (under 21 - deferment)"),'Input Data'!$BG$6,IF($G222="H (Apprentice under 25)",'Input Data'!$BG$7,'Input Data'!$BG$8))-'Input Data'!$BG$5),0)*VLOOKUP($G222,'Input Data'!$BI$3:$BL$10,3,FALSE),MAX((AC222-IF(OR($G222="M (under 21)",$G222="Z (under 21 - deferment)"),'Input Data'!$BG$6,IF($G222="H (Apprentice under 25)",'Input Data'!$BG$7,'Input Data'!$BG$8))),0)*VLOOKUP($G222,'Input Data'!$BI$3:$BL$10,4,FALSE))))</f>
        <v>0</v>
      </c>
      <c r="AL222" s="56">
        <f>IF($G222="",0,IF(NOT(OR($G222="A - All employees not in groups B, C, J, H, M or Z",$G222="B - Married women and widows entitled to reduced NI",$G222="C - Over the State Pension age",$G222="H - Apprentice under 25",$G222="J – Deferment",$G222="M - Under 21",$G222="Z - Deferment (Under 21)",$G222="Please Enter The NI Cont. in ££££")),$G222,SUM(MAX(MIN(AD222-'Input Data'!$BG$3,'Input Data'!$BG$5-'Input Data'!$BG$3),0)*VLOOKUP($G222,'Input Data'!$BI$3:$BL$10,2,FALSE),MAX(MIN(AD222-'Input Data'!$BG$5,IF(OR($G222="M (under 21)",$G222="Z (under 21 - deferment)"),'Input Data'!$BG$6,IF($G222="H (Apprentice under 25)",'Input Data'!$BG$7,'Input Data'!$BG$8))-'Input Data'!$BG$5),0)*VLOOKUP($G222,'Input Data'!$BI$3:$BL$10,3,FALSE),MAX((AD222-IF(OR($G222="M (under 21)",$G222="Z (under 21 - deferment)"),'Input Data'!$BG$6,IF($G222="H (Apprentice under 25)",'Input Data'!$BG$7,'Input Data'!$BG$8))),0)*VLOOKUP($G222,'Input Data'!$BI$3:$BL$10,4,FALSE))))</f>
        <v>0</v>
      </c>
      <c r="AM222" s="56">
        <f>IF($G222="",0,IF(NOT(OR($G222="A - All employees not in groups B, C, J, H, M or Z",$G222="B - Married women and widows entitled to reduced NI",$G222="C - Over the State Pension age",$G222="H - Apprentice under 25",$G222="J – Deferment",$G222="M - Under 21",$G222="Z - Deferment (Under 21)",$G222="Please Enter The NI Cont. in ££££")),$G222,SUM(MAX(MIN(AE222-'Input Data'!$BG$3,'Input Data'!$BG$5-'Input Data'!$BG$3),0)*VLOOKUP($G222,'Input Data'!$BI$3:$BL$10,2,FALSE),MAX(MIN(AE222-'Input Data'!$BG$5,IF(OR($G222="M (under 21)",$G222="Z (under 21 - deferment)"),'Input Data'!$BG$6,IF($G222="H (Apprentice under 25)",'Input Data'!$BG$7,'Input Data'!$BG$8))-'Input Data'!$BG$5),0)*VLOOKUP($G222,'Input Data'!$BI$3:$BL$10,3,FALSE),MAX((AE222-IF(OR($G222="M (under 21)",$G222="Z (under 21 - deferment)"),'Input Data'!$BG$6,IF($G222="H (Apprentice under 25)",'Input Data'!$BG$7,'Input Data'!$BG$8))),0)*VLOOKUP($G222,'Input Data'!$BI$3:$BL$10,4,FALSE))))</f>
        <v>0</v>
      </c>
      <c r="AN222" s="56">
        <f>IF($G222="",0,IF(NOT(OR($G222="A - All employees not in groups B, C, J, H, M or Z",$G222="B - Married women and widows entitled to reduced NI",$G222="C - Over the State Pension age",$G222="H - Apprentice under 25",$G222="J – Deferment",$G222="M - Under 21",$G222="Z - Deferment (Under 21)",$G222="Please Enter The NI Cont. in ££££")),$G222,SUM(MAX(MIN(AF222-'Input Data'!$BG$3,'Input Data'!$BG$5-'Input Data'!$BG$3),0)*VLOOKUP($G222,'Input Data'!$BI$3:$BL$10,2,FALSE),MAX(MIN(AF222-'Input Data'!$BG$5,IF(OR($G222="M (under 21)",$G222="Z (under 21 - deferment)"),'Input Data'!$BG$6,IF($G222="H (Apprentice under 25)",'Input Data'!$BG$7,'Input Data'!$BG$8))-'Input Data'!$BG$5),0)*VLOOKUP($G222,'Input Data'!$BI$3:$BL$10,3,FALSE),MAX((AF222-IF(OR($G222="M (under 21)",$G222="Z (under 21 - deferment)"),'Input Data'!$BG$6,IF($G222="H (Apprentice under 25)",'Input Data'!$BG$7,'Input Data'!$BG$8))),0)*VLOOKUP($G222,'Input Data'!$BI$3:$BL$10,4,FALSE))))</f>
        <v>0</v>
      </c>
      <c r="AO222" s="56">
        <f>IF($G222="",0,IF(NOT(OR($G222="A - All employees not in groups B, C, J, H, M or Z",$G222="B - Married women and widows entitled to reduced NI",$G222="C - Over the State Pension age",$G222="H - Apprentice under 25",$G222="J – Deferment",$G222="M - Under 21",$G222="Z - Deferment (Under 21)",$G222="Please Enter The NI Cont. in ££££")),$G222,SUM(MAX(MIN(AG222-'Input Data'!$BG$3,'Input Data'!$BG$5-'Input Data'!$BG$3),0)*VLOOKUP($G222,'Input Data'!$BI$3:$BL$10,2,FALSE),MAX(MIN(AG222-'Input Data'!$BG$5,IF(OR($G222="M (under 21)",$G222="Z (under 21 - deferment)"),'Input Data'!$BG$6,IF($G222="H (Apprentice under 25)",'Input Data'!$BG$7,'Input Data'!$BG$8))-'Input Data'!$BG$5),0)*VLOOKUP($G222,'Input Data'!$BI$3:$BL$10,3,FALSE),MAX((AG222-IF(OR($G222="M (under 21)",$G222="Z (under 21 - deferment)"),'Input Data'!$BG$6,IF($G222="H (Apprentice under 25)",'Input Data'!$BG$7,'Input Data'!$BG$8))),0)*VLOOKUP($G222,'Input Data'!$BI$3:$BL$10,4,FALSE))))</f>
        <v>0</v>
      </c>
      <c r="AP222" s="56">
        <f>IF($G222="",0,IF(NOT(OR($G222="A - All employees not in groups B, C, J, H, M or Z",$G222="B - Married women and widows entitled to reduced NI",$G222="C - Over the State Pension age",$G222="H - Apprentice under 25",$G222="J – Deferment",$G222="M - Under 21",$G222="Z - Deferment (Under 21)",$G222="Please Enter The NI Cont. in ££££")),$G222,SUM(MAX(MIN(AH222-'Input Data'!$BG$3,'Input Data'!$BG$5-'Input Data'!$BG$3),0)*VLOOKUP($G222,'Input Data'!$BI$3:$BL$10,2,FALSE),MAX(MIN(AH222-'Input Data'!$BG$5,IF(OR($G222="M (under 21)",$G222="Z (under 21 - deferment)"),'Input Data'!$BG$6,IF($G222="H (Apprentice under 25)",'Input Data'!$BG$7,'Input Data'!$BG$8))-'Input Data'!$BG$5),0)*VLOOKUP($G222,'Input Data'!$BI$3:$BL$10,3,FALSE),MAX((AH222-IF(OR($G222="M (under 21)",$G222="Z (under 21 - deferment)"),'Input Data'!$BG$6,IF($G222="H (Apprentice under 25)",'Input Data'!$BG$7,'Input Data'!$BG$8))),0)*VLOOKUP($G222,'Input Data'!$BI$3:$BL$10,4,FALSE))))</f>
        <v>0</v>
      </c>
      <c r="AQ222" s="56">
        <f>IF($G222="",0,IF(NOT(OR($G222="A - All employees not in groups B, C, J, H, M or Z",$G222="B - Married women and widows entitled to reduced NI",$G222="C - Over the State Pension age",$G222="H - Apprentice under 25",$G222="J – Deferment",$G222="M - Under 21",$G222="Z - Deferment (Under 21)",$G222="Please Enter The NI Cont. in ££££")),$G222,SUM(MAX(MIN(AI222-'Input Data'!$BG$3,'Input Data'!$BG$5-'Input Data'!$BG$3),0)*VLOOKUP($G222,'Input Data'!$BI$3:$BL$10,2,FALSE),MAX(MIN(AI222-'Input Data'!$BG$5,IF(OR($G222="M (under 21)",$G222="Z (under 21 - deferment)"),'Input Data'!$BG$6,IF($G222="H (Apprentice under 25)",'Input Data'!$BG$7,'Input Data'!$BG$8))-'Input Data'!$BG$5),0)*VLOOKUP($G222,'Input Data'!$BI$3:$BL$10,3,FALSE),MAX((AI222-IF(OR($G222="M (under 21)",$G222="Z (under 21 - deferment)"),'Input Data'!$BG$6,IF($G222="H (Apprentice under 25)",'Input Data'!$BG$7,'Input Data'!$BG$8))),0)*VLOOKUP($G222,'Input Data'!$BI$3:$BL$10,4,FALSE))))</f>
        <v>0</v>
      </c>
      <c r="AR222" s="56">
        <f>IF($G222="",0,IF(NOT(OR($G222="A - All employees not in groups B, C, J, H, M or Z",$G222="B - Married women and widows entitled to reduced NI",$G222="C - Over the State Pension age",$G222="H - Apprentice under 25",$G222="J – Deferment",$G222="M - Under 21",$G222="Z - Deferment (Under 21)",$G222="Please Enter The NI Cont. in ££££")),$G222,SUM(MAX(MIN(AJ222-'Input Data'!$BG$3,'Input Data'!$BG$5-'Input Data'!$BG$3),0)*VLOOKUP($G222,'Input Data'!$BI$3:$BL$10,2,FALSE),MAX(MIN(AJ222-'Input Data'!$BG$5,IF(OR($G222="M (under 21)",$G222="Z (under 21 - deferment)"),'Input Data'!$BG$6,IF($G222="H (Apprentice under 25)",'Input Data'!$BG$7,'Input Data'!$BG$8))-'Input Data'!$BG$5),0)*VLOOKUP($G222,'Input Data'!$BI$3:$BL$10,3,FALSE),MAX((AJ222-IF(OR($G222="M (under 21)",$G222="Z (under 21 - deferment)"),'Input Data'!$BG$6,IF($G222="H (Apprentice under 25)",'Input Data'!$BG$7,'Input Data'!$BG$8))),0)*VLOOKUP($G222,'Input Data'!$BI$3:$BL$10,4,FALSE))))</f>
        <v>0</v>
      </c>
      <c r="AS222" s="56">
        <f>AC222*$F222</f>
        <v>0</v>
      </c>
      <c r="AT222" s="56">
        <f>AD222*$F222</f>
        <v>0</v>
      </c>
      <c r="AU222" s="56">
        <f>AE222*$F222</f>
        <v>0</v>
      </c>
      <c r="AV222" s="56">
        <f>AF222*$F222</f>
        <v>0</v>
      </c>
      <c r="AW222" s="56">
        <f>AG222*$F222</f>
        <v>0</v>
      </c>
      <c r="AX222" s="56">
        <f>AH222*$F222</f>
        <v>0</v>
      </c>
      <c r="AY222" s="56">
        <f>AI222*$F222</f>
        <v>0</v>
      </c>
      <c r="AZ222" s="56">
        <f>AJ222*$F222</f>
        <v>0</v>
      </c>
    </row>
    <row r="223" spans="2:52" ht="25.5">
      <c r="B223" s="60"/>
      <c r="C223" s="57" t="s">
        <v>71</v>
      </c>
      <c r="D223" s="58"/>
      <c r="E223" s="58"/>
      <c r="F223" s="535"/>
      <c r="G223" s="693" t="s">
        <v>1149</v>
      </c>
      <c r="H223" s="65"/>
      <c r="I223" s="65"/>
      <c r="J223" s="65"/>
      <c r="K223" s="65"/>
      <c r="L223" s="65"/>
      <c r="M223" s="65"/>
      <c r="N223" s="65"/>
      <c r="O223" s="65"/>
      <c r="P223" s="29"/>
      <c r="Q223" s="597"/>
      <c r="R223" s="61"/>
      <c r="T223" s="43">
        <f>SUM(AC223,AK223,AS223)</f>
        <v>0</v>
      </c>
      <c r="U223" s="43">
        <f>SUM(AD223,AL223,AT223)</f>
        <v>0</v>
      </c>
      <c r="V223" s="43">
        <f>SUM(AE223,AM223,AU223)</f>
        <v>0</v>
      </c>
      <c r="W223" s="43">
        <f>SUM(AF223,AN223,AV223)</f>
        <v>0</v>
      </c>
      <c r="X223" s="43">
        <f>SUM(AG223,AO223,AW223)</f>
        <v>0</v>
      </c>
      <c r="Y223" s="43">
        <f>SUM(AH223,AP223,AX223)</f>
        <v>0</v>
      </c>
      <c r="Z223" s="43">
        <f>SUM(AI223,AQ223,AY223)</f>
        <v>0</v>
      </c>
      <c r="AA223" s="43">
        <f>SUM(AJ223,AR223,AZ223)</f>
        <v>0</v>
      </c>
      <c r="AC223" s="631">
        <f>SUM($D223:$E223)*H223</f>
        <v>0</v>
      </c>
      <c r="AD223" s="631">
        <f>SUM($D223:$E223)*I223</f>
        <v>0</v>
      </c>
      <c r="AE223" s="631">
        <f>SUM($D223:$E223)*J223</f>
        <v>0</v>
      </c>
      <c r="AF223" s="631">
        <f>SUM($D223:$E223)*K223</f>
        <v>0</v>
      </c>
      <c r="AG223" s="631">
        <f>SUM($D223:$E223)*L223</f>
        <v>0</v>
      </c>
      <c r="AH223" s="631">
        <f>SUM($D223:$E223)*M223</f>
        <v>0</v>
      </c>
      <c r="AI223" s="631">
        <f>SUM($D223:$E223)*N223</f>
        <v>0</v>
      </c>
      <c r="AJ223" s="631">
        <f>SUM($D223:$E223)*O223</f>
        <v>0</v>
      </c>
      <c r="AK223" s="56">
        <f>IF($G223="",0,IF(NOT(OR($G223="A - All employees not in groups B, C, J, H, M or Z",$G223="B - Married women and widows entitled to reduced NI",$G223="C - Over the State Pension age",$G223="H - Apprentice under 25",$G223="J – Deferment",$G223="M - Under 21",$G223="Z - Deferment (Under 21)",$G223="Please Enter The NI Cont. in ££££")),$G223,SUM(MAX(MIN(AC223-'Input Data'!$BG$3,'Input Data'!$BG$5-'Input Data'!$BG$3),0)*VLOOKUP($G223,'Input Data'!$BI$3:$BL$10,2,FALSE),MAX(MIN(AC223-'Input Data'!$BG$5,IF(OR($G223="M (under 21)",$G223="Z (under 21 - deferment)"),'Input Data'!$BG$6,IF($G223="H (Apprentice under 25)",'Input Data'!$BG$7,'Input Data'!$BG$8))-'Input Data'!$BG$5),0)*VLOOKUP($G223,'Input Data'!$BI$3:$BL$10,3,FALSE),MAX((AC223-IF(OR($G223="M (under 21)",$G223="Z (under 21 - deferment)"),'Input Data'!$BG$6,IF($G223="H (Apprentice under 25)",'Input Data'!$BG$7,'Input Data'!$BG$8))),0)*VLOOKUP($G223,'Input Data'!$BI$3:$BL$10,4,FALSE))))</f>
        <v>0</v>
      </c>
      <c r="AL223" s="56">
        <f>IF($G223="",0,IF(NOT(OR($G223="A - All employees not in groups B, C, J, H, M or Z",$G223="B - Married women and widows entitled to reduced NI",$G223="C - Over the State Pension age",$G223="H - Apprentice under 25",$G223="J – Deferment",$G223="M - Under 21",$G223="Z - Deferment (Under 21)",$G223="Please Enter The NI Cont. in ££££")),$G223,SUM(MAX(MIN(AD223-'Input Data'!$BG$3,'Input Data'!$BG$5-'Input Data'!$BG$3),0)*VLOOKUP($G223,'Input Data'!$BI$3:$BL$10,2,FALSE),MAX(MIN(AD223-'Input Data'!$BG$5,IF(OR($G223="M (under 21)",$G223="Z (under 21 - deferment)"),'Input Data'!$BG$6,IF($G223="H (Apprentice under 25)",'Input Data'!$BG$7,'Input Data'!$BG$8))-'Input Data'!$BG$5),0)*VLOOKUP($G223,'Input Data'!$BI$3:$BL$10,3,FALSE),MAX((AD223-IF(OR($G223="M (under 21)",$G223="Z (under 21 - deferment)"),'Input Data'!$BG$6,IF($G223="H (Apprentice under 25)",'Input Data'!$BG$7,'Input Data'!$BG$8))),0)*VLOOKUP($G223,'Input Data'!$BI$3:$BL$10,4,FALSE))))</f>
        <v>0</v>
      </c>
      <c r="AM223" s="56">
        <f>IF($G223="",0,IF(NOT(OR($G223="A - All employees not in groups B, C, J, H, M or Z",$G223="B - Married women and widows entitled to reduced NI",$G223="C - Over the State Pension age",$G223="H - Apprentice under 25",$G223="J – Deferment",$G223="M - Under 21",$G223="Z - Deferment (Under 21)",$G223="Please Enter The NI Cont. in ££££")),$G223,SUM(MAX(MIN(AE223-'Input Data'!$BG$3,'Input Data'!$BG$5-'Input Data'!$BG$3),0)*VLOOKUP($G223,'Input Data'!$BI$3:$BL$10,2,FALSE),MAX(MIN(AE223-'Input Data'!$BG$5,IF(OR($G223="M (under 21)",$G223="Z (under 21 - deferment)"),'Input Data'!$BG$6,IF($G223="H (Apprentice under 25)",'Input Data'!$BG$7,'Input Data'!$BG$8))-'Input Data'!$BG$5),0)*VLOOKUP($G223,'Input Data'!$BI$3:$BL$10,3,FALSE),MAX((AE223-IF(OR($G223="M (under 21)",$G223="Z (under 21 - deferment)"),'Input Data'!$BG$6,IF($G223="H (Apprentice under 25)",'Input Data'!$BG$7,'Input Data'!$BG$8))),0)*VLOOKUP($G223,'Input Data'!$BI$3:$BL$10,4,FALSE))))</f>
        <v>0</v>
      </c>
      <c r="AN223" s="56">
        <f>IF($G223="",0,IF(NOT(OR($G223="A - All employees not in groups B, C, J, H, M or Z",$G223="B - Married women and widows entitled to reduced NI",$G223="C - Over the State Pension age",$G223="H - Apprentice under 25",$G223="J – Deferment",$G223="M - Under 21",$G223="Z - Deferment (Under 21)",$G223="Please Enter The NI Cont. in ££££")),$G223,SUM(MAX(MIN(AF223-'Input Data'!$BG$3,'Input Data'!$BG$5-'Input Data'!$BG$3),0)*VLOOKUP($G223,'Input Data'!$BI$3:$BL$10,2,FALSE),MAX(MIN(AF223-'Input Data'!$BG$5,IF(OR($G223="M (under 21)",$G223="Z (under 21 - deferment)"),'Input Data'!$BG$6,IF($G223="H (Apprentice under 25)",'Input Data'!$BG$7,'Input Data'!$BG$8))-'Input Data'!$BG$5),0)*VLOOKUP($G223,'Input Data'!$BI$3:$BL$10,3,FALSE),MAX((AF223-IF(OR($G223="M (under 21)",$G223="Z (under 21 - deferment)"),'Input Data'!$BG$6,IF($G223="H (Apprentice under 25)",'Input Data'!$BG$7,'Input Data'!$BG$8))),0)*VLOOKUP($G223,'Input Data'!$BI$3:$BL$10,4,FALSE))))</f>
        <v>0</v>
      </c>
      <c r="AO223" s="56">
        <f>IF($G223="",0,IF(NOT(OR($G223="A - All employees not in groups B, C, J, H, M or Z",$G223="B - Married women and widows entitled to reduced NI",$G223="C - Over the State Pension age",$G223="H - Apprentice under 25",$G223="J – Deferment",$G223="M - Under 21",$G223="Z - Deferment (Under 21)",$G223="Please Enter The NI Cont. in ££££")),$G223,SUM(MAX(MIN(AG223-'Input Data'!$BG$3,'Input Data'!$BG$5-'Input Data'!$BG$3),0)*VLOOKUP($G223,'Input Data'!$BI$3:$BL$10,2,FALSE),MAX(MIN(AG223-'Input Data'!$BG$5,IF(OR($G223="M (under 21)",$G223="Z (under 21 - deferment)"),'Input Data'!$BG$6,IF($G223="H (Apprentice under 25)",'Input Data'!$BG$7,'Input Data'!$BG$8))-'Input Data'!$BG$5),0)*VLOOKUP($G223,'Input Data'!$BI$3:$BL$10,3,FALSE),MAX((AG223-IF(OR($G223="M (under 21)",$G223="Z (under 21 - deferment)"),'Input Data'!$BG$6,IF($G223="H (Apprentice under 25)",'Input Data'!$BG$7,'Input Data'!$BG$8))),0)*VLOOKUP($G223,'Input Data'!$BI$3:$BL$10,4,FALSE))))</f>
        <v>0</v>
      </c>
      <c r="AP223" s="56">
        <f>IF($G223="",0,IF(NOT(OR($G223="A - All employees not in groups B, C, J, H, M or Z",$G223="B - Married women and widows entitled to reduced NI",$G223="C - Over the State Pension age",$G223="H - Apprentice under 25",$G223="J – Deferment",$G223="M - Under 21",$G223="Z - Deferment (Under 21)",$G223="Please Enter The NI Cont. in ££££")),$G223,SUM(MAX(MIN(AH223-'Input Data'!$BG$3,'Input Data'!$BG$5-'Input Data'!$BG$3),0)*VLOOKUP($G223,'Input Data'!$BI$3:$BL$10,2,FALSE),MAX(MIN(AH223-'Input Data'!$BG$5,IF(OR($G223="M (under 21)",$G223="Z (under 21 - deferment)"),'Input Data'!$BG$6,IF($G223="H (Apprentice under 25)",'Input Data'!$BG$7,'Input Data'!$BG$8))-'Input Data'!$BG$5),0)*VLOOKUP($G223,'Input Data'!$BI$3:$BL$10,3,FALSE),MAX((AH223-IF(OR($G223="M (under 21)",$G223="Z (under 21 - deferment)"),'Input Data'!$BG$6,IF($G223="H (Apprentice under 25)",'Input Data'!$BG$7,'Input Data'!$BG$8))),0)*VLOOKUP($G223,'Input Data'!$BI$3:$BL$10,4,FALSE))))</f>
        <v>0</v>
      </c>
      <c r="AQ223" s="56">
        <f>IF($G223="",0,IF(NOT(OR($G223="A - All employees not in groups B, C, J, H, M or Z",$G223="B - Married women and widows entitled to reduced NI",$G223="C - Over the State Pension age",$G223="H - Apprentice under 25",$G223="J – Deferment",$G223="M - Under 21",$G223="Z - Deferment (Under 21)",$G223="Please Enter The NI Cont. in ££££")),$G223,SUM(MAX(MIN(AI223-'Input Data'!$BG$3,'Input Data'!$BG$5-'Input Data'!$BG$3),0)*VLOOKUP($G223,'Input Data'!$BI$3:$BL$10,2,FALSE),MAX(MIN(AI223-'Input Data'!$BG$5,IF(OR($G223="M (under 21)",$G223="Z (under 21 - deferment)"),'Input Data'!$BG$6,IF($G223="H (Apprentice under 25)",'Input Data'!$BG$7,'Input Data'!$BG$8))-'Input Data'!$BG$5),0)*VLOOKUP($G223,'Input Data'!$BI$3:$BL$10,3,FALSE),MAX((AI223-IF(OR($G223="M (under 21)",$G223="Z (under 21 - deferment)"),'Input Data'!$BG$6,IF($G223="H (Apprentice under 25)",'Input Data'!$BG$7,'Input Data'!$BG$8))),0)*VLOOKUP($G223,'Input Data'!$BI$3:$BL$10,4,FALSE))))</f>
        <v>0</v>
      </c>
      <c r="AR223" s="56">
        <f>IF($G223="",0,IF(NOT(OR($G223="A - All employees not in groups B, C, J, H, M or Z",$G223="B - Married women and widows entitled to reduced NI",$G223="C - Over the State Pension age",$G223="H - Apprentice under 25",$G223="J – Deferment",$G223="M - Under 21",$G223="Z - Deferment (Under 21)",$G223="Please Enter The NI Cont. in ££££")),$G223,SUM(MAX(MIN(AJ223-'Input Data'!$BG$3,'Input Data'!$BG$5-'Input Data'!$BG$3),0)*VLOOKUP($G223,'Input Data'!$BI$3:$BL$10,2,FALSE),MAX(MIN(AJ223-'Input Data'!$BG$5,IF(OR($G223="M (under 21)",$G223="Z (under 21 - deferment)"),'Input Data'!$BG$6,IF($G223="H (Apprentice under 25)",'Input Data'!$BG$7,'Input Data'!$BG$8))-'Input Data'!$BG$5),0)*VLOOKUP($G223,'Input Data'!$BI$3:$BL$10,3,FALSE),MAX((AJ223-IF(OR($G223="M (under 21)",$G223="Z (under 21 - deferment)"),'Input Data'!$BG$6,IF($G223="H (Apprentice under 25)",'Input Data'!$BG$7,'Input Data'!$BG$8))),0)*VLOOKUP($G223,'Input Data'!$BI$3:$BL$10,4,FALSE))))</f>
        <v>0</v>
      </c>
      <c r="AS223" s="56">
        <f>AC223*$F223</f>
        <v>0</v>
      </c>
      <c r="AT223" s="56">
        <f>AD223*$F223</f>
        <v>0</v>
      </c>
      <c r="AU223" s="56">
        <f>AE223*$F223</f>
        <v>0</v>
      </c>
      <c r="AV223" s="56">
        <f>AF223*$F223</f>
        <v>0</v>
      </c>
      <c r="AW223" s="56">
        <f>AG223*$F223</f>
        <v>0</v>
      </c>
      <c r="AX223" s="56">
        <f>AH223*$F223</f>
        <v>0</v>
      </c>
      <c r="AY223" s="56">
        <f>AI223*$F223</f>
        <v>0</v>
      </c>
      <c r="AZ223" s="56">
        <f>AJ223*$F223</f>
        <v>0</v>
      </c>
    </row>
    <row r="224" spans="2:52" ht="25.5">
      <c r="B224" s="60"/>
      <c r="C224" s="57" t="s">
        <v>72</v>
      </c>
      <c r="D224" s="58"/>
      <c r="E224" s="58"/>
      <c r="F224" s="535"/>
      <c r="G224" s="693" t="s">
        <v>1149</v>
      </c>
      <c r="H224" s="65"/>
      <c r="I224" s="65"/>
      <c r="J224" s="65"/>
      <c r="K224" s="65"/>
      <c r="L224" s="65"/>
      <c r="M224" s="65"/>
      <c r="N224" s="65"/>
      <c r="O224" s="65"/>
      <c r="P224" s="29"/>
      <c r="Q224" s="597"/>
      <c r="R224" s="61"/>
      <c r="T224" s="43">
        <f>SUM(AC224,AK224,AS224)</f>
        <v>0</v>
      </c>
      <c r="U224" s="43">
        <f>SUM(AD224,AL224,AT224)</f>
        <v>0</v>
      </c>
      <c r="V224" s="43">
        <f>SUM(AE224,AM224,AU224)</f>
        <v>0</v>
      </c>
      <c r="W224" s="43">
        <f>SUM(AF224,AN224,AV224)</f>
        <v>0</v>
      </c>
      <c r="X224" s="43">
        <f>SUM(AG224,AO224,AW224)</f>
        <v>0</v>
      </c>
      <c r="Y224" s="43">
        <f>SUM(AH224,AP224,AX224)</f>
        <v>0</v>
      </c>
      <c r="Z224" s="43">
        <f>SUM(AI224,AQ224,AY224)</f>
        <v>0</v>
      </c>
      <c r="AA224" s="43">
        <f>SUM(AJ224,AR224,AZ224)</f>
        <v>0</v>
      </c>
      <c r="AC224" s="631">
        <f>SUM($D224:$E224)*H224</f>
        <v>0</v>
      </c>
      <c r="AD224" s="631">
        <f>SUM($D224:$E224)*I224</f>
        <v>0</v>
      </c>
      <c r="AE224" s="631">
        <f>SUM($D224:$E224)*J224</f>
        <v>0</v>
      </c>
      <c r="AF224" s="631">
        <f>SUM($D224:$E224)*K224</f>
        <v>0</v>
      </c>
      <c r="AG224" s="631">
        <f>SUM($D224:$E224)*L224</f>
        <v>0</v>
      </c>
      <c r="AH224" s="631">
        <f>SUM($D224:$E224)*M224</f>
        <v>0</v>
      </c>
      <c r="AI224" s="631">
        <f>SUM($D224:$E224)*N224</f>
        <v>0</v>
      </c>
      <c r="AJ224" s="631">
        <f>SUM($D224:$E224)*O224</f>
        <v>0</v>
      </c>
      <c r="AK224" s="56">
        <f>IF($G224="",0,IF(NOT(OR($G224="A - All employees not in groups B, C, J, H, M or Z",$G224="B - Married women and widows entitled to reduced NI",$G224="C - Over the State Pension age",$G224="H - Apprentice under 25",$G224="J – Deferment",$G224="M - Under 21",$G224="Z - Deferment (Under 21)",$G224="Please Enter The NI Cont. in ££££")),$G224,SUM(MAX(MIN(AC224-'Input Data'!$BG$3,'Input Data'!$BG$5-'Input Data'!$BG$3),0)*VLOOKUP($G224,'Input Data'!$BI$3:$BL$10,2,FALSE),MAX(MIN(AC224-'Input Data'!$BG$5,IF(OR($G224="M (under 21)",$G224="Z (under 21 - deferment)"),'Input Data'!$BG$6,IF($G224="H (Apprentice under 25)",'Input Data'!$BG$7,'Input Data'!$BG$8))-'Input Data'!$BG$5),0)*VLOOKUP($G224,'Input Data'!$BI$3:$BL$10,3,FALSE),MAX((AC224-IF(OR($G224="M (under 21)",$G224="Z (under 21 - deferment)"),'Input Data'!$BG$6,IF($G224="H (Apprentice under 25)",'Input Data'!$BG$7,'Input Data'!$BG$8))),0)*VLOOKUP($G224,'Input Data'!$BI$3:$BL$10,4,FALSE))))</f>
        <v>0</v>
      </c>
      <c r="AL224" s="56">
        <f>IF($G224="",0,IF(NOT(OR($G224="A - All employees not in groups B, C, J, H, M or Z",$G224="B - Married women and widows entitled to reduced NI",$G224="C - Over the State Pension age",$G224="H - Apprentice under 25",$G224="J – Deferment",$G224="M - Under 21",$G224="Z - Deferment (Under 21)",$G224="Please Enter The NI Cont. in ££££")),$G224,SUM(MAX(MIN(AD224-'Input Data'!$BG$3,'Input Data'!$BG$5-'Input Data'!$BG$3),0)*VLOOKUP($G224,'Input Data'!$BI$3:$BL$10,2,FALSE),MAX(MIN(AD224-'Input Data'!$BG$5,IF(OR($G224="M (under 21)",$G224="Z (under 21 - deferment)"),'Input Data'!$BG$6,IF($G224="H (Apprentice under 25)",'Input Data'!$BG$7,'Input Data'!$BG$8))-'Input Data'!$BG$5),0)*VLOOKUP($G224,'Input Data'!$BI$3:$BL$10,3,FALSE),MAX((AD224-IF(OR($G224="M (under 21)",$G224="Z (under 21 - deferment)"),'Input Data'!$BG$6,IF($G224="H (Apprentice under 25)",'Input Data'!$BG$7,'Input Data'!$BG$8))),0)*VLOOKUP($G224,'Input Data'!$BI$3:$BL$10,4,FALSE))))</f>
        <v>0</v>
      </c>
      <c r="AM224" s="56">
        <f>IF($G224="",0,IF(NOT(OR($G224="A - All employees not in groups B, C, J, H, M or Z",$G224="B - Married women and widows entitled to reduced NI",$G224="C - Over the State Pension age",$G224="H - Apprentice under 25",$G224="J – Deferment",$G224="M - Under 21",$G224="Z - Deferment (Under 21)",$G224="Please Enter The NI Cont. in ££££")),$G224,SUM(MAX(MIN(AE224-'Input Data'!$BG$3,'Input Data'!$BG$5-'Input Data'!$BG$3),0)*VLOOKUP($G224,'Input Data'!$BI$3:$BL$10,2,FALSE),MAX(MIN(AE224-'Input Data'!$BG$5,IF(OR($G224="M (under 21)",$G224="Z (under 21 - deferment)"),'Input Data'!$BG$6,IF($G224="H (Apprentice under 25)",'Input Data'!$BG$7,'Input Data'!$BG$8))-'Input Data'!$BG$5),0)*VLOOKUP($G224,'Input Data'!$BI$3:$BL$10,3,FALSE),MAX((AE224-IF(OR($G224="M (under 21)",$G224="Z (under 21 - deferment)"),'Input Data'!$BG$6,IF($G224="H (Apprentice under 25)",'Input Data'!$BG$7,'Input Data'!$BG$8))),0)*VLOOKUP($G224,'Input Data'!$BI$3:$BL$10,4,FALSE))))</f>
        <v>0</v>
      </c>
      <c r="AN224" s="56">
        <f>IF($G224="",0,IF(NOT(OR($G224="A - All employees not in groups B, C, J, H, M or Z",$G224="B - Married women and widows entitled to reduced NI",$G224="C - Over the State Pension age",$G224="H - Apprentice under 25",$G224="J – Deferment",$G224="M - Under 21",$G224="Z - Deferment (Under 21)",$G224="Please Enter The NI Cont. in ££££")),$G224,SUM(MAX(MIN(AF224-'Input Data'!$BG$3,'Input Data'!$BG$5-'Input Data'!$BG$3),0)*VLOOKUP($G224,'Input Data'!$BI$3:$BL$10,2,FALSE),MAX(MIN(AF224-'Input Data'!$BG$5,IF(OR($G224="M (under 21)",$G224="Z (under 21 - deferment)"),'Input Data'!$BG$6,IF($G224="H (Apprentice under 25)",'Input Data'!$BG$7,'Input Data'!$BG$8))-'Input Data'!$BG$5),0)*VLOOKUP($G224,'Input Data'!$BI$3:$BL$10,3,FALSE),MAX((AF224-IF(OR($G224="M (under 21)",$G224="Z (under 21 - deferment)"),'Input Data'!$BG$6,IF($G224="H (Apprentice under 25)",'Input Data'!$BG$7,'Input Data'!$BG$8))),0)*VLOOKUP($G224,'Input Data'!$BI$3:$BL$10,4,FALSE))))</f>
        <v>0</v>
      </c>
      <c r="AO224" s="56">
        <f>IF($G224="",0,IF(NOT(OR($G224="A - All employees not in groups B, C, J, H, M or Z",$G224="B - Married women and widows entitled to reduced NI",$G224="C - Over the State Pension age",$G224="H - Apprentice under 25",$G224="J – Deferment",$G224="M - Under 21",$G224="Z - Deferment (Under 21)",$G224="Please Enter The NI Cont. in ££££")),$G224,SUM(MAX(MIN(AG224-'Input Data'!$BG$3,'Input Data'!$BG$5-'Input Data'!$BG$3),0)*VLOOKUP($G224,'Input Data'!$BI$3:$BL$10,2,FALSE),MAX(MIN(AG224-'Input Data'!$BG$5,IF(OR($G224="M (under 21)",$G224="Z (under 21 - deferment)"),'Input Data'!$BG$6,IF($G224="H (Apprentice under 25)",'Input Data'!$BG$7,'Input Data'!$BG$8))-'Input Data'!$BG$5),0)*VLOOKUP($G224,'Input Data'!$BI$3:$BL$10,3,FALSE),MAX((AG224-IF(OR($G224="M (under 21)",$G224="Z (under 21 - deferment)"),'Input Data'!$BG$6,IF($G224="H (Apprentice under 25)",'Input Data'!$BG$7,'Input Data'!$BG$8))),0)*VLOOKUP($G224,'Input Data'!$BI$3:$BL$10,4,FALSE))))</f>
        <v>0</v>
      </c>
      <c r="AP224" s="56">
        <f>IF($G224="",0,IF(NOT(OR($G224="A - All employees not in groups B, C, J, H, M or Z",$G224="B - Married women and widows entitled to reduced NI",$G224="C - Over the State Pension age",$G224="H - Apprentice under 25",$G224="J – Deferment",$G224="M - Under 21",$G224="Z - Deferment (Under 21)",$G224="Please Enter The NI Cont. in ££££")),$G224,SUM(MAX(MIN(AH224-'Input Data'!$BG$3,'Input Data'!$BG$5-'Input Data'!$BG$3),0)*VLOOKUP($G224,'Input Data'!$BI$3:$BL$10,2,FALSE),MAX(MIN(AH224-'Input Data'!$BG$5,IF(OR($G224="M (under 21)",$G224="Z (under 21 - deferment)"),'Input Data'!$BG$6,IF($G224="H (Apprentice under 25)",'Input Data'!$BG$7,'Input Data'!$BG$8))-'Input Data'!$BG$5),0)*VLOOKUP($G224,'Input Data'!$BI$3:$BL$10,3,FALSE),MAX((AH224-IF(OR($G224="M (under 21)",$G224="Z (under 21 - deferment)"),'Input Data'!$BG$6,IF($G224="H (Apprentice under 25)",'Input Data'!$BG$7,'Input Data'!$BG$8))),0)*VLOOKUP($G224,'Input Data'!$BI$3:$BL$10,4,FALSE))))</f>
        <v>0</v>
      </c>
      <c r="AQ224" s="56">
        <f>IF($G224="",0,IF(NOT(OR($G224="A - All employees not in groups B, C, J, H, M or Z",$G224="B - Married women and widows entitled to reduced NI",$G224="C - Over the State Pension age",$G224="H - Apprentice under 25",$G224="J – Deferment",$G224="M - Under 21",$G224="Z - Deferment (Under 21)",$G224="Please Enter The NI Cont. in ££££")),$G224,SUM(MAX(MIN(AI224-'Input Data'!$BG$3,'Input Data'!$BG$5-'Input Data'!$BG$3),0)*VLOOKUP($G224,'Input Data'!$BI$3:$BL$10,2,FALSE),MAX(MIN(AI224-'Input Data'!$BG$5,IF(OR($G224="M (under 21)",$G224="Z (under 21 - deferment)"),'Input Data'!$BG$6,IF($G224="H (Apprentice under 25)",'Input Data'!$BG$7,'Input Data'!$BG$8))-'Input Data'!$BG$5),0)*VLOOKUP($G224,'Input Data'!$BI$3:$BL$10,3,FALSE),MAX((AI224-IF(OR($G224="M (under 21)",$G224="Z (under 21 - deferment)"),'Input Data'!$BG$6,IF($G224="H (Apprentice under 25)",'Input Data'!$BG$7,'Input Data'!$BG$8))),0)*VLOOKUP($G224,'Input Data'!$BI$3:$BL$10,4,FALSE))))</f>
        <v>0</v>
      </c>
      <c r="AR224" s="56">
        <f>IF($G224="",0,IF(NOT(OR($G224="A - All employees not in groups B, C, J, H, M or Z",$G224="B - Married women and widows entitled to reduced NI",$G224="C - Over the State Pension age",$G224="H - Apprentice under 25",$G224="J – Deferment",$G224="M - Under 21",$G224="Z - Deferment (Under 21)",$G224="Please Enter The NI Cont. in ££££")),$G224,SUM(MAX(MIN(AJ224-'Input Data'!$BG$3,'Input Data'!$BG$5-'Input Data'!$BG$3),0)*VLOOKUP($G224,'Input Data'!$BI$3:$BL$10,2,FALSE),MAX(MIN(AJ224-'Input Data'!$BG$5,IF(OR($G224="M (under 21)",$G224="Z (under 21 - deferment)"),'Input Data'!$BG$6,IF($G224="H (Apprentice under 25)",'Input Data'!$BG$7,'Input Data'!$BG$8))-'Input Data'!$BG$5),0)*VLOOKUP($G224,'Input Data'!$BI$3:$BL$10,3,FALSE),MAX((AJ224-IF(OR($G224="M (under 21)",$G224="Z (under 21 - deferment)"),'Input Data'!$BG$6,IF($G224="H (Apprentice under 25)",'Input Data'!$BG$7,'Input Data'!$BG$8))),0)*VLOOKUP($G224,'Input Data'!$BI$3:$BL$10,4,FALSE))))</f>
        <v>0</v>
      </c>
      <c r="AS224" s="56">
        <f>AC224*$F224</f>
        <v>0</v>
      </c>
      <c r="AT224" s="56">
        <f>AD224*$F224</f>
        <v>0</v>
      </c>
      <c r="AU224" s="56">
        <f>AE224*$F224</f>
        <v>0</v>
      </c>
      <c r="AV224" s="56">
        <f>AF224*$F224</f>
        <v>0</v>
      </c>
      <c r="AW224" s="56">
        <f>AG224*$F224</f>
        <v>0</v>
      </c>
      <c r="AX224" s="56">
        <f>AH224*$F224</f>
        <v>0</v>
      </c>
      <c r="AY224" s="56">
        <f>AI224*$F224</f>
        <v>0</v>
      </c>
      <c r="AZ224" s="56">
        <f>AJ224*$F224</f>
        <v>0</v>
      </c>
    </row>
    <row r="225" spans="2:52" ht="25.5">
      <c r="B225" s="60"/>
      <c r="C225" s="57" t="s">
        <v>73</v>
      </c>
      <c r="D225" s="58"/>
      <c r="E225" s="58"/>
      <c r="F225" s="535"/>
      <c r="G225" s="693" t="s">
        <v>1149</v>
      </c>
      <c r="H225" s="65"/>
      <c r="I225" s="65"/>
      <c r="J225" s="65"/>
      <c r="K225" s="65"/>
      <c r="L225" s="65"/>
      <c r="M225" s="65"/>
      <c r="N225" s="65"/>
      <c r="O225" s="65"/>
      <c r="P225" s="29"/>
      <c r="Q225" s="597"/>
      <c r="R225" s="61"/>
      <c r="T225" s="43">
        <f>SUM(AC225,AK225,AS225)</f>
        <v>0</v>
      </c>
      <c r="U225" s="43">
        <f>SUM(AD225,AL225,AT225)</f>
        <v>0</v>
      </c>
      <c r="V225" s="43">
        <f>SUM(AE225,AM225,AU225)</f>
        <v>0</v>
      </c>
      <c r="W225" s="43">
        <f>SUM(AF225,AN225,AV225)</f>
        <v>0</v>
      </c>
      <c r="X225" s="43">
        <f>SUM(AG225,AO225,AW225)</f>
        <v>0</v>
      </c>
      <c r="Y225" s="43">
        <f>SUM(AH225,AP225,AX225)</f>
        <v>0</v>
      </c>
      <c r="Z225" s="43">
        <f>SUM(AI225,AQ225,AY225)</f>
        <v>0</v>
      </c>
      <c r="AA225" s="43">
        <f>SUM(AJ225,AR225,AZ225)</f>
        <v>0</v>
      </c>
      <c r="AC225" s="631">
        <f>SUM($D225:$E225)*H225</f>
        <v>0</v>
      </c>
      <c r="AD225" s="631">
        <f>SUM($D225:$E225)*I225</f>
        <v>0</v>
      </c>
      <c r="AE225" s="631">
        <f>SUM($D225:$E225)*J225</f>
        <v>0</v>
      </c>
      <c r="AF225" s="631">
        <f>SUM($D225:$E225)*K225</f>
        <v>0</v>
      </c>
      <c r="AG225" s="631">
        <f>SUM($D225:$E225)*L225</f>
        <v>0</v>
      </c>
      <c r="AH225" s="631">
        <f>SUM($D225:$E225)*M225</f>
        <v>0</v>
      </c>
      <c r="AI225" s="631">
        <f>SUM($D225:$E225)*N225</f>
        <v>0</v>
      </c>
      <c r="AJ225" s="631">
        <f>SUM($D225:$E225)*O225</f>
        <v>0</v>
      </c>
      <c r="AK225" s="56">
        <f>IF($G225="",0,IF(NOT(OR($G225="A - All employees not in groups B, C, J, H, M or Z",$G225="B - Married women and widows entitled to reduced NI",$G225="C - Over the State Pension age",$G225="H - Apprentice under 25",$G225="J – Deferment",$G225="M - Under 21",$G225="Z - Deferment (Under 21)",$G225="Please Enter The NI Cont. in ££££")),$G225,SUM(MAX(MIN(AC225-'Input Data'!$BG$3,'Input Data'!$BG$5-'Input Data'!$BG$3),0)*VLOOKUP($G225,'Input Data'!$BI$3:$BL$10,2,FALSE),MAX(MIN(AC225-'Input Data'!$BG$5,IF(OR($G225="M (under 21)",$G225="Z (under 21 - deferment)"),'Input Data'!$BG$6,IF($G225="H (Apprentice under 25)",'Input Data'!$BG$7,'Input Data'!$BG$8))-'Input Data'!$BG$5),0)*VLOOKUP($G225,'Input Data'!$BI$3:$BL$10,3,FALSE),MAX((AC225-IF(OR($G225="M (under 21)",$G225="Z (under 21 - deferment)"),'Input Data'!$BG$6,IF($G225="H (Apprentice under 25)",'Input Data'!$BG$7,'Input Data'!$BG$8))),0)*VLOOKUP($G225,'Input Data'!$BI$3:$BL$10,4,FALSE))))</f>
        <v>0</v>
      </c>
      <c r="AL225" s="56">
        <f>IF($G225="",0,IF(NOT(OR($G225="A - All employees not in groups B, C, J, H, M or Z",$G225="B - Married women and widows entitled to reduced NI",$G225="C - Over the State Pension age",$G225="H - Apprentice under 25",$G225="J – Deferment",$G225="M - Under 21",$G225="Z - Deferment (Under 21)",$G225="Please Enter The NI Cont. in ££££")),$G225,SUM(MAX(MIN(AD225-'Input Data'!$BG$3,'Input Data'!$BG$5-'Input Data'!$BG$3),0)*VLOOKUP($G225,'Input Data'!$BI$3:$BL$10,2,FALSE),MAX(MIN(AD225-'Input Data'!$BG$5,IF(OR($G225="M (under 21)",$G225="Z (under 21 - deferment)"),'Input Data'!$BG$6,IF($G225="H (Apprentice under 25)",'Input Data'!$BG$7,'Input Data'!$BG$8))-'Input Data'!$BG$5),0)*VLOOKUP($G225,'Input Data'!$BI$3:$BL$10,3,FALSE),MAX((AD225-IF(OR($G225="M (under 21)",$G225="Z (under 21 - deferment)"),'Input Data'!$BG$6,IF($G225="H (Apprentice under 25)",'Input Data'!$BG$7,'Input Data'!$BG$8))),0)*VLOOKUP($G225,'Input Data'!$BI$3:$BL$10,4,FALSE))))</f>
        <v>0</v>
      </c>
      <c r="AM225" s="56">
        <f>IF($G225="",0,IF(NOT(OR($G225="A - All employees not in groups B, C, J, H, M or Z",$G225="B - Married women and widows entitled to reduced NI",$G225="C - Over the State Pension age",$G225="H - Apprentice under 25",$G225="J – Deferment",$G225="M - Under 21",$G225="Z - Deferment (Under 21)",$G225="Please Enter The NI Cont. in ££££")),$G225,SUM(MAX(MIN(AE225-'Input Data'!$BG$3,'Input Data'!$BG$5-'Input Data'!$BG$3),0)*VLOOKUP($G225,'Input Data'!$BI$3:$BL$10,2,FALSE),MAX(MIN(AE225-'Input Data'!$BG$5,IF(OR($G225="M (under 21)",$G225="Z (under 21 - deferment)"),'Input Data'!$BG$6,IF($G225="H (Apprentice under 25)",'Input Data'!$BG$7,'Input Data'!$BG$8))-'Input Data'!$BG$5),0)*VLOOKUP($G225,'Input Data'!$BI$3:$BL$10,3,FALSE),MAX((AE225-IF(OR($G225="M (under 21)",$G225="Z (under 21 - deferment)"),'Input Data'!$BG$6,IF($G225="H (Apprentice under 25)",'Input Data'!$BG$7,'Input Data'!$BG$8))),0)*VLOOKUP($G225,'Input Data'!$BI$3:$BL$10,4,FALSE))))</f>
        <v>0</v>
      </c>
      <c r="AN225" s="56">
        <f>IF($G225="",0,IF(NOT(OR($G225="A - All employees not in groups B, C, J, H, M or Z",$G225="B - Married women and widows entitled to reduced NI",$G225="C - Over the State Pension age",$G225="H - Apprentice under 25",$G225="J – Deferment",$G225="M - Under 21",$G225="Z - Deferment (Under 21)",$G225="Please Enter The NI Cont. in ££££")),$G225,SUM(MAX(MIN(AF225-'Input Data'!$BG$3,'Input Data'!$BG$5-'Input Data'!$BG$3),0)*VLOOKUP($G225,'Input Data'!$BI$3:$BL$10,2,FALSE),MAX(MIN(AF225-'Input Data'!$BG$5,IF(OR($G225="M (under 21)",$G225="Z (under 21 - deferment)"),'Input Data'!$BG$6,IF($G225="H (Apprentice under 25)",'Input Data'!$BG$7,'Input Data'!$BG$8))-'Input Data'!$BG$5),0)*VLOOKUP($G225,'Input Data'!$BI$3:$BL$10,3,FALSE),MAX((AF225-IF(OR($G225="M (under 21)",$G225="Z (under 21 - deferment)"),'Input Data'!$BG$6,IF($G225="H (Apprentice under 25)",'Input Data'!$BG$7,'Input Data'!$BG$8))),0)*VLOOKUP($G225,'Input Data'!$BI$3:$BL$10,4,FALSE))))</f>
        <v>0</v>
      </c>
      <c r="AO225" s="56">
        <f>IF($G225="",0,IF(NOT(OR($G225="A - All employees not in groups B, C, J, H, M or Z",$G225="B - Married women and widows entitled to reduced NI",$G225="C - Over the State Pension age",$G225="H - Apprentice under 25",$G225="J – Deferment",$G225="M - Under 21",$G225="Z - Deferment (Under 21)",$G225="Please Enter The NI Cont. in ££££")),$G225,SUM(MAX(MIN(AG225-'Input Data'!$BG$3,'Input Data'!$BG$5-'Input Data'!$BG$3),0)*VLOOKUP($G225,'Input Data'!$BI$3:$BL$10,2,FALSE),MAX(MIN(AG225-'Input Data'!$BG$5,IF(OR($G225="M (under 21)",$G225="Z (under 21 - deferment)"),'Input Data'!$BG$6,IF($G225="H (Apprentice under 25)",'Input Data'!$BG$7,'Input Data'!$BG$8))-'Input Data'!$BG$5),0)*VLOOKUP($G225,'Input Data'!$BI$3:$BL$10,3,FALSE),MAX((AG225-IF(OR($G225="M (under 21)",$G225="Z (under 21 - deferment)"),'Input Data'!$BG$6,IF($G225="H (Apprentice under 25)",'Input Data'!$BG$7,'Input Data'!$BG$8))),0)*VLOOKUP($G225,'Input Data'!$BI$3:$BL$10,4,FALSE))))</f>
        <v>0</v>
      </c>
      <c r="AP225" s="56">
        <f>IF($G225="",0,IF(NOT(OR($G225="A - All employees not in groups B, C, J, H, M or Z",$G225="B - Married women and widows entitled to reduced NI",$G225="C - Over the State Pension age",$G225="H - Apprentice under 25",$G225="J – Deferment",$G225="M - Under 21",$G225="Z - Deferment (Under 21)",$G225="Please Enter The NI Cont. in ££££")),$G225,SUM(MAX(MIN(AH225-'Input Data'!$BG$3,'Input Data'!$BG$5-'Input Data'!$BG$3),0)*VLOOKUP($G225,'Input Data'!$BI$3:$BL$10,2,FALSE),MAX(MIN(AH225-'Input Data'!$BG$5,IF(OR($G225="M (under 21)",$G225="Z (under 21 - deferment)"),'Input Data'!$BG$6,IF($G225="H (Apprentice under 25)",'Input Data'!$BG$7,'Input Data'!$BG$8))-'Input Data'!$BG$5),0)*VLOOKUP($G225,'Input Data'!$BI$3:$BL$10,3,FALSE),MAX((AH225-IF(OR($G225="M (under 21)",$G225="Z (under 21 - deferment)"),'Input Data'!$BG$6,IF($G225="H (Apprentice under 25)",'Input Data'!$BG$7,'Input Data'!$BG$8))),0)*VLOOKUP($G225,'Input Data'!$BI$3:$BL$10,4,FALSE))))</f>
        <v>0</v>
      </c>
      <c r="AQ225" s="56">
        <f>IF($G225="",0,IF(NOT(OR($G225="A - All employees not in groups B, C, J, H, M or Z",$G225="B - Married women and widows entitled to reduced NI",$G225="C - Over the State Pension age",$G225="H - Apprentice under 25",$G225="J – Deferment",$G225="M - Under 21",$G225="Z - Deferment (Under 21)",$G225="Please Enter The NI Cont. in ££££")),$G225,SUM(MAX(MIN(AI225-'Input Data'!$BG$3,'Input Data'!$BG$5-'Input Data'!$BG$3),0)*VLOOKUP($G225,'Input Data'!$BI$3:$BL$10,2,FALSE),MAX(MIN(AI225-'Input Data'!$BG$5,IF(OR($G225="M (under 21)",$G225="Z (under 21 - deferment)"),'Input Data'!$BG$6,IF($G225="H (Apprentice under 25)",'Input Data'!$BG$7,'Input Data'!$BG$8))-'Input Data'!$BG$5),0)*VLOOKUP($G225,'Input Data'!$BI$3:$BL$10,3,FALSE),MAX((AI225-IF(OR($G225="M (under 21)",$G225="Z (under 21 - deferment)"),'Input Data'!$BG$6,IF($G225="H (Apprentice under 25)",'Input Data'!$BG$7,'Input Data'!$BG$8))),0)*VLOOKUP($G225,'Input Data'!$BI$3:$BL$10,4,FALSE))))</f>
        <v>0</v>
      </c>
      <c r="AR225" s="56">
        <f>IF($G225="",0,IF(NOT(OR($G225="A - All employees not in groups B, C, J, H, M or Z",$G225="B - Married women and widows entitled to reduced NI",$G225="C - Over the State Pension age",$G225="H - Apprentice under 25",$G225="J – Deferment",$G225="M - Under 21",$G225="Z - Deferment (Under 21)",$G225="Please Enter The NI Cont. in ££££")),$G225,SUM(MAX(MIN(AJ225-'Input Data'!$BG$3,'Input Data'!$BG$5-'Input Data'!$BG$3),0)*VLOOKUP($G225,'Input Data'!$BI$3:$BL$10,2,FALSE),MAX(MIN(AJ225-'Input Data'!$BG$5,IF(OR($G225="M (under 21)",$G225="Z (under 21 - deferment)"),'Input Data'!$BG$6,IF($G225="H (Apprentice under 25)",'Input Data'!$BG$7,'Input Data'!$BG$8))-'Input Data'!$BG$5),0)*VLOOKUP($G225,'Input Data'!$BI$3:$BL$10,3,FALSE),MAX((AJ225-IF(OR($G225="M (under 21)",$G225="Z (under 21 - deferment)"),'Input Data'!$BG$6,IF($G225="H (Apprentice under 25)",'Input Data'!$BG$7,'Input Data'!$BG$8))),0)*VLOOKUP($G225,'Input Data'!$BI$3:$BL$10,4,FALSE))))</f>
        <v>0</v>
      </c>
      <c r="AS225" s="56">
        <f>AC225*$F225</f>
        <v>0</v>
      </c>
      <c r="AT225" s="56">
        <f>AD225*$F225</f>
        <v>0</v>
      </c>
      <c r="AU225" s="56">
        <f>AE225*$F225</f>
        <v>0</v>
      </c>
      <c r="AV225" s="56">
        <f>AF225*$F225</f>
        <v>0</v>
      </c>
      <c r="AW225" s="56">
        <f>AG225*$F225</f>
        <v>0</v>
      </c>
      <c r="AX225" s="56">
        <f>AH225*$F225</f>
        <v>0</v>
      </c>
      <c r="AY225" s="56">
        <f>AI225*$F225</f>
        <v>0</v>
      </c>
      <c r="AZ225" s="56">
        <f>AJ225*$F225</f>
        <v>0</v>
      </c>
    </row>
    <row r="226" spans="2:52" ht="25.5">
      <c r="B226" s="60"/>
      <c r="C226" s="57" t="s">
        <v>74</v>
      </c>
      <c r="D226" s="58"/>
      <c r="E226" s="58"/>
      <c r="F226" s="535"/>
      <c r="G226" s="693" t="s">
        <v>1149</v>
      </c>
      <c r="H226" s="65"/>
      <c r="I226" s="65"/>
      <c r="J226" s="65"/>
      <c r="K226" s="65"/>
      <c r="L226" s="65"/>
      <c r="M226" s="65"/>
      <c r="N226" s="65"/>
      <c r="O226" s="65"/>
      <c r="P226" s="29"/>
      <c r="Q226" s="597"/>
      <c r="R226" s="61"/>
      <c r="T226" s="43">
        <f>SUM(AC226,AK226,AS226)</f>
        <v>0</v>
      </c>
      <c r="U226" s="43">
        <f>SUM(AD226,AL226,AT226)</f>
        <v>0</v>
      </c>
      <c r="V226" s="43">
        <f>SUM(AE226,AM226,AU226)</f>
        <v>0</v>
      </c>
      <c r="W226" s="43">
        <f>SUM(AF226,AN226,AV226)</f>
        <v>0</v>
      </c>
      <c r="X226" s="43">
        <f>SUM(AG226,AO226,AW226)</f>
        <v>0</v>
      </c>
      <c r="Y226" s="43">
        <f>SUM(AH226,AP226,AX226)</f>
        <v>0</v>
      </c>
      <c r="Z226" s="43">
        <f>SUM(AI226,AQ226,AY226)</f>
        <v>0</v>
      </c>
      <c r="AA226" s="43">
        <f>SUM(AJ226,AR226,AZ226)</f>
        <v>0</v>
      </c>
      <c r="AC226" s="631">
        <f>SUM($D226:$E226)*H226</f>
        <v>0</v>
      </c>
      <c r="AD226" s="631">
        <f>SUM($D226:$E226)*I226</f>
        <v>0</v>
      </c>
      <c r="AE226" s="631">
        <f>SUM($D226:$E226)*J226</f>
        <v>0</v>
      </c>
      <c r="AF226" s="631">
        <f>SUM($D226:$E226)*K226</f>
        <v>0</v>
      </c>
      <c r="AG226" s="631">
        <f>SUM($D226:$E226)*L226</f>
        <v>0</v>
      </c>
      <c r="AH226" s="631">
        <f>SUM($D226:$E226)*M226</f>
        <v>0</v>
      </c>
      <c r="AI226" s="631">
        <f>SUM($D226:$E226)*N226</f>
        <v>0</v>
      </c>
      <c r="AJ226" s="631">
        <f>SUM($D226:$E226)*O226</f>
        <v>0</v>
      </c>
      <c r="AK226" s="56">
        <f>IF($G226="",0,IF(NOT(OR($G226="A - All employees not in groups B, C, J, H, M or Z",$G226="B - Married women and widows entitled to reduced NI",$G226="C - Over the State Pension age",$G226="H - Apprentice under 25",$G226="J – Deferment",$G226="M - Under 21",$G226="Z - Deferment (Under 21)",$G226="Please Enter The NI Cont. in ££££")),$G226,SUM(MAX(MIN(AC226-'Input Data'!$BG$3,'Input Data'!$BG$5-'Input Data'!$BG$3),0)*VLOOKUP($G226,'Input Data'!$BI$3:$BL$10,2,FALSE),MAX(MIN(AC226-'Input Data'!$BG$5,IF(OR($G226="M (under 21)",$G226="Z (under 21 - deferment)"),'Input Data'!$BG$6,IF($G226="H (Apprentice under 25)",'Input Data'!$BG$7,'Input Data'!$BG$8))-'Input Data'!$BG$5),0)*VLOOKUP($G226,'Input Data'!$BI$3:$BL$10,3,FALSE),MAX((AC226-IF(OR($G226="M (under 21)",$G226="Z (under 21 - deferment)"),'Input Data'!$BG$6,IF($G226="H (Apprentice under 25)",'Input Data'!$BG$7,'Input Data'!$BG$8))),0)*VLOOKUP($G226,'Input Data'!$BI$3:$BL$10,4,FALSE))))</f>
        <v>0</v>
      </c>
      <c r="AL226" s="56">
        <f>IF($G226="",0,IF(NOT(OR($G226="A - All employees not in groups B, C, J, H, M or Z",$G226="B - Married women and widows entitled to reduced NI",$G226="C - Over the State Pension age",$G226="H - Apprentice under 25",$G226="J – Deferment",$G226="M - Under 21",$G226="Z - Deferment (Under 21)",$G226="Please Enter The NI Cont. in ££££")),$G226,SUM(MAX(MIN(AD226-'Input Data'!$BG$3,'Input Data'!$BG$5-'Input Data'!$BG$3),0)*VLOOKUP($G226,'Input Data'!$BI$3:$BL$10,2,FALSE),MAX(MIN(AD226-'Input Data'!$BG$5,IF(OR($G226="M (under 21)",$G226="Z (under 21 - deferment)"),'Input Data'!$BG$6,IF($G226="H (Apprentice under 25)",'Input Data'!$BG$7,'Input Data'!$BG$8))-'Input Data'!$BG$5),0)*VLOOKUP($G226,'Input Data'!$BI$3:$BL$10,3,FALSE),MAX((AD226-IF(OR($G226="M (under 21)",$G226="Z (under 21 - deferment)"),'Input Data'!$BG$6,IF($G226="H (Apprentice under 25)",'Input Data'!$BG$7,'Input Data'!$BG$8))),0)*VLOOKUP($G226,'Input Data'!$BI$3:$BL$10,4,FALSE))))</f>
        <v>0</v>
      </c>
      <c r="AM226" s="56">
        <f>IF($G226="",0,IF(NOT(OR($G226="A - All employees not in groups B, C, J, H, M or Z",$G226="B - Married women and widows entitled to reduced NI",$G226="C - Over the State Pension age",$G226="H - Apprentice under 25",$G226="J – Deferment",$G226="M - Under 21",$G226="Z - Deferment (Under 21)",$G226="Please Enter The NI Cont. in ££££")),$G226,SUM(MAX(MIN(AE226-'Input Data'!$BG$3,'Input Data'!$BG$5-'Input Data'!$BG$3),0)*VLOOKUP($G226,'Input Data'!$BI$3:$BL$10,2,FALSE),MAX(MIN(AE226-'Input Data'!$BG$5,IF(OR($G226="M (under 21)",$G226="Z (under 21 - deferment)"),'Input Data'!$BG$6,IF($G226="H (Apprentice under 25)",'Input Data'!$BG$7,'Input Data'!$BG$8))-'Input Data'!$BG$5),0)*VLOOKUP($G226,'Input Data'!$BI$3:$BL$10,3,FALSE),MAX((AE226-IF(OR($G226="M (under 21)",$G226="Z (under 21 - deferment)"),'Input Data'!$BG$6,IF($G226="H (Apprentice under 25)",'Input Data'!$BG$7,'Input Data'!$BG$8))),0)*VLOOKUP($G226,'Input Data'!$BI$3:$BL$10,4,FALSE))))</f>
        <v>0</v>
      </c>
      <c r="AN226" s="56">
        <f>IF($G226="",0,IF(NOT(OR($G226="A - All employees not in groups B, C, J, H, M or Z",$G226="B - Married women and widows entitled to reduced NI",$G226="C - Over the State Pension age",$G226="H - Apprentice under 25",$G226="J – Deferment",$G226="M - Under 21",$G226="Z - Deferment (Under 21)",$G226="Please Enter The NI Cont. in ££££")),$G226,SUM(MAX(MIN(AF226-'Input Data'!$BG$3,'Input Data'!$BG$5-'Input Data'!$BG$3),0)*VLOOKUP($G226,'Input Data'!$BI$3:$BL$10,2,FALSE),MAX(MIN(AF226-'Input Data'!$BG$5,IF(OR($G226="M (under 21)",$G226="Z (under 21 - deferment)"),'Input Data'!$BG$6,IF($G226="H (Apprentice under 25)",'Input Data'!$BG$7,'Input Data'!$BG$8))-'Input Data'!$BG$5),0)*VLOOKUP($G226,'Input Data'!$BI$3:$BL$10,3,FALSE),MAX((AF226-IF(OR($G226="M (under 21)",$G226="Z (under 21 - deferment)"),'Input Data'!$BG$6,IF($G226="H (Apprentice under 25)",'Input Data'!$BG$7,'Input Data'!$BG$8))),0)*VLOOKUP($G226,'Input Data'!$BI$3:$BL$10,4,FALSE))))</f>
        <v>0</v>
      </c>
      <c r="AO226" s="56">
        <f>IF($G226="",0,IF(NOT(OR($G226="A - All employees not in groups B, C, J, H, M or Z",$G226="B - Married women and widows entitled to reduced NI",$G226="C - Over the State Pension age",$G226="H - Apprentice under 25",$G226="J – Deferment",$G226="M - Under 21",$G226="Z - Deferment (Under 21)",$G226="Please Enter The NI Cont. in ££££")),$G226,SUM(MAX(MIN(AG226-'Input Data'!$BG$3,'Input Data'!$BG$5-'Input Data'!$BG$3),0)*VLOOKUP($G226,'Input Data'!$BI$3:$BL$10,2,FALSE),MAX(MIN(AG226-'Input Data'!$BG$5,IF(OR($G226="M (under 21)",$G226="Z (under 21 - deferment)"),'Input Data'!$BG$6,IF($G226="H (Apprentice under 25)",'Input Data'!$BG$7,'Input Data'!$BG$8))-'Input Data'!$BG$5),0)*VLOOKUP($G226,'Input Data'!$BI$3:$BL$10,3,FALSE),MAX((AG226-IF(OR($G226="M (under 21)",$G226="Z (under 21 - deferment)"),'Input Data'!$BG$6,IF($G226="H (Apprentice under 25)",'Input Data'!$BG$7,'Input Data'!$BG$8))),0)*VLOOKUP($G226,'Input Data'!$BI$3:$BL$10,4,FALSE))))</f>
        <v>0</v>
      </c>
      <c r="AP226" s="56">
        <f>IF($G226="",0,IF(NOT(OR($G226="A - All employees not in groups B, C, J, H, M or Z",$G226="B - Married women and widows entitled to reduced NI",$G226="C - Over the State Pension age",$G226="H - Apprentice under 25",$G226="J – Deferment",$G226="M - Under 21",$G226="Z - Deferment (Under 21)",$G226="Please Enter The NI Cont. in ££££")),$G226,SUM(MAX(MIN(AH226-'Input Data'!$BG$3,'Input Data'!$BG$5-'Input Data'!$BG$3),0)*VLOOKUP($G226,'Input Data'!$BI$3:$BL$10,2,FALSE),MAX(MIN(AH226-'Input Data'!$BG$5,IF(OR($G226="M (under 21)",$G226="Z (under 21 - deferment)"),'Input Data'!$BG$6,IF($G226="H (Apprentice under 25)",'Input Data'!$BG$7,'Input Data'!$BG$8))-'Input Data'!$BG$5),0)*VLOOKUP($G226,'Input Data'!$BI$3:$BL$10,3,FALSE),MAX((AH226-IF(OR($G226="M (under 21)",$G226="Z (under 21 - deferment)"),'Input Data'!$BG$6,IF($G226="H (Apprentice under 25)",'Input Data'!$BG$7,'Input Data'!$BG$8))),0)*VLOOKUP($G226,'Input Data'!$BI$3:$BL$10,4,FALSE))))</f>
        <v>0</v>
      </c>
      <c r="AQ226" s="56">
        <f>IF($G226="",0,IF(NOT(OR($G226="A - All employees not in groups B, C, J, H, M or Z",$G226="B - Married women and widows entitled to reduced NI",$G226="C - Over the State Pension age",$G226="H - Apprentice under 25",$G226="J – Deferment",$G226="M - Under 21",$G226="Z - Deferment (Under 21)",$G226="Please Enter The NI Cont. in ££££")),$G226,SUM(MAX(MIN(AI226-'Input Data'!$BG$3,'Input Data'!$BG$5-'Input Data'!$BG$3),0)*VLOOKUP($G226,'Input Data'!$BI$3:$BL$10,2,FALSE),MAX(MIN(AI226-'Input Data'!$BG$5,IF(OR($G226="M (under 21)",$G226="Z (under 21 - deferment)"),'Input Data'!$BG$6,IF($G226="H (Apprentice under 25)",'Input Data'!$BG$7,'Input Data'!$BG$8))-'Input Data'!$BG$5),0)*VLOOKUP($G226,'Input Data'!$BI$3:$BL$10,3,FALSE),MAX((AI226-IF(OR($G226="M (under 21)",$G226="Z (under 21 - deferment)"),'Input Data'!$BG$6,IF($G226="H (Apprentice under 25)",'Input Data'!$BG$7,'Input Data'!$BG$8))),0)*VLOOKUP($G226,'Input Data'!$BI$3:$BL$10,4,FALSE))))</f>
        <v>0</v>
      </c>
      <c r="AR226" s="56">
        <f>IF($G226="",0,IF(NOT(OR($G226="A - All employees not in groups B, C, J, H, M or Z",$G226="B - Married women and widows entitled to reduced NI",$G226="C - Over the State Pension age",$G226="H - Apprentice under 25",$G226="J – Deferment",$G226="M - Under 21",$G226="Z - Deferment (Under 21)",$G226="Please Enter The NI Cont. in ££££")),$G226,SUM(MAX(MIN(AJ226-'Input Data'!$BG$3,'Input Data'!$BG$5-'Input Data'!$BG$3),0)*VLOOKUP($G226,'Input Data'!$BI$3:$BL$10,2,FALSE),MAX(MIN(AJ226-'Input Data'!$BG$5,IF(OR($G226="M (under 21)",$G226="Z (under 21 - deferment)"),'Input Data'!$BG$6,IF($G226="H (Apprentice under 25)",'Input Data'!$BG$7,'Input Data'!$BG$8))-'Input Data'!$BG$5),0)*VLOOKUP($G226,'Input Data'!$BI$3:$BL$10,3,FALSE),MAX((AJ226-IF(OR($G226="M (under 21)",$G226="Z (under 21 - deferment)"),'Input Data'!$BG$6,IF($G226="H (Apprentice under 25)",'Input Data'!$BG$7,'Input Data'!$BG$8))),0)*VLOOKUP($G226,'Input Data'!$BI$3:$BL$10,4,FALSE))))</f>
        <v>0</v>
      </c>
      <c r="AS226" s="56">
        <f>AC226*$F226</f>
        <v>0</v>
      </c>
      <c r="AT226" s="56">
        <f>AD226*$F226</f>
        <v>0</v>
      </c>
      <c r="AU226" s="56">
        <f>AE226*$F226</f>
        <v>0</v>
      </c>
      <c r="AV226" s="56">
        <f>AF226*$F226</f>
        <v>0</v>
      </c>
      <c r="AW226" s="56">
        <f>AG226*$F226</f>
        <v>0</v>
      </c>
      <c r="AX226" s="56">
        <f>AH226*$F226</f>
        <v>0</v>
      </c>
      <c r="AY226" s="56">
        <f>AI226*$F226</f>
        <v>0</v>
      </c>
      <c r="AZ226" s="56">
        <f>AJ226*$F226</f>
        <v>0</v>
      </c>
    </row>
    <row r="227" spans="2:52" ht="25.5">
      <c r="B227" s="60"/>
      <c r="C227" s="57" t="s">
        <v>75</v>
      </c>
      <c r="D227" s="58"/>
      <c r="E227" s="58"/>
      <c r="F227" s="535"/>
      <c r="G227" s="693" t="s">
        <v>1149</v>
      </c>
      <c r="H227" s="65"/>
      <c r="I227" s="65"/>
      <c r="J227" s="65"/>
      <c r="K227" s="65"/>
      <c r="L227" s="65"/>
      <c r="M227" s="65"/>
      <c r="N227" s="65"/>
      <c r="O227" s="65"/>
      <c r="P227" s="29"/>
      <c r="Q227" s="597"/>
      <c r="R227" s="61"/>
      <c r="T227" s="43">
        <f>SUM(AC227,AK227,AS227)</f>
        <v>0</v>
      </c>
      <c r="U227" s="43">
        <f>SUM(AD227,AL227,AT227)</f>
        <v>0</v>
      </c>
      <c r="V227" s="43">
        <f>SUM(AE227,AM227,AU227)</f>
        <v>0</v>
      </c>
      <c r="W227" s="43">
        <f>SUM(AF227,AN227,AV227)</f>
        <v>0</v>
      </c>
      <c r="X227" s="43">
        <f>SUM(AG227,AO227,AW227)</f>
        <v>0</v>
      </c>
      <c r="Y227" s="43">
        <f>SUM(AH227,AP227,AX227)</f>
        <v>0</v>
      </c>
      <c r="Z227" s="43">
        <f>SUM(AI227,AQ227,AY227)</f>
        <v>0</v>
      </c>
      <c r="AA227" s="43">
        <f>SUM(AJ227,AR227,AZ227)</f>
        <v>0</v>
      </c>
      <c r="AC227" s="631">
        <f>SUM($D227:$E227)*H227</f>
        <v>0</v>
      </c>
      <c r="AD227" s="631">
        <f>SUM($D227:$E227)*I227</f>
        <v>0</v>
      </c>
      <c r="AE227" s="631">
        <f>SUM($D227:$E227)*J227</f>
        <v>0</v>
      </c>
      <c r="AF227" s="631">
        <f>SUM($D227:$E227)*K227</f>
        <v>0</v>
      </c>
      <c r="AG227" s="631">
        <f>SUM($D227:$E227)*L227</f>
        <v>0</v>
      </c>
      <c r="AH227" s="631">
        <f>SUM($D227:$E227)*M227</f>
        <v>0</v>
      </c>
      <c r="AI227" s="631">
        <f>SUM($D227:$E227)*N227</f>
        <v>0</v>
      </c>
      <c r="AJ227" s="631">
        <f>SUM($D227:$E227)*O227</f>
        <v>0</v>
      </c>
      <c r="AK227" s="56">
        <f>IF($G227="",0,IF(NOT(OR($G227="A - All employees not in groups B, C, J, H, M or Z",$G227="B - Married women and widows entitled to reduced NI",$G227="C - Over the State Pension age",$G227="H - Apprentice under 25",$G227="J – Deferment",$G227="M - Under 21",$G227="Z - Deferment (Under 21)",$G227="Please Enter The NI Cont. in ££££")),$G227,SUM(MAX(MIN(AC227-'Input Data'!$BG$3,'Input Data'!$BG$5-'Input Data'!$BG$3),0)*VLOOKUP($G227,'Input Data'!$BI$3:$BL$10,2,FALSE),MAX(MIN(AC227-'Input Data'!$BG$5,IF(OR($G227="M (under 21)",$G227="Z (under 21 - deferment)"),'Input Data'!$BG$6,IF($G227="H (Apprentice under 25)",'Input Data'!$BG$7,'Input Data'!$BG$8))-'Input Data'!$BG$5),0)*VLOOKUP($G227,'Input Data'!$BI$3:$BL$10,3,FALSE),MAX((AC227-IF(OR($G227="M (under 21)",$G227="Z (under 21 - deferment)"),'Input Data'!$BG$6,IF($G227="H (Apprentice under 25)",'Input Data'!$BG$7,'Input Data'!$BG$8))),0)*VLOOKUP($G227,'Input Data'!$BI$3:$BL$10,4,FALSE))))</f>
        <v>0</v>
      </c>
      <c r="AL227" s="56">
        <f>IF($G227="",0,IF(NOT(OR($G227="A - All employees not in groups B, C, J, H, M or Z",$G227="B - Married women and widows entitled to reduced NI",$G227="C - Over the State Pension age",$G227="H - Apprentice under 25",$G227="J – Deferment",$G227="M - Under 21",$G227="Z - Deferment (Under 21)",$G227="Please Enter The NI Cont. in ££££")),$G227,SUM(MAX(MIN(AD227-'Input Data'!$BG$3,'Input Data'!$BG$5-'Input Data'!$BG$3),0)*VLOOKUP($G227,'Input Data'!$BI$3:$BL$10,2,FALSE),MAX(MIN(AD227-'Input Data'!$BG$5,IF(OR($G227="M (under 21)",$G227="Z (under 21 - deferment)"),'Input Data'!$BG$6,IF($G227="H (Apprentice under 25)",'Input Data'!$BG$7,'Input Data'!$BG$8))-'Input Data'!$BG$5),0)*VLOOKUP($G227,'Input Data'!$BI$3:$BL$10,3,FALSE),MAX((AD227-IF(OR($G227="M (under 21)",$G227="Z (under 21 - deferment)"),'Input Data'!$BG$6,IF($G227="H (Apprentice under 25)",'Input Data'!$BG$7,'Input Data'!$BG$8))),0)*VLOOKUP($G227,'Input Data'!$BI$3:$BL$10,4,FALSE))))</f>
        <v>0</v>
      </c>
      <c r="AM227" s="56">
        <f>IF($G227="",0,IF(NOT(OR($G227="A - All employees not in groups B, C, J, H, M or Z",$G227="B - Married women and widows entitled to reduced NI",$G227="C - Over the State Pension age",$G227="H - Apprentice under 25",$G227="J – Deferment",$G227="M - Under 21",$G227="Z - Deferment (Under 21)",$G227="Please Enter The NI Cont. in ££££")),$G227,SUM(MAX(MIN(AE227-'Input Data'!$BG$3,'Input Data'!$BG$5-'Input Data'!$BG$3),0)*VLOOKUP($G227,'Input Data'!$BI$3:$BL$10,2,FALSE),MAX(MIN(AE227-'Input Data'!$BG$5,IF(OR($G227="M (under 21)",$G227="Z (under 21 - deferment)"),'Input Data'!$BG$6,IF($G227="H (Apprentice under 25)",'Input Data'!$BG$7,'Input Data'!$BG$8))-'Input Data'!$BG$5),0)*VLOOKUP($G227,'Input Data'!$BI$3:$BL$10,3,FALSE),MAX((AE227-IF(OR($G227="M (under 21)",$G227="Z (under 21 - deferment)"),'Input Data'!$BG$6,IF($G227="H (Apprentice under 25)",'Input Data'!$BG$7,'Input Data'!$BG$8))),0)*VLOOKUP($G227,'Input Data'!$BI$3:$BL$10,4,FALSE))))</f>
        <v>0</v>
      </c>
      <c r="AN227" s="56">
        <f>IF($G227="",0,IF(NOT(OR($G227="A - All employees not in groups B, C, J, H, M or Z",$G227="B - Married women and widows entitled to reduced NI",$G227="C - Over the State Pension age",$G227="H - Apprentice under 25",$G227="J – Deferment",$G227="M - Under 21",$G227="Z - Deferment (Under 21)",$G227="Please Enter The NI Cont. in ££££")),$G227,SUM(MAX(MIN(AF227-'Input Data'!$BG$3,'Input Data'!$BG$5-'Input Data'!$BG$3),0)*VLOOKUP($G227,'Input Data'!$BI$3:$BL$10,2,FALSE),MAX(MIN(AF227-'Input Data'!$BG$5,IF(OR($G227="M (under 21)",$G227="Z (under 21 - deferment)"),'Input Data'!$BG$6,IF($G227="H (Apprentice under 25)",'Input Data'!$BG$7,'Input Data'!$BG$8))-'Input Data'!$BG$5),0)*VLOOKUP($G227,'Input Data'!$BI$3:$BL$10,3,FALSE),MAX((AF227-IF(OR($G227="M (under 21)",$G227="Z (under 21 - deferment)"),'Input Data'!$BG$6,IF($G227="H (Apprentice under 25)",'Input Data'!$BG$7,'Input Data'!$BG$8))),0)*VLOOKUP($G227,'Input Data'!$BI$3:$BL$10,4,FALSE))))</f>
        <v>0</v>
      </c>
      <c r="AO227" s="56">
        <f>IF($G227="",0,IF(NOT(OR($G227="A - All employees not in groups B, C, J, H, M or Z",$G227="B - Married women and widows entitled to reduced NI",$G227="C - Over the State Pension age",$G227="H - Apprentice under 25",$G227="J – Deferment",$G227="M - Under 21",$G227="Z - Deferment (Under 21)",$G227="Please Enter The NI Cont. in ££££")),$G227,SUM(MAX(MIN(AG227-'Input Data'!$BG$3,'Input Data'!$BG$5-'Input Data'!$BG$3),0)*VLOOKUP($G227,'Input Data'!$BI$3:$BL$10,2,FALSE),MAX(MIN(AG227-'Input Data'!$BG$5,IF(OR($G227="M (under 21)",$G227="Z (under 21 - deferment)"),'Input Data'!$BG$6,IF($G227="H (Apprentice under 25)",'Input Data'!$BG$7,'Input Data'!$BG$8))-'Input Data'!$BG$5),0)*VLOOKUP($G227,'Input Data'!$BI$3:$BL$10,3,FALSE),MAX((AG227-IF(OR($G227="M (under 21)",$G227="Z (under 21 - deferment)"),'Input Data'!$BG$6,IF($G227="H (Apprentice under 25)",'Input Data'!$BG$7,'Input Data'!$BG$8))),0)*VLOOKUP($G227,'Input Data'!$BI$3:$BL$10,4,FALSE))))</f>
        <v>0</v>
      </c>
      <c r="AP227" s="56">
        <f>IF($G227="",0,IF(NOT(OR($G227="A - All employees not in groups B, C, J, H, M or Z",$G227="B - Married women and widows entitled to reduced NI",$G227="C - Over the State Pension age",$G227="H - Apprentice under 25",$G227="J – Deferment",$G227="M - Under 21",$G227="Z - Deferment (Under 21)",$G227="Please Enter The NI Cont. in ££££")),$G227,SUM(MAX(MIN(AH227-'Input Data'!$BG$3,'Input Data'!$BG$5-'Input Data'!$BG$3),0)*VLOOKUP($G227,'Input Data'!$BI$3:$BL$10,2,FALSE),MAX(MIN(AH227-'Input Data'!$BG$5,IF(OR($G227="M (under 21)",$G227="Z (under 21 - deferment)"),'Input Data'!$BG$6,IF($G227="H (Apprentice under 25)",'Input Data'!$BG$7,'Input Data'!$BG$8))-'Input Data'!$BG$5),0)*VLOOKUP($G227,'Input Data'!$BI$3:$BL$10,3,FALSE),MAX((AH227-IF(OR($G227="M (under 21)",$G227="Z (under 21 - deferment)"),'Input Data'!$BG$6,IF($G227="H (Apprentice under 25)",'Input Data'!$BG$7,'Input Data'!$BG$8))),0)*VLOOKUP($G227,'Input Data'!$BI$3:$BL$10,4,FALSE))))</f>
        <v>0</v>
      </c>
      <c r="AQ227" s="56">
        <f>IF($G227="",0,IF(NOT(OR($G227="A - All employees not in groups B, C, J, H, M or Z",$G227="B - Married women and widows entitled to reduced NI",$G227="C - Over the State Pension age",$G227="H - Apprentice under 25",$G227="J – Deferment",$G227="M - Under 21",$G227="Z - Deferment (Under 21)",$G227="Please Enter The NI Cont. in ££££")),$G227,SUM(MAX(MIN(AI227-'Input Data'!$BG$3,'Input Data'!$BG$5-'Input Data'!$BG$3),0)*VLOOKUP($G227,'Input Data'!$BI$3:$BL$10,2,FALSE),MAX(MIN(AI227-'Input Data'!$BG$5,IF(OR($G227="M (under 21)",$G227="Z (under 21 - deferment)"),'Input Data'!$BG$6,IF($G227="H (Apprentice under 25)",'Input Data'!$BG$7,'Input Data'!$BG$8))-'Input Data'!$BG$5),0)*VLOOKUP($G227,'Input Data'!$BI$3:$BL$10,3,FALSE),MAX((AI227-IF(OR($G227="M (under 21)",$G227="Z (under 21 - deferment)"),'Input Data'!$BG$6,IF($G227="H (Apprentice under 25)",'Input Data'!$BG$7,'Input Data'!$BG$8))),0)*VLOOKUP($G227,'Input Data'!$BI$3:$BL$10,4,FALSE))))</f>
        <v>0</v>
      </c>
      <c r="AR227" s="56">
        <f>IF($G227="",0,IF(NOT(OR($G227="A - All employees not in groups B, C, J, H, M or Z",$G227="B - Married women and widows entitled to reduced NI",$G227="C - Over the State Pension age",$G227="H - Apprentice under 25",$G227="J – Deferment",$G227="M - Under 21",$G227="Z - Deferment (Under 21)",$G227="Please Enter The NI Cont. in ££££")),$G227,SUM(MAX(MIN(AJ227-'Input Data'!$BG$3,'Input Data'!$BG$5-'Input Data'!$BG$3),0)*VLOOKUP($G227,'Input Data'!$BI$3:$BL$10,2,FALSE),MAX(MIN(AJ227-'Input Data'!$BG$5,IF(OR($G227="M (under 21)",$G227="Z (under 21 - deferment)"),'Input Data'!$BG$6,IF($G227="H (Apprentice under 25)",'Input Data'!$BG$7,'Input Data'!$BG$8))-'Input Data'!$BG$5),0)*VLOOKUP($G227,'Input Data'!$BI$3:$BL$10,3,FALSE),MAX((AJ227-IF(OR($G227="M (under 21)",$G227="Z (under 21 - deferment)"),'Input Data'!$BG$6,IF($G227="H (Apprentice under 25)",'Input Data'!$BG$7,'Input Data'!$BG$8))),0)*VLOOKUP($G227,'Input Data'!$BI$3:$BL$10,4,FALSE))))</f>
        <v>0</v>
      </c>
      <c r="AS227" s="56">
        <f>AC227*$F227</f>
        <v>0</v>
      </c>
      <c r="AT227" s="56">
        <f>AD227*$F227</f>
        <v>0</v>
      </c>
      <c r="AU227" s="56">
        <f>AE227*$F227</f>
        <v>0</v>
      </c>
      <c r="AV227" s="56">
        <f>AF227*$F227</f>
        <v>0</v>
      </c>
      <c r="AW227" s="56">
        <f>AG227*$F227</f>
        <v>0</v>
      </c>
      <c r="AX227" s="56">
        <f>AH227*$F227</f>
        <v>0</v>
      </c>
      <c r="AY227" s="56">
        <f>AI227*$F227</f>
        <v>0</v>
      </c>
      <c r="AZ227" s="56">
        <f>AJ227*$F227</f>
        <v>0</v>
      </c>
    </row>
    <row r="228" spans="2:52" ht="25.5">
      <c r="B228" s="60"/>
      <c r="C228" s="57" t="s">
        <v>76</v>
      </c>
      <c r="D228" s="58"/>
      <c r="E228" s="58"/>
      <c r="F228" s="535"/>
      <c r="G228" s="693" t="s">
        <v>1149</v>
      </c>
      <c r="H228" s="65"/>
      <c r="I228" s="65"/>
      <c r="J228" s="65"/>
      <c r="K228" s="65"/>
      <c r="L228" s="65"/>
      <c r="M228" s="65"/>
      <c r="N228" s="65"/>
      <c r="O228" s="65"/>
      <c r="P228" s="29"/>
      <c r="Q228" s="597"/>
      <c r="R228" s="61"/>
      <c r="T228" s="43">
        <f>SUM(AC228,AK228,AS228)</f>
        <v>0</v>
      </c>
      <c r="U228" s="43">
        <f>SUM(AD228,AL228,AT228)</f>
        <v>0</v>
      </c>
      <c r="V228" s="43">
        <f>SUM(AE228,AM228,AU228)</f>
        <v>0</v>
      </c>
      <c r="W228" s="43">
        <f>SUM(AF228,AN228,AV228)</f>
        <v>0</v>
      </c>
      <c r="X228" s="43">
        <f>SUM(AG228,AO228,AW228)</f>
        <v>0</v>
      </c>
      <c r="Y228" s="43">
        <f>SUM(AH228,AP228,AX228)</f>
        <v>0</v>
      </c>
      <c r="Z228" s="43">
        <f>SUM(AI228,AQ228,AY228)</f>
        <v>0</v>
      </c>
      <c r="AA228" s="43">
        <f>SUM(AJ228,AR228,AZ228)</f>
        <v>0</v>
      </c>
      <c r="AC228" s="631">
        <f>SUM($D228:$E228)*H228</f>
        <v>0</v>
      </c>
      <c r="AD228" s="631">
        <f>SUM($D228:$E228)*I228</f>
        <v>0</v>
      </c>
      <c r="AE228" s="631">
        <f>SUM($D228:$E228)*J228</f>
        <v>0</v>
      </c>
      <c r="AF228" s="631">
        <f>SUM($D228:$E228)*K228</f>
        <v>0</v>
      </c>
      <c r="AG228" s="631">
        <f>SUM($D228:$E228)*L228</f>
        <v>0</v>
      </c>
      <c r="AH228" s="631">
        <f>SUM($D228:$E228)*M228</f>
        <v>0</v>
      </c>
      <c r="AI228" s="631">
        <f>SUM($D228:$E228)*N228</f>
        <v>0</v>
      </c>
      <c r="AJ228" s="631">
        <f>SUM($D228:$E228)*O228</f>
        <v>0</v>
      </c>
      <c r="AK228" s="56">
        <f>IF($G228="",0,IF(NOT(OR($G228="A - All employees not in groups B, C, J, H, M or Z",$G228="B - Married women and widows entitled to reduced NI",$G228="C - Over the State Pension age",$G228="H - Apprentice under 25",$G228="J – Deferment",$G228="M - Under 21",$G228="Z - Deferment (Under 21)",$G228="Please Enter The NI Cont. in ££££")),$G228,SUM(MAX(MIN(AC228-'Input Data'!$BG$3,'Input Data'!$BG$5-'Input Data'!$BG$3),0)*VLOOKUP($G228,'Input Data'!$BI$3:$BL$10,2,FALSE),MAX(MIN(AC228-'Input Data'!$BG$5,IF(OR($G228="M (under 21)",$G228="Z (under 21 - deferment)"),'Input Data'!$BG$6,IF($G228="H (Apprentice under 25)",'Input Data'!$BG$7,'Input Data'!$BG$8))-'Input Data'!$BG$5),0)*VLOOKUP($G228,'Input Data'!$BI$3:$BL$10,3,FALSE),MAX((AC228-IF(OR($G228="M (under 21)",$G228="Z (under 21 - deferment)"),'Input Data'!$BG$6,IF($G228="H (Apprentice under 25)",'Input Data'!$BG$7,'Input Data'!$BG$8))),0)*VLOOKUP($G228,'Input Data'!$BI$3:$BL$10,4,FALSE))))</f>
        <v>0</v>
      </c>
      <c r="AL228" s="56">
        <f>IF($G228="",0,IF(NOT(OR($G228="A - All employees not in groups B, C, J, H, M or Z",$G228="B - Married women and widows entitled to reduced NI",$G228="C - Over the State Pension age",$G228="H - Apprentice under 25",$G228="J – Deferment",$G228="M - Under 21",$G228="Z - Deferment (Under 21)",$G228="Please Enter The NI Cont. in ££££")),$G228,SUM(MAX(MIN(AD228-'Input Data'!$BG$3,'Input Data'!$BG$5-'Input Data'!$BG$3),0)*VLOOKUP($G228,'Input Data'!$BI$3:$BL$10,2,FALSE),MAX(MIN(AD228-'Input Data'!$BG$5,IF(OR($G228="M (under 21)",$G228="Z (under 21 - deferment)"),'Input Data'!$BG$6,IF($G228="H (Apprentice under 25)",'Input Data'!$BG$7,'Input Data'!$BG$8))-'Input Data'!$BG$5),0)*VLOOKUP($G228,'Input Data'!$BI$3:$BL$10,3,FALSE),MAX((AD228-IF(OR($G228="M (under 21)",$G228="Z (under 21 - deferment)"),'Input Data'!$BG$6,IF($G228="H (Apprentice under 25)",'Input Data'!$BG$7,'Input Data'!$BG$8))),0)*VLOOKUP($G228,'Input Data'!$BI$3:$BL$10,4,FALSE))))</f>
        <v>0</v>
      </c>
      <c r="AM228" s="56">
        <f>IF($G228="",0,IF(NOT(OR($G228="A - All employees not in groups B, C, J, H, M or Z",$G228="B - Married women and widows entitled to reduced NI",$G228="C - Over the State Pension age",$G228="H - Apprentice under 25",$G228="J – Deferment",$G228="M - Under 21",$G228="Z - Deferment (Under 21)",$G228="Please Enter The NI Cont. in ££££")),$G228,SUM(MAX(MIN(AE228-'Input Data'!$BG$3,'Input Data'!$BG$5-'Input Data'!$BG$3),0)*VLOOKUP($G228,'Input Data'!$BI$3:$BL$10,2,FALSE),MAX(MIN(AE228-'Input Data'!$BG$5,IF(OR($G228="M (under 21)",$G228="Z (under 21 - deferment)"),'Input Data'!$BG$6,IF($G228="H (Apprentice under 25)",'Input Data'!$BG$7,'Input Data'!$BG$8))-'Input Data'!$BG$5),0)*VLOOKUP($G228,'Input Data'!$BI$3:$BL$10,3,FALSE),MAX((AE228-IF(OR($G228="M (under 21)",$G228="Z (under 21 - deferment)"),'Input Data'!$BG$6,IF($G228="H (Apprentice under 25)",'Input Data'!$BG$7,'Input Data'!$BG$8))),0)*VLOOKUP($G228,'Input Data'!$BI$3:$BL$10,4,FALSE))))</f>
        <v>0</v>
      </c>
      <c r="AN228" s="56">
        <f>IF($G228="",0,IF(NOT(OR($G228="A - All employees not in groups B, C, J, H, M or Z",$G228="B - Married women and widows entitled to reduced NI",$G228="C - Over the State Pension age",$G228="H - Apprentice under 25",$G228="J – Deferment",$G228="M - Under 21",$G228="Z - Deferment (Under 21)",$G228="Please Enter The NI Cont. in ££££")),$G228,SUM(MAX(MIN(AF228-'Input Data'!$BG$3,'Input Data'!$BG$5-'Input Data'!$BG$3),0)*VLOOKUP($G228,'Input Data'!$BI$3:$BL$10,2,FALSE),MAX(MIN(AF228-'Input Data'!$BG$5,IF(OR($G228="M (under 21)",$G228="Z (under 21 - deferment)"),'Input Data'!$BG$6,IF($G228="H (Apprentice under 25)",'Input Data'!$BG$7,'Input Data'!$BG$8))-'Input Data'!$BG$5),0)*VLOOKUP($G228,'Input Data'!$BI$3:$BL$10,3,FALSE),MAX((AF228-IF(OR($G228="M (under 21)",$G228="Z (under 21 - deferment)"),'Input Data'!$BG$6,IF($G228="H (Apprentice under 25)",'Input Data'!$BG$7,'Input Data'!$BG$8))),0)*VLOOKUP($G228,'Input Data'!$BI$3:$BL$10,4,FALSE))))</f>
        <v>0</v>
      </c>
      <c r="AO228" s="56">
        <f>IF($G228="",0,IF(NOT(OR($G228="A - All employees not in groups B, C, J, H, M or Z",$G228="B - Married women and widows entitled to reduced NI",$G228="C - Over the State Pension age",$G228="H - Apprentice under 25",$G228="J – Deferment",$G228="M - Under 21",$G228="Z - Deferment (Under 21)",$G228="Please Enter The NI Cont. in ££££")),$G228,SUM(MAX(MIN(AG228-'Input Data'!$BG$3,'Input Data'!$BG$5-'Input Data'!$BG$3),0)*VLOOKUP($G228,'Input Data'!$BI$3:$BL$10,2,FALSE),MAX(MIN(AG228-'Input Data'!$BG$5,IF(OR($G228="M (under 21)",$G228="Z (under 21 - deferment)"),'Input Data'!$BG$6,IF($G228="H (Apprentice under 25)",'Input Data'!$BG$7,'Input Data'!$BG$8))-'Input Data'!$BG$5),0)*VLOOKUP($G228,'Input Data'!$BI$3:$BL$10,3,FALSE),MAX((AG228-IF(OR($G228="M (under 21)",$G228="Z (under 21 - deferment)"),'Input Data'!$BG$6,IF($G228="H (Apprentice under 25)",'Input Data'!$BG$7,'Input Data'!$BG$8))),0)*VLOOKUP($G228,'Input Data'!$BI$3:$BL$10,4,FALSE))))</f>
        <v>0</v>
      </c>
      <c r="AP228" s="56">
        <f>IF($G228="",0,IF(NOT(OR($G228="A - All employees not in groups B, C, J, H, M or Z",$G228="B - Married women and widows entitled to reduced NI",$G228="C - Over the State Pension age",$G228="H - Apprentice under 25",$G228="J – Deferment",$G228="M - Under 21",$G228="Z - Deferment (Under 21)",$G228="Please Enter The NI Cont. in ££££")),$G228,SUM(MAX(MIN(AH228-'Input Data'!$BG$3,'Input Data'!$BG$5-'Input Data'!$BG$3),0)*VLOOKUP($G228,'Input Data'!$BI$3:$BL$10,2,FALSE),MAX(MIN(AH228-'Input Data'!$BG$5,IF(OR($G228="M (under 21)",$G228="Z (under 21 - deferment)"),'Input Data'!$BG$6,IF($G228="H (Apprentice under 25)",'Input Data'!$BG$7,'Input Data'!$BG$8))-'Input Data'!$BG$5),0)*VLOOKUP($G228,'Input Data'!$BI$3:$BL$10,3,FALSE),MAX((AH228-IF(OR($G228="M (under 21)",$G228="Z (under 21 - deferment)"),'Input Data'!$BG$6,IF($G228="H (Apprentice under 25)",'Input Data'!$BG$7,'Input Data'!$BG$8))),0)*VLOOKUP($G228,'Input Data'!$BI$3:$BL$10,4,FALSE))))</f>
        <v>0</v>
      </c>
      <c r="AQ228" s="56">
        <f>IF($G228="",0,IF(NOT(OR($G228="A - All employees not in groups B, C, J, H, M or Z",$G228="B - Married women and widows entitled to reduced NI",$G228="C - Over the State Pension age",$G228="H - Apprentice under 25",$G228="J – Deferment",$G228="M - Under 21",$G228="Z - Deferment (Under 21)",$G228="Please Enter The NI Cont. in ££££")),$G228,SUM(MAX(MIN(AI228-'Input Data'!$BG$3,'Input Data'!$BG$5-'Input Data'!$BG$3),0)*VLOOKUP($G228,'Input Data'!$BI$3:$BL$10,2,FALSE),MAX(MIN(AI228-'Input Data'!$BG$5,IF(OR($G228="M (under 21)",$G228="Z (under 21 - deferment)"),'Input Data'!$BG$6,IF($G228="H (Apprentice under 25)",'Input Data'!$BG$7,'Input Data'!$BG$8))-'Input Data'!$BG$5),0)*VLOOKUP($G228,'Input Data'!$BI$3:$BL$10,3,FALSE),MAX((AI228-IF(OR($G228="M (under 21)",$G228="Z (under 21 - deferment)"),'Input Data'!$BG$6,IF($G228="H (Apprentice under 25)",'Input Data'!$BG$7,'Input Data'!$BG$8))),0)*VLOOKUP($G228,'Input Data'!$BI$3:$BL$10,4,FALSE))))</f>
        <v>0</v>
      </c>
      <c r="AR228" s="56">
        <f>IF($G228="",0,IF(NOT(OR($G228="A - All employees not in groups B, C, J, H, M or Z",$G228="B - Married women and widows entitled to reduced NI",$G228="C - Over the State Pension age",$G228="H - Apprentice under 25",$G228="J – Deferment",$G228="M - Under 21",$G228="Z - Deferment (Under 21)",$G228="Please Enter The NI Cont. in ££££")),$G228,SUM(MAX(MIN(AJ228-'Input Data'!$BG$3,'Input Data'!$BG$5-'Input Data'!$BG$3),0)*VLOOKUP($G228,'Input Data'!$BI$3:$BL$10,2,FALSE),MAX(MIN(AJ228-'Input Data'!$BG$5,IF(OR($G228="M (under 21)",$G228="Z (under 21 - deferment)"),'Input Data'!$BG$6,IF($G228="H (Apprentice under 25)",'Input Data'!$BG$7,'Input Data'!$BG$8))-'Input Data'!$BG$5),0)*VLOOKUP($G228,'Input Data'!$BI$3:$BL$10,3,FALSE),MAX((AJ228-IF(OR($G228="M (under 21)",$G228="Z (under 21 - deferment)"),'Input Data'!$BG$6,IF($G228="H (Apprentice under 25)",'Input Data'!$BG$7,'Input Data'!$BG$8))),0)*VLOOKUP($G228,'Input Data'!$BI$3:$BL$10,4,FALSE))))</f>
        <v>0</v>
      </c>
      <c r="AS228" s="56">
        <f>AC228*$F228</f>
        <v>0</v>
      </c>
      <c r="AT228" s="56">
        <f>AD228*$F228</f>
        <v>0</v>
      </c>
      <c r="AU228" s="56">
        <f>AE228*$F228</f>
        <v>0</v>
      </c>
      <c r="AV228" s="56">
        <f>AF228*$F228</f>
        <v>0</v>
      </c>
      <c r="AW228" s="56">
        <f>AG228*$F228</f>
        <v>0</v>
      </c>
      <c r="AX228" s="56">
        <f>AH228*$F228</f>
        <v>0</v>
      </c>
      <c r="AY228" s="56">
        <f>AI228*$F228</f>
        <v>0</v>
      </c>
      <c r="AZ228" s="56">
        <f>AJ228*$F228</f>
        <v>0</v>
      </c>
    </row>
    <row r="229" spans="2:52" ht="25.5">
      <c r="B229" s="60"/>
      <c r="C229" s="57" t="s">
        <v>77</v>
      </c>
      <c r="D229" s="58"/>
      <c r="E229" s="58"/>
      <c r="F229" s="535"/>
      <c r="G229" s="693" t="s">
        <v>1149</v>
      </c>
      <c r="H229" s="65"/>
      <c r="I229" s="65"/>
      <c r="J229" s="65"/>
      <c r="K229" s="65"/>
      <c r="L229" s="65"/>
      <c r="M229" s="65"/>
      <c r="N229" s="65"/>
      <c r="O229" s="65"/>
      <c r="P229" s="29"/>
      <c r="Q229" s="597"/>
      <c r="R229" s="61"/>
      <c r="T229" s="43">
        <f>SUM(AC229,AK229,AS229)</f>
        <v>0</v>
      </c>
      <c r="U229" s="43">
        <f>SUM(AD229,AL229,AT229)</f>
        <v>0</v>
      </c>
      <c r="V229" s="43">
        <f>SUM(AE229,AM229,AU229)</f>
        <v>0</v>
      </c>
      <c r="W229" s="43">
        <f>SUM(AF229,AN229,AV229)</f>
        <v>0</v>
      </c>
      <c r="X229" s="43">
        <f>SUM(AG229,AO229,AW229)</f>
        <v>0</v>
      </c>
      <c r="Y229" s="43">
        <f>SUM(AH229,AP229,AX229)</f>
        <v>0</v>
      </c>
      <c r="Z229" s="43">
        <f>SUM(AI229,AQ229,AY229)</f>
        <v>0</v>
      </c>
      <c r="AA229" s="43">
        <f>SUM(AJ229,AR229,AZ229)</f>
        <v>0</v>
      </c>
      <c r="AC229" s="631">
        <f>SUM($D229:$E229)*H229</f>
        <v>0</v>
      </c>
      <c r="AD229" s="631">
        <f>SUM($D229:$E229)*I229</f>
        <v>0</v>
      </c>
      <c r="AE229" s="631">
        <f>SUM($D229:$E229)*J229</f>
        <v>0</v>
      </c>
      <c r="AF229" s="631">
        <f>SUM($D229:$E229)*K229</f>
        <v>0</v>
      </c>
      <c r="AG229" s="631">
        <f>SUM($D229:$E229)*L229</f>
        <v>0</v>
      </c>
      <c r="AH229" s="631">
        <f>SUM($D229:$E229)*M229</f>
        <v>0</v>
      </c>
      <c r="AI229" s="631">
        <f>SUM($D229:$E229)*N229</f>
        <v>0</v>
      </c>
      <c r="AJ229" s="631">
        <f>SUM($D229:$E229)*O229</f>
        <v>0</v>
      </c>
      <c r="AK229" s="56">
        <f>IF($G229="",0,IF(NOT(OR($G229="A - All employees not in groups B, C, J, H, M or Z",$G229="B - Married women and widows entitled to reduced NI",$G229="C - Over the State Pension age",$G229="H - Apprentice under 25",$G229="J – Deferment",$G229="M - Under 21",$G229="Z - Deferment (Under 21)",$G229="Please Enter The NI Cont. in ££££")),$G229,SUM(MAX(MIN(AC229-'Input Data'!$BG$3,'Input Data'!$BG$5-'Input Data'!$BG$3),0)*VLOOKUP($G229,'Input Data'!$BI$3:$BL$10,2,FALSE),MAX(MIN(AC229-'Input Data'!$BG$5,IF(OR($G229="M (under 21)",$G229="Z (under 21 - deferment)"),'Input Data'!$BG$6,IF($G229="H (Apprentice under 25)",'Input Data'!$BG$7,'Input Data'!$BG$8))-'Input Data'!$BG$5),0)*VLOOKUP($G229,'Input Data'!$BI$3:$BL$10,3,FALSE),MAX((AC229-IF(OR($G229="M (under 21)",$G229="Z (under 21 - deferment)"),'Input Data'!$BG$6,IF($G229="H (Apprentice under 25)",'Input Data'!$BG$7,'Input Data'!$BG$8))),0)*VLOOKUP($G229,'Input Data'!$BI$3:$BL$10,4,FALSE))))</f>
        <v>0</v>
      </c>
      <c r="AL229" s="56">
        <f>IF($G229="",0,IF(NOT(OR($G229="A - All employees not in groups B, C, J, H, M or Z",$G229="B - Married women and widows entitled to reduced NI",$G229="C - Over the State Pension age",$G229="H - Apprentice under 25",$G229="J – Deferment",$G229="M - Under 21",$G229="Z - Deferment (Under 21)",$G229="Please Enter The NI Cont. in ££££")),$G229,SUM(MAX(MIN(AD229-'Input Data'!$BG$3,'Input Data'!$BG$5-'Input Data'!$BG$3),0)*VLOOKUP($G229,'Input Data'!$BI$3:$BL$10,2,FALSE),MAX(MIN(AD229-'Input Data'!$BG$5,IF(OR($G229="M (under 21)",$G229="Z (under 21 - deferment)"),'Input Data'!$BG$6,IF($G229="H (Apprentice under 25)",'Input Data'!$BG$7,'Input Data'!$BG$8))-'Input Data'!$BG$5),0)*VLOOKUP($G229,'Input Data'!$BI$3:$BL$10,3,FALSE),MAX((AD229-IF(OR($G229="M (under 21)",$G229="Z (under 21 - deferment)"),'Input Data'!$BG$6,IF($G229="H (Apprentice under 25)",'Input Data'!$BG$7,'Input Data'!$BG$8))),0)*VLOOKUP($G229,'Input Data'!$BI$3:$BL$10,4,FALSE))))</f>
        <v>0</v>
      </c>
      <c r="AM229" s="56">
        <f>IF($G229="",0,IF(NOT(OR($G229="A - All employees not in groups B, C, J, H, M or Z",$G229="B - Married women and widows entitled to reduced NI",$G229="C - Over the State Pension age",$G229="H - Apprentice under 25",$G229="J – Deferment",$G229="M - Under 21",$G229="Z - Deferment (Under 21)",$G229="Please Enter The NI Cont. in ££££")),$G229,SUM(MAX(MIN(AE229-'Input Data'!$BG$3,'Input Data'!$BG$5-'Input Data'!$BG$3),0)*VLOOKUP($G229,'Input Data'!$BI$3:$BL$10,2,FALSE),MAX(MIN(AE229-'Input Data'!$BG$5,IF(OR($G229="M (under 21)",$G229="Z (under 21 - deferment)"),'Input Data'!$BG$6,IF($G229="H (Apprentice under 25)",'Input Data'!$BG$7,'Input Data'!$BG$8))-'Input Data'!$BG$5),0)*VLOOKUP($G229,'Input Data'!$BI$3:$BL$10,3,FALSE),MAX((AE229-IF(OR($G229="M (under 21)",$G229="Z (under 21 - deferment)"),'Input Data'!$BG$6,IF($G229="H (Apprentice under 25)",'Input Data'!$BG$7,'Input Data'!$BG$8))),0)*VLOOKUP($G229,'Input Data'!$BI$3:$BL$10,4,FALSE))))</f>
        <v>0</v>
      </c>
      <c r="AN229" s="56">
        <f>IF($G229="",0,IF(NOT(OR($G229="A - All employees not in groups B, C, J, H, M or Z",$G229="B - Married women and widows entitled to reduced NI",$G229="C - Over the State Pension age",$G229="H - Apprentice under 25",$G229="J – Deferment",$G229="M - Under 21",$G229="Z - Deferment (Under 21)",$G229="Please Enter The NI Cont. in ££££")),$G229,SUM(MAX(MIN(AF229-'Input Data'!$BG$3,'Input Data'!$BG$5-'Input Data'!$BG$3),0)*VLOOKUP($G229,'Input Data'!$BI$3:$BL$10,2,FALSE),MAX(MIN(AF229-'Input Data'!$BG$5,IF(OR($G229="M (under 21)",$G229="Z (under 21 - deferment)"),'Input Data'!$BG$6,IF($G229="H (Apprentice under 25)",'Input Data'!$BG$7,'Input Data'!$BG$8))-'Input Data'!$BG$5),0)*VLOOKUP($G229,'Input Data'!$BI$3:$BL$10,3,FALSE),MAX((AF229-IF(OR($G229="M (under 21)",$G229="Z (under 21 - deferment)"),'Input Data'!$BG$6,IF($G229="H (Apprentice under 25)",'Input Data'!$BG$7,'Input Data'!$BG$8))),0)*VLOOKUP($G229,'Input Data'!$BI$3:$BL$10,4,FALSE))))</f>
        <v>0</v>
      </c>
      <c r="AO229" s="56">
        <f>IF($G229="",0,IF(NOT(OR($G229="A - All employees not in groups B, C, J, H, M or Z",$G229="B - Married women and widows entitled to reduced NI",$G229="C - Over the State Pension age",$G229="H - Apprentice under 25",$G229="J – Deferment",$G229="M - Under 21",$G229="Z - Deferment (Under 21)",$G229="Please Enter The NI Cont. in ££££")),$G229,SUM(MAX(MIN(AG229-'Input Data'!$BG$3,'Input Data'!$BG$5-'Input Data'!$BG$3),0)*VLOOKUP($G229,'Input Data'!$BI$3:$BL$10,2,FALSE),MAX(MIN(AG229-'Input Data'!$BG$5,IF(OR($G229="M (under 21)",$G229="Z (under 21 - deferment)"),'Input Data'!$BG$6,IF($G229="H (Apprentice under 25)",'Input Data'!$BG$7,'Input Data'!$BG$8))-'Input Data'!$BG$5),0)*VLOOKUP($G229,'Input Data'!$BI$3:$BL$10,3,FALSE),MAX((AG229-IF(OR($G229="M (under 21)",$G229="Z (under 21 - deferment)"),'Input Data'!$BG$6,IF($G229="H (Apprentice under 25)",'Input Data'!$BG$7,'Input Data'!$BG$8))),0)*VLOOKUP($G229,'Input Data'!$BI$3:$BL$10,4,FALSE))))</f>
        <v>0</v>
      </c>
      <c r="AP229" s="56">
        <f>IF($G229="",0,IF(NOT(OR($G229="A - All employees not in groups B, C, J, H, M or Z",$G229="B - Married women and widows entitled to reduced NI",$G229="C - Over the State Pension age",$G229="H - Apprentice under 25",$G229="J – Deferment",$G229="M - Under 21",$G229="Z - Deferment (Under 21)",$G229="Please Enter The NI Cont. in ££££")),$G229,SUM(MAX(MIN(AH229-'Input Data'!$BG$3,'Input Data'!$BG$5-'Input Data'!$BG$3),0)*VLOOKUP($G229,'Input Data'!$BI$3:$BL$10,2,FALSE),MAX(MIN(AH229-'Input Data'!$BG$5,IF(OR($G229="M (under 21)",$G229="Z (under 21 - deferment)"),'Input Data'!$BG$6,IF($G229="H (Apprentice under 25)",'Input Data'!$BG$7,'Input Data'!$BG$8))-'Input Data'!$BG$5),0)*VLOOKUP($G229,'Input Data'!$BI$3:$BL$10,3,FALSE),MAX((AH229-IF(OR($G229="M (under 21)",$G229="Z (under 21 - deferment)"),'Input Data'!$BG$6,IF($G229="H (Apprentice under 25)",'Input Data'!$BG$7,'Input Data'!$BG$8))),0)*VLOOKUP($G229,'Input Data'!$BI$3:$BL$10,4,FALSE))))</f>
        <v>0</v>
      </c>
      <c r="AQ229" s="56">
        <f>IF($G229="",0,IF(NOT(OR($G229="A - All employees not in groups B, C, J, H, M or Z",$G229="B - Married women and widows entitled to reduced NI",$G229="C - Over the State Pension age",$G229="H - Apprentice under 25",$G229="J – Deferment",$G229="M - Under 21",$G229="Z - Deferment (Under 21)",$G229="Please Enter The NI Cont. in ££££")),$G229,SUM(MAX(MIN(AI229-'Input Data'!$BG$3,'Input Data'!$BG$5-'Input Data'!$BG$3),0)*VLOOKUP($G229,'Input Data'!$BI$3:$BL$10,2,FALSE),MAX(MIN(AI229-'Input Data'!$BG$5,IF(OR($G229="M (under 21)",$G229="Z (under 21 - deferment)"),'Input Data'!$BG$6,IF($G229="H (Apprentice under 25)",'Input Data'!$BG$7,'Input Data'!$BG$8))-'Input Data'!$BG$5),0)*VLOOKUP($G229,'Input Data'!$BI$3:$BL$10,3,FALSE),MAX((AI229-IF(OR($G229="M (under 21)",$G229="Z (under 21 - deferment)"),'Input Data'!$BG$6,IF($G229="H (Apprentice under 25)",'Input Data'!$BG$7,'Input Data'!$BG$8))),0)*VLOOKUP($G229,'Input Data'!$BI$3:$BL$10,4,FALSE))))</f>
        <v>0</v>
      </c>
      <c r="AR229" s="56">
        <f>IF($G229="",0,IF(NOT(OR($G229="A - All employees not in groups B, C, J, H, M or Z",$G229="B - Married women and widows entitled to reduced NI",$G229="C - Over the State Pension age",$G229="H - Apprentice under 25",$G229="J – Deferment",$G229="M - Under 21",$G229="Z - Deferment (Under 21)",$G229="Please Enter The NI Cont. in ££££")),$G229,SUM(MAX(MIN(AJ229-'Input Data'!$BG$3,'Input Data'!$BG$5-'Input Data'!$BG$3),0)*VLOOKUP($G229,'Input Data'!$BI$3:$BL$10,2,FALSE),MAX(MIN(AJ229-'Input Data'!$BG$5,IF(OR($G229="M (under 21)",$G229="Z (under 21 - deferment)"),'Input Data'!$BG$6,IF($G229="H (Apprentice under 25)",'Input Data'!$BG$7,'Input Data'!$BG$8))-'Input Data'!$BG$5),0)*VLOOKUP($G229,'Input Data'!$BI$3:$BL$10,3,FALSE),MAX((AJ229-IF(OR($G229="M (under 21)",$G229="Z (under 21 - deferment)"),'Input Data'!$BG$6,IF($G229="H (Apprentice under 25)",'Input Data'!$BG$7,'Input Data'!$BG$8))),0)*VLOOKUP($G229,'Input Data'!$BI$3:$BL$10,4,FALSE))))</f>
        <v>0</v>
      </c>
      <c r="AS229" s="56">
        <f>AC229*$F229</f>
        <v>0</v>
      </c>
      <c r="AT229" s="56">
        <f>AD229*$F229</f>
        <v>0</v>
      </c>
      <c r="AU229" s="56">
        <f>AE229*$F229</f>
        <v>0</v>
      </c>
      <c r="AV229" s="56">
        <f>AF229*$F229</f>
        <v>0</v>
      </c>
      <c r="AW229" s="56">
        <f>AG229*$F229</f>
        <v>0</v>
      </c>
      <c r="AX229" s="56">
        <f>AH229*$F229</f>
        <v>0</v>
      </c>
      <c r="AY229" s="56">
        <f>AI229*$F229</f>
        <v>0</v>
      </c>
      <c r="AZ229" s="56">
        <f>AJ229*$F229</f>
        <v>0</v>
      </c>
    </row>
    <row r="230" spans="2:52" ht="25.5">
      <c r="B230" s="60"/>
      <c r="C230" s="57" t="s">
        <v>78</v>
      </c>
      <c r="D230" s="58"/>
      <c r="E230" s="58"/>
      <c r="F230" s="535"/>
      <c r="G230" s="693" t="s">
        <v>1149</v>
      </c>
      <c r="H230" s="65"/>
      <c r="I230" s="65"/>
      <c r="J230" s="65"/>
      <c r="K230" s="65"/>
      <c r="L230" s="65"/>
      <c r="M230" s="65"/>
      <c r="N230" s="65"/>
      <c r="O230" s="65"/>
      <c r="P230" s="29"/>
      <c r="Q230" s="597"/>
      <c r="R230" s="61"/>
      <c r="T230" s="43">
        <f>SUM(AC230,AK230,AS230)</f>
        <v>0</v>
      </c>
      <c r="U230" s="43">
        <f>SUM(AD230,AL230,AT230)</f>
        <v>0</v>
      </c>
      <c r="V230" s="43">
        <f>SUM(AE230,AM230,AU230)</f>
        <v>0</v>
      </c>
      <c r="W230" s="43">
        <f>SUM(AF230,AN230,AV230)</f>
        <v>0</v>
      </c>
      <c r="X230" s="43">
        <f>SUM(AG230,AO230,AW230)</f>
        <v>0</v>
      </c>
      <c r="Y230" s="43">
        <f>SUM(AH230,AP230,AX230)</f>
        <v>0</v>
      </c>
      <c r="Z230" s="43">
        <f>SUM(AI230,AQ230,AY230)</f>
        <v>0</v>
      </c>
      <c r="AA230" s="43">
        <f>SUM(AJ230,AR230,AZ230)</f>
        <v>0</v>
      </c>
      <c r="AC230" s="631">
        <f>SUM($D230:$E230)*H230</f>
        <v>0</v>
      </c>
      <c r="AD230" s="631">
        <f>SUM($D230:$E230)*I230</f>
        <v>0</v>
      </c>
      <c r="AE230" s="631">
        <f>SUM($D230:$E230)*J230</f>
        <v>0</v>
      </c>
      <c r="AF230" s="631">
        <f>SUM($D230:$E230)*K230</f>
        <v>0</v>
      </c>
      <c r="AG230" s="631">
        <f>SUM($D230:$E230)*L230</f>
        <v>0</v>
      </c>
      <c r="AH230" s="631">
        <f>SUM($D230:$E230)*M230</f>
        <v>0</v>
      </c>
      <c r="AI230" s="631">
        <f>SUM($D230:$E230)*N230</f>
        <v>0</v>
      </c>
      <c r="AJ230" s="631">
        <f>SUM($D230:$E230)*O230</f>
        <v>0</v>
      </c>
      <c r="AK230" s="56">
        <f>IF($G230="",0,IF(NOT(OR($G230="A - All employees not in groups B, C, J, H, M or Z",$G230="B - Married women and widows entitled to reduced NI",$G230="C - Over the State Pension age",$G230="H - Apprentice under 25",$G230="J – Deferment",$G230="M - Under 21",$G230="Z - Deferment (Under 21)",$G230="Please Enter The NI Cont. in ££££")),$G230,SUM(MAX(MIN(AC230-'Input Data'!$BG$3,'Input Data'!$BG$5-'Input Data'!$BG$3),0)*VLOOKUP($G230,'Input Data'!$BI$3:$BL$10,2,FALSE),MAX(MIN(AC230-'Input Data'!$BG$5,IF(OR($G230="M (under 21)",$G230="Z (under 21 - deferment)"),'Input Data'!$BG$6,IF($G230="H (Apprentice under 25)",'Input Data'!$BG$7,'Input Data'!$BG$8))-'Input Data'!$BG$5),0)*VLOOKUP($G230,'Input Data'!$BI$3:$BL$10,3,FALSE),MAX((AC230-IF(OR($G230="M (under 21)",$G230="Z (under 21 - deferment)"),'Input Data'!$BG$6,IF($G230="H (Apprentice under 25)",'Input Data'!$BG$7,'Input Data'!$BG$8))),0)*VLOOKUP($G230,'Input Data'!$BI$3:$BL$10,4,FALSE))))</f>
        <v>0</v>
      </c>
      <c r="AL230" s="56">
        <f>IF($G230="",0,IF(NOT(OR($G230="A - All employees not in groups B, C, J, H, M or Z",$G230="B - Married women and widows entitled to reduced NI",$G230="C - Over the State Pension age",$G230="H - Apprentice under 25",$G230="J – Deferment",$G230="M - Under 21",$G230="Z - Deferment (Under 21)",$G230="Please Enter The NI Cont. in ££££")),$G230,SUM(MAX(MIN(AD230-'Input Data'!$BG$3,'Input Data'!$BG$5-'Input Data'!$BG$3),0)*VLOOKUP($G230,'Input Data'!$BI$3:$BL$10,2,FALSE),MAX(MIN(AD230-'Input Data'!$BG$5,IF(OR($G230="M (under 21)",$G230="Z (under 21 - deferment)"),'Input Data'!$BG$6,IF($G230="H (Apprentice under 25)",'Input Data'!$BG$7,'Input Data'!$BG$8))-'Input Data'!$BG$5),0)*VLOOKUP($G230,'Input Data'!$BI$3:$BL$10,3,FALSE),MAX((AD230-IF(OR($G230="M (under 21)",$G230="Z (under 21 - deferment)"),'Input Data'!$BG$6,IF($G230="H (Apprentice under 25)",'Input Data'!$BG$7,'Input Data'!$BG$8))),0)*VLOOKUP($G230,'Input Data'!$BI$3:$BL$10,4,FALSE))))</f>
        <v>0</v>
      </c>
      <c r="AM230" s="56">
        <f>IF($G230="",0,IF(NOT(OR($G230="A - All employees not in groups B, C, J, H, M or Z",$G230="B - Married women and widows entitled to reduced NI",$G230="C - Over the State Pension age",$G230="H - Apprentice under 25",$G230="J – Deferment",$G230="M - Under 21",$G230="Z - Deferment (Under 21)",$G230="Please Enter The NI Cont. in ££££")),$G230,SUM(MAX(MIN(AE230-'Input Data'!$BG$3,'Input Data'!$BG$5-'Input Data'!$BG$3),0)*VLOOKUP($G230,'Input Data'!$BI$3:$BL$10,2,FALSE),MAX(MIN(AE230-'Input Data'!$BG$5,IF(OR($G230="M (under 21)",$G230="Z (under 21 - deferment)"),'Input Data'!$BG$6,IF($G230="H (Apprentice under 25)",'Input Data'!$BG$7,'Input Data'!$BG$8))-'Input Data'!$BG$5),0)*VLOOKUP($G230,'Input Data'!$BI$3:$BL$10,3,FALSE),MAX((AE230-IF(OR($G230="M (under 21)",$G230="Z (under 21 - deferment)"),'Input Data'!$BG$6,IF($G230="H (Apprentice under 25)",'Input Data'!$BG$7,'Input Data'!$BG$8))),0)*VLOOKUP($G230,'Input Data'!$BI$3:$BL$10,4,FALSE))))</f>
        <v>0</v>
      </c>
      <c r="AN230" s="56">
        <f>IF($G230="",0,IF(NOT(OR($G230="A - All employees not in groups B, C, J, H, M or Z",$G230="B - Married women and widows entitled to reduced NI",$G230="C - Over the State Pension age",$G230="H - Apprentice under 25",$G230="J – Deferment",$G230="M - Under 21",$G230="Z - Deferment (Under 21)",$G230="Please Enter The NI Cont. in ££££")),$G230,SUM(MAX(MIN(AF230-'Input Data'!$BG$3,'Input Data'!$BG$5-'Input Data'!$BG$3),0)*VLOOKUP($G230,'Input Data'!$BI$3:$BL$10,2,FALSE),MAX(MIN(AF230-'Input Data'!$BG$5,IF(OR($G230="M (under 21)",$G230="Z (under 21 - deferment)"),'Input Data'!$BG$6,IF($G230="H (Apprentice under 25)",'Input Data'!$BG$7,'Input Data'!$BG$8))-'Input Data'!$BG$5),0)*VLOOKUP($G230,'Input Data'!$BI$3:$BL$10,3,FALSE),MAX((AF230-IF(OR($G230="M (under 21)",$G230="Z (under 21 - deferment)"),'Input Data'!$BG$6,IF($G230="H (Apprentice under 25)",'Input Data'!$BG$7,'Input Data'!$BG$8))),0)*VLOOKUP($G230,'Input Data'!$BI$3:$BL$10,4,FALSE))))</f>
        <v>0</v>
      </c>
      <c r="AO230" s="56">
        <f>IF($G230="",0,IF(NOT(OR($G230="A - All employees not in groups B, C, J, H, M or Z",$G230="B - Married women and widows entitled to reduced NI",$G230="C - Over the State Pension age",$G230="H - Apprentice under 25",$G230="J – Deferment",$G230="M - Under 21",$G230="Z - Deferment (Under 21)",$G230="Please Enter The NI Cont. in ££££")),$G230,SUM(MAX(MIN(AG230-'Input Data'!$BG$3,'Input Data'!$BG$5-'Input Data'!$BG$3),0)*VLOOKUP($G230,'Input Data'!$BI$3:$BL$10,2,FALSE),MAX(MIN(AG230-'Input Data'!$BG$5,IF(OR($G230="M (under 21)",$G230="Z (under 21 - deferment)"),'Input Data'!$BG$6,IF($G230="H (Apprentice under 25)",'Input Data'!$BG$7,'Input Data'!$BG$8))-'Input Data'!$BG$5),0)*VLOOKUP($G230,'Input Data'!$BI$3:$BL$10,3,FALSE),MAX((AG230-IF(OR($G230="M (under 21)",$G230="Z (under 21 - deferment)"),'Input Data'!$BG$6,IF($G230="H (Apprentice under 25)",'Input Data'!$BG$7,'Input Data'!$BG$8))),0)*VLOOKUP($G230,'Input Data'!$BI$3:$BL$10,4,FALSE))))</f>
        <v>0</v>
      </c>
      <c r="AP230" s="56">
        <f>IF($G230="",0,IF(NOT(OR($G230="A - All employees not in groups B, C, J, H, M or Z",$G230="B - Married women and widows entitled to reduced NI",$G230="C - Over the State Pension age",$G230="H - Apprentice under 25",$G230="J – Deferment",$G230="M - Under 21",$G230="Z - Deferment (Under 21)",$G230="Please Enter The NI Cont. in ££££")),$G230,SUM(MAX(MIN(AH230-'Input Data'!$BG$3,'Input Data'!$BG$5-'Input Data'!$BG$3),0)*VLOOKUP($G230,'Input Data'!$BI$3:$BL$10,2,FALSE),MAX(MIN(AH230-'Input Data'!$BG$5,IF(OR($G230="M (under 21)",$G230="Z (under 21 - deferment)"),'Input Data'!$BG$6,IF($G230="H (Apprentice under 25)",'Input Data'!$BG$7,'Input Data'!$BG$8))-'Input Data'!$BG$5),0)*VLOOKUP($G230,'Input Data'!$BI$3:$BL$10,3,FALSE),MAX((AH230-IF(OR($G230="M (under 21)",$G230="Z (under 21 - deferment)"),'Input Data'!$BG$6,IF($G230="H (Apprentice under 25)",'Input Data'!$BG$7,'Input Data'!$BG$8))),0)*VLOOKUP($G230,'Input Data'!$BI$3:$BL$10,4,FALSE))))</f>
        <v>0</v>
      </c>
      <c r="AQ230" s="56">
        <f>IF($G230="",0,IF(NOT(OR($G230="A - All employees not in groups B, C, J, H, M or Z",$G230="B - Married women and widows entitled to reduced NI",$G230="C - Over the State Pension age",$G230="H - Apprentice under 25",$G230="J – Deferment",$G230="M - Under 21",$G230="Z - Deferment (Under 21)",$G230="Please Enter The NI Cont. in ££££")),$G230,SUM(MAX(MIN(AI230-'Input Data'!$BG$3,'Input Data'!$BG$5-'Input Data'!$BG$3),0)*VLOOKUP($G230,'Input Data'!$BI$3:$BL$10,2,FALSE),MAX(MIN(AI230-'Input Data'!$BG$5,IF(OR($G230="M (under 21)",$G230="Z (under 21 - deferment)"),'Input Data'!$BG$6,IF($G230="H (Apprentice under 25)",'Input Data'!$BG$7,'Input Data'!$BG$8))-'Input Data'!$BG$5),0)*VLOOKUP($G230,'Input Data'!$BI$3:$BL$10,3,FALSE),MAX((AI230-IF(OR($G230="M (under 21)",$G230="Z (under 21 - deferment)"),'Input Data'!$BG$6,IF($G230="H (Apprentice under 25)",'Input Data'!$BG$7,'Input Data'!$BG$8))),0)*VLOOKUP($G230,'Input Data'!$BI$3:$BL$10,4,FALSE))))</f>
        <v>0</v>
      </c>
      <c r="AR230" s="56">
        <f>IF($G230="",0,IF(NOT(OR($G230="A - All employees not in groups B, C, J, H, M or Z",$G230="B - Married women and widows entitled to reduced NI",$G230="C - Over the State Pension age",$G230="H - Apprentice under 25",$G230="J – Deferment",$G230="M - Under 21",$G230="Z - Deferment (Under 21)",$G230="Please Enter The NI Cont. in ££££")),$G230,SUM(MAX(MIN(AJ230-'Input Data'!$BG$3,'Input Data'!$BG$5-'Input Data'!$BG$3),0)*VLOOKUP($G230,'Input Data'!$BI$3:$BL$10,2,FALSE),MAX(MIN(AJ230-'Input Data'!$BG$5,IF(OR($G230="M (under 21)",$G230="Z (under 21 - deferment)"),'Input Data'!$BG$6,IF($G230="H (Apprentice under 25)",'Input Data'!$BG$7,'Input Data'!$BG$8))-'Input Data'!$BG$5),0)*VLOOKUP($G230,'Input Data'!$BI$3:$BL$10,3,FALSE),MAX((AJ230-IF(OR($G230="M (under 21)",$G230="Z (under 21 - deferment)"),'Input Data'!$BG$6,IF($G230="H (Apprentice under 25)",'Input Data'!$BG$7,'Input Data'!$BG$8))),0)*VLOOKUP($G230,'Input Data'!$BI$3:$BL$10,4,FALSE))))</f>
        <v>0</v>
      </c>
      <c r="AS230" s="56">
        <f>AC230*$F230</f>
        <v>0</v>
      </c>
      <c r="AT230" s="56">
        <f>AD230*$F230</f>
        <v>0</v>
      </c>
      <c r="AU230" s="56">
        <f>AE230*$F230</f>
        <v>0</v>
      </c>
      <c r="AV230" s="56">
        <f>AF230*$F230</f>
        <v>0</v>
      </c>
      <c r="AW230" s="56">
        <f>AG230*$F230</f>
        <v>0</v>
      </c>
      <c r="AX230" s="56">
        <f>AH230*$F230</f>
        <v>0</v>
      </c>
      <c r="AY230" s="56">
        <f>AI230*$F230</f>
        <v>0</v>
      </c>
      <c r="AZ230" s="56">
        <f>AJ230*$F230</f>
        <v>0</v>
      </c>
    </row>
    <row r="231" spans="2:52" ht="25.5">
      <c r="B231" s="60"/>
      <c r="C231" s="57" t="s">
        <v>79</v>
      </c>
      <c r="D231" s="58"/>
      <c r="E231" s="58"/>
      <c r="F231" s="535"/>
      <c r="G231" s="693" t="s">
        <v>1149</v>
      </c>
      <c r="H231" s="65"/>
      <c r="I231" s="65"/>
      <c r="J231" s="65"/>
      <c r="K231" s="65"/>
      <c r="L231" s="65"/>
      <c r="M231" s="65"/>
      <c r="N231" s="65"/>
      <c r="O231" s="65"/>
      <c r="P231" s="29"/>
      <c r="Q231" s="597"/>
      <c r="R231" s="61"/>
      <c r="T231" s="43">
        <f>SUM(AC231,AK231,AS231)</f>
        <v>0</v>
      </c>
      <c r="U231" s="43">
        <f>SUM(AD231,AL231,AT231)</f>
        <v>0</v>
      </c>
      <c r="V231" s="43">
        <f>SUM(AE231,AM231,AU231)</f>
        <v>0</v>
      </c>
      <c r="W231" s="43">
        <f>SUM(AF231,AN231,AV231)</f>
        <v>0</v>
      </c>
      <c r="X231" s="43">
        <f>SUM(AG231,AO231,AW231)</f>
        <v>0</v>
      </c>
      <c r="Y231" s="43">
        <f>SUM(AH231,AP231,AX231)</f>
        <v>0</v>
      </c>
      <c r="Z231" s="43">
        <f>SUM(AI231,AQ231,AY231)</f>
        <v>0</v>
      </c>
      <c r="AA231" s="43">
        <f>SUM(AJ231,AR231,AZ231)</f>
        <v>0</v>
      </c>
      <c r="AC231" s="631">
        <f>SUM($D231:$E231)*H231</f>
        <v>0</v>
      </c>
      <c r="AD231" s="631">
        <f>SUM($D231:$E231)*I231</f>
        <v>0</v>
      </c>
      <c r="AE231" s="631">
        <f>SUM($D231:$E231)*J231</f>
        <v>0</v>
      </c>
      <c r="AF231" s="631">
        <f>SUM($D231:$E231)*K231</f>
        <v>0</v>
      </c>
      <c r="AG231" s="631">
        <f>SUM($D231:$E231)*L231</f>
        <v>0</v>
      </c>
      <c r="AH231" s="631">
        <f>SUM($D231:$E231)*M231</f>
        <v>0</v>
      </c>
      <c r="AI231" s="631">
        <f>SUM($D231:$E231)*N231</f>
        <v>0</v>
      </c>
      <c r="AJ231" s="631">
        <f>SUM($D231:$E231)*O231</f>
        <v>0</v>
      </c>
      <c r="AK231" s="56">
        <f>IF($G231="",0,IF(NOT(OR($G231="A - All employees not in groups B, C, J, H, M or Z",$G231="B - Married women and widows entitled to reduced NI",$G231="C - Over the State Pension age",$G231="H - Apprentice under 25",$G231="J – Deferment",$G231="M - Under 21",$G231="Z - Deferment (Under 21)",$G231="Please Enter The NI Cont. in ££££")),$G231,SUM(MAX(MIN(AC231-'Input Data'!$BG$3,'Input Data'!$BG$5-'Input Data'!$BG$3),0)*VLOOKUP($G231,'Input Data'!$BI$3:$BL$10,2,FALSE),MAX(MIN(AC231-'Input Data'!$BG$5,IF(OR($G231="M (under 21)",$G231="Z (under 21 - deferment)"),'Input Data'!$BG$6,IF($G231="H (Apprentice under 25)",'Input Data'!$BG$7,'Input Data'!$BG$8))-'Input Data'!$BG$5),0)*VLOOKUP($G231,'Input Data'!$BI$3:$BL$10,3,FALSE),MAX((AC231-IF(OR($G231="M (under 21)",$G231="Z (under 21 - deferment)"),'Input Data'!$BG$6,IF($G231="H (Apprentice under 25)",'Input Data'!$BG$7,'Input Data'!$BG$8))),0)*VLOOKUP($G231,'Input Data'!$BI$3:$BL$10,4,FALSE))))</f>
        <v>0</v>
      </c>
      <c r="AL231" s="56">
        <f>IF($G231="",0,IF(NOT(OR($G231="A - All employees not in groups B, C, J, H, M or Z",$G231="B - Married women and widows entitled to reduced NI",$G231="C - Over the State Pension age",$G231="H - Apprentice under 25",$G231="J – Deferment",$G231="M - Under 21",$G231="Z - Deferment (Under 21)",$G231="Please Enter The NI Cont. in ££££")),$G231,SUM(MAX(MIN(AD231-'Input Data'!$BG$3,'Input Data'!$BG$5-'Input Data'!$BG$3),0)*VLOOKUP($G231,'Input Data'!$BI$3:$BL$10,2,FALSE),MAX(MIN(AD231-'Input Data'!$BG$5,IF(OR($G231="M (under 21)",$G231="Z (under 21 - deferment)"),'Input Data'!$BG$6,IF($G231="H (Apprentice under 25)",'Input Data'!$BG$7,'Input Data'!$BG$8))-'Input Data'!$BG$5),0)*VLOOKUP($G231,'Input Data'!$BI$3:$BL$10,3,FALSE),MAX((AD231-IF(OR($G231="M (under 21)",$G231="Z (under 21 - deferment)"),'Input Data'!$BG$6,IF($G231="H (Apprentice under 25)",'Input Data'!$BG$7,'Input Data'!$BG$8))),0)*VLOOKUP($G231,'Input Data'!$BI$3:$BL$10,4,FALSE))))</f>
        <v>0</v>
      </c>
      <c r="AM231" s="56">
        <f>IF($G231="",0,IF(NOT(OR($G231="A - All employees not in groups B, C, J, H, M or Z",$G231="B - Married women and widows entitled to reduced NI",$G231="C - Over the State Pension age",$G231="H - Apprentice under 25",$G231="J – Deferment",$G231="M - Under 21",$G231="Z - Deferment (Under 21)",$G231="Please Enter The NI Cont. in ££££")),$G231,SUM(MAX(MIN(AE231-'Input Data'!$BG$3,'Input Data'!$BG$5-'Input Data'!$BG$3),0)*VLOOKUP($G231,'Input Data'!$BI$3:$BL$10,2,FALSE),MAX(MIN(AE231-'Input Data'!$BG$5,IF(OR($G231="M (under 21)",$G231="Z (under 21 - deferment)"),'Input Data'!$BG$6,IF($G231="H (Apprentice under 25)",'Input Data'!$BG$7,'Input Data'!$BG$8))-'Input Data'!$BG$5),0)*VLOOKUP($G231,'Input Data'!$BI$3:$BL$10,3,FALSE),MAX((AE231-IF(OR($G231="M (under 21)",$G231="Z (under 21 - deferment)"),'Input Data'!$BG$6,IF($G231="H (Apprentice under 25)",'Input Data'!$BG$7,'Input Data'!$BG$8))),0)*VLOOKUP($G231,'Input Data'!$BI$3:$BL$10,4,FALSE))))</f>
        <v>0</v>
      </c>
      <c r="AN231" s="56">
        <f>IF($G231="",0,IF(NOT(OR($G231="A - All employees not in groups B, C, J, H, M or Z",$G231="B - Married women and widows entitled to reduced NI",$G231="C - Over the State Pension age",$G231="H - Apprentice under 25",$G231="J – Deferment",$G231="M - Under 21",$G231="Z - Deferment (Under 21)",$G231="Please Enter The NI Cont. in ££££")),$G231,SUM(MAX(MIN(AF231-'Input Data'!$BG$3,'Input Data'!$BG$5-'Input Data'!$BG$3),0)*VLOOKUP($G231,'Input Data'!$BI$3:$BL$10,2,FALSE),MAX(MIN(AF231-'Input Data'!$BG$5,IF(OR($G231="M (under 21)",$G231="Z (under 21 - deferment)"),'Input Data'!$BG$6,IF($G231="H (Apprentice under 25)",'Input Data'!$BG$7,'Input Data'!$BG$8))-'Input Data'!$BG$5),0)*VLOOKUP($G231,'Input Data'!$BI$3:$BL$10,3,FALSE),MAX((AF231-IF(OR($G231="M (under 21)",$G231="Z (under 21 - deferment)"),'Input Data'!$BG$6,IF($G231="H (Apprentice under 25)",'Input Data'!$BG$7,'Input Data'!$BG$8))),0)*VLOOKUP($G231,'Input Data'!$BI$3:$BL$10,4,FALSE))))</f>
        <v>0</v>
      </c>
      <c r="AO231" s="56">
        <f>IF($G231="",0,IF(NOT(OR($G231="A - All employees not in groups B, C, J, H, M or Z",$G231="B - Married women and widows entitled to reduced NI",$G231="C - Over the State Pension age",$G231="H - Apprentice under 25",$G231="J – Deferment",$G231="M - Under 21",$G231="Z - Deferment (Under 21)",$G231="Please Enter The NI Cont. in ££££")),$G231,SUM(MAX(MIN(AG231-'Input Data'!$BG$3,'Input Data'!$BG$5-'Input Data'!$BG$3),0)*VLOOKUP($G231,'Input Data'!$BI$3:$BL$10,2,FALSE),MAX(MIN(AG231-'Input Data'!$BG$5,IF(OR($G231="M (under 21)",$G231="Z (under 21 - deferment)"),'Input Data'!$BG$6,IF($G231="H (Apprentice under 25)",'Input Data'!$BG$7,'Input Data'!$BG$8))-'Input Data'!$BG$5),0)*VLOOKUP($G231,'Input Data'!$BI$3:$BL$10,3,FALSE),MAX((AG231-IF(OR($G231="M (under 21)",$G231="Z (under 21 - deferment)"),'Input Data'!$BG$6,IF($G231="H (Apprentice under 25)",'Input Data'!$BG$7,'Input Data'!$BG$8))),0)*VLOOKUP($G231,'Input Data'!$BI$3:$BL$10,4,FALSE))))</f>
        <v>0</v>
      </c>
      <c r="AP231" s="56">
        <f>IF($G231="",0,IF(NOT(OR($G231="A - All employees not in groups B, C, J, H, M or Z",$G231="B - Married women and widows entitled to reduced NI",$G231="C - Over the State Pension age",$G231="H - Apprentice under 25",$G231="J – Deferment",$G231="M - Under 21",$G231="Z - Deferment (Under 21)",$G231="Please Enter The NI Cont. in ££££")),$G231,SUM(MAX(MIN(AH231-'Input Data'!$BG$3,'Input Data'!$BG$5-'Input Data'!$BG$3),0)*VLOOKUP($G231,'Input Data'!$BI$3:$BL$10,2,FALSE),MAX(MIN(AH231-'Input Data'!$BG$5,IF(OR($G231="M (under 21)",$G231="Z (under 21 - deferment)"),'Input Data'!$BG$6,IF($G231="H (Apprentice under 25)",'Input Data'!$BG$7,'Input Data'!$BG$8))-'Input Data'!$BG$5),0)*VLOOKUP($G231,'Input Data'!$BI$3:$BL$10,3,FALSE),MAX((AH231-IF(OR($G231="M (under 21)",$G231="Z (under 21 - deferment)"),'Input Data'!$BG$6,IF($G231="H (Apprentice under 25)",'Input Data'!$BG$7,'Input Data'!$BG$8))),0)*VLOOKUP($G231,'Input Data'!$BI$3:$BL$10,4,FALSE))))</f>
        <v>0</v>
      </c>
      <c r="AQ231" s="56">
        <f>IF($G231="",0,IF(NOT(OR($G231="A - All employees not in groups B, C, J, H, M or Z",$G231="B - Married women and widows entitled to reduced NI",$G231="C - Over the State Pension age",$G231="H - Apprentice under 25",$G231="J – Deferment",$G231="M - Under 21",$G231="Z - Deferment (Under 21)",$G231="Please Enter The NI Cont. in ££££")),$G231,SUM(MAX(MIN(AI231-'Input Data'!$BG$3,'Input Data'!$BG$5-'Input Data'!$BG$3),0)*VLOOKUP($G231,'Input Data'!$BI$3:$BL$10,2,FALSE),MAX(MIN(AI231-'Input Data'!$BG$5,IF(OR($G231="M (under 21)",$G231="Z (under 21 - deferment)"),'Input Data'!$BG$6,IF($G231="H (Apprentice under 25)",'Input Data'!$BG$7,'Input Data'!$BG$8))-'Input Data'!$BG$5),0)*VLOOKUP($G231,'Input Data'!$BI$3:$BL$10,3,FALSE),MAX((AI231-IF(OR($G231="M (under 21)",$G231="Z (under 21 - deferment)"),'Input Data'!$BG$6,IF($G231="H (Apprentice under 25)",'Input Data'!$BG$7,'Input Data'!$BG$8))),0)*VLOOKUP($G231,'Input Data'!$BI$3:$BL$10,4,FALSE))))</f>
        <v>0</v>
      </c>
      <c r="AR231" s="56">
        <f>IF($G231="",0,IF(NOT(OR($G231="A - All employees not in groups B, C, J, H, M or Z",$G231="B - Married women and widows entitled to reduced NI",$G231="C - Over the State Pension age",$G231="H - Apprentice under 25",$G231="J – Deferment",$G231="M - Under 21",$G231="Z - Deferment (Under 21)",$G231="Please Enter The NI Cont. in ££££")),$G231,SUM(MAX(MIN(AJ231-'Input Data'!$BG$3,'Input Data'!$BG$5-'Input Data'!$BG$3),0)*VLOOKUP($G231,'Input Data'!$BI$3:$BL$10,2,FALSE),MAX(MIN(AJ231-'Input Data'!$BG$5,IF(OR($G231="M (under 21)",$G231="Z (under 21 - deferment)"),'Input Data'!$BG$6,IF($G231="H (Apprentice under 25)",'Input Data'!$BG$7,'Input Data'!$BG$8))-'Input Data'!$BG$5),0)*VLOOKUP($G231,'Input Data'!$BI$3:$BL$10,3,FALSE),MAX((AJ231-IF(OR($G231="M (under 21)",$G231="Z (under 21 - deferment)"),'Input Data'!$BG$6,IF($G231="H (Apprentice under 25)",'Input Data'!$BG$7,'Input Data'!$BG$8))),0)*VLOOKUP($G231,'Input Data'!$BI$3:$BL$10,4,FALSE))))</f>
        <v>0</v>
      </c>
      <c r="AS231" s="56">
        <f>AC231*$F231</f>
        <v>0</v>
      </c>
      <c r="AT231" s="56">
        <f>AD231*$F231</f>
        <v>0</v>
      </c>
      <c r="AU231" s="56">
        <f>AE231*$F231</f>
        <v>0</v>
      </c>
      <c r="AV231" s="56">
        <f>AF231*$F231</f>
        <v>0</v>
      </c>
      <c r="AW231" s="56">
        <f>AG231*$F231</f>
        <v>0</v>
      </c>
      <c r="AX231" s="56">
        <f>AH231*$F231</f>
        <v>0</v>
      </c>
      <c r="AY231" s="56">
        <f>AI231*$F231</f>
        <v>0</v>
      </c>
      <c r="AZ231" s="56">
        <f>AJ231*$F231</f>
        <v>0</v>
      </c>
    </row>
    <row r="232" spans="2:52" ht="25.5">
      <c r="B232" s="60"/>
      <c r="C232" s="57" t="s">
        <v>80</v>
      </c>
      <c r="D232" s="58"/>
      <c r="E232" s="58"/>
      <c r="F232" s="535"/>
      <c r="G232" s="693" t="s">
        <v>1149</v>
      </c>
      <c r="H232" s="65"/>
      <c r="I232" s="65"/>
      <c r="J232" s="65"/>
      <c r="K232" s="65"/>
      <c r="L232" s="65"/>
      <c r="M232" s="65"/>
      <c r="N232" s="65"/>
      <c r="O232" s="65"/>
      <c r="P232" s="29"/>
      <c r="Q232" s="597"/>
      <c r="R232" s="61"/>
      <c r="T232" s="43">
        <f>SUM(AC232,AK232,AS232)</f>
        <v>0</v>
      </c>
      <c r="U232" s="43">
        <f>SUM(AD232,AL232,AT232)</f>
        <v>0</v>
      </c>
      <c r="V232" s="43">
        <f>SUM(AE232,AM232,AU232)</f>
        <v>0</v>
      </c>
      <c r="W232" s="43">
        <f>SUM(AF232,AN232,AV232)</f>
        <v>0</v>
      </c>
      <c r="X232" s="43">
        <f>SUM(AG232,AO232,AW232)</f>
        <v>0</v>
      </c>
      <c r="Y232" s="43">
        <f>SUM(AH232,AP232,AX232)</f>
        <v>0</v>
      </c>
      <c r="Z232" s="43">
        <f>SUM(AI232,AQ232,AY232)</f>
        <v>0</v>
      </c>
      <c r="AA232" s="43">
        <f>SUM(AJ232,AR232,AZ232)</f>
        <v>0</v>
      </c>
      <c r="AC232" s="631">
        <f>SUM($D232:$E232)*H232</f>
        <v>0</v>
      </c>
      <c r="AD232" s="631">
        <f>SUM($D232:$E232)*I232</f>
        <v>0</v>
      </c>
      <c r="AE232" s="631">
        <f>SUM($D232:$E232)*J232</f>
        <v>0</v>
      </c>
      <c r="AF232" s="631">
        <f>SUM($D232:$E232)*K232</f>
        <v>0</v>
      </c>
      <c r="AG232" s="631">
        <f>SUM($D232:$E232)*L232</f>
        <v>0</v>
      </c>
      <c r="AH232" s="631">
        <f>SUM($D232:$E232)*M232</f>
        <v>0</v>
      </c>
      <c r="AI232" s="631">
        <f>SUM($D232:$E232)*N232</f>
        <v>0</v>
      </c>
      <c r="AJ232" s="631">
        <f>SUM($D232:$E232)*O232</f>
        <v>0</v>
      </c>
      <c r="AK232" s="56">
        <f>IF($G232="",0,IF(NOT(OR($G232="A - All employees not in groups B, C, J, H, M or Z",$G232="B - Married women and widows entitled to reduced NI",$G232="C - Over the State Pension age",$G232="H - Apprentice under 25",$G232="J – Deferment",$G232="M - Under 21",$G232="Z - Deferment (Under 21)",$G232="Please Enter The NI Cont. in ££££")),$G232,SUM(MAX(MIN(AC232-'Input Data'!$BG$3,'Input Data'!$BG$5-'Input Data'!$BG$3),0)*VLOOKUP($G232,'Input Data'!$BI$3:$BL$10,2,FALSE),MAX(MIN(AC232-'Input Data'!$BG$5,IF(OR($G232="M (under 21)",$G232="Z (under 21 - deferment)"),'Input Data'!$BG$6,IF($G232="H (Apprentice under 25)",'Input Data'!$BG$7,'Input Data'!$BG$8))-'Input Data'!$BG$5),0)*VLOOKUP($G232,'Input Data'!$BI$3:$BL$10,3,FALSE),MAX((AC232-IF(OR($G232="M (under 21)",$G232="Z (under 21 - deferment)"),'Input Data'!$BG$6,IF($G232="H (Apprentice under 25)",'Input Data'!$BG$7,'Input Data'!$BG$8))),0)*VLOOKUP($G232,'Input Data'!$BI$3:$BL$10,4,FALSE))))</f>
        <v>0</v>
      </c>
      <c r="AL232" s="56">
        <f>IF($G232="",0,IF(NOT(OR($G232="A - All employees not in groups B, C, J, H, M or Z",$G232="B - Married women and widows entitled to reduced NI",$G232="C - Over the State Pension age",$G232="H - Apprentice under 25",$G232="J – Deferment",$G232="M - Under 21",$G232="Z - Deferment (Under 21)",$G232="Please Enter The NI Cont. in ££££")),$G232,SUM(MAX(MIN(AD232-'Input Data'!$BG$3,'Input Data'!$BG$5-'Input Data'!$BG$3),0)*VLOOKUP($G232,'Input Data'!$BI$3:$BL$10,2,FALSE),MAX(MIN(AD232-'Input Data'!$BG$5,IF(OR($G232="M (under 21)",$G232="Z (under 21 - deferment)"),'Input Data'!$BG$6,IF($G232="H (Apprentice under 25)",'Input Data'!$BG$7,'Input Data'!$BG$8))-'Input Data'!$BG$5),0)*VLOOKUP($G232,'Input Data'!$BI$3:$BL$10,3,FALSE),MAX((AD232-IF(OR($G232="M (under 21)",$G232="Z (under 21 - deferment)"),'Input Data'!$BG$6,IF($G232="H (Apprentice under 25)",'Input Data'!$BG$7,'Input Data'!$BG$8))),0)*VLOOKUP($G232,'Input Data'!$BI$3:$BL$10,4,FALSE))))</f>
        <v>0</v>
      </c>
      <c r="AM232" s="56">
        <f>IF($G232="",0,IF(NOT(OR($G232="A - All employees not in groups B, C, J, H, M or Z",$G232="B - Married women and widows entitled to reduced NI",$G232="C - Over the State Pension age",$G232="H - Apprentice under 25",$G232="J – Deferment",$G232="M - Under 21",$G232="Z - Deferment (Under 21)",$G232="Please Enter The NI Cont. in ££££")),$G232,SUM(MAX(MIN(AE232-'Input Data'!$BG$3,'Input Data'!$BG$5-'Input Data'!$BG$3),0)*VLOOKUP($G232,'Input Data'!$BI$3:$BL$10,2,FALSE),MAX(MIN(AE232-'Input Data'!$BG$5,IF(OR($G232="M (under 21)",$G232="Z (under 21 - deferment)"),'Input Data'!$BG$6,IF($G232="H (Apprentice under 25)",'Input Data'!$BG$7,'Input Data'!$BG$8))-'Input Data'!$BG$5),0)*VLOOKUP($G232,'Input Data'!$BI$3:$BL$10,3,FALSE),MAX((AE232-IF(OR($G232="M (under 21)",$G232="Z (under 21 - deferment)"),'Input Data'!$BG$6,IF($G232="H (Apprentice under 25)",'Input Data'!$BG$7,'Input Data'!$BG$8))),0)*VLOOKUP($G232,'Input Data'!$BI$3:$BL$10,4,FALSE))))</f>
        <v>0</v>
      </c>
      <c r="AN232" s="56">
        <f>IF($G232="",0,IF(NOT(OR($G232="A - All employees not in groups B, C, J, H, M or Z",$G232="B - Married women and widows entitled to reduced NI",$G232="C - Over the State Pension age",$G232="H - Apprentice under 25",$G232="J – Deferment",$G232="M - Under 21",$G232="Z - Deferment (Under 21)",$G232="Please Enter The NI Cont. in ££££")),$G232,SUM(MAX(MIN(AF232-'Input Data'!$BG$3,'Input Data'!$BG$5-'Input Data'!$BG$3),0)*VLOOKUP($G232,'Input Data'!$BI$3:$BL$10,2,FALSE),MAX(MIN(AF232-'Input Data'!$BG$5,IF(OR($G232="M (under 21)",$G232="Z (under 21 - deferment)"),'Input Data'!$BG$6,IF($G232="H (Apprentice under 25)",'Input Data'!$BG$7,'Input Data'!$BG$8))-'Input Data'!$BG$5),0)*VLOOKUP($G232,'Input Data'!$BI$3:$BL$10,3,FALSE),MAX((AF232-IF(OR($G232="M (under 21)",$G232="Z (under 21 - deferment)"),'Input Data'!$BG$6,IF($G232="H (Apprentice under 25)",'Input Data'!$BG$7,'Input Data'!$BG$8))),0)*VLOOKUP($G232,'Input Data'!$BI$3:$BL$10,4,FALSE))))</f>
        <v>0</v>
      </c>
      <c r="AO232" s="56">
        <f>IF($G232="",0,IF(NOT(OR($G232="A - All employees not in groups B, C, J, H, M or Z",$G232="B - Married women and widows entitled to reduced NI",$G232="C - Over the State Pension age",$G232="H - Apprentice under 25",$G232="J – Deferment",$G232="M - Under 21",$G232="Z - Deferment (Under 21)",$G232="Please Enter The NI Cont. in ££££")),$G232,SUM(MAX(MIN(AG232-'Input Data'!$BG$3,'Input Data'!$BG$5-'Input Data'!$BG$3),0)*VLOOKUP($G232,'Input Data'!$BI$3:$BL$10,2,FALSE),MAX(MIN(AG232-'Input Data'!$BG$5,IF(OR($G232="M (under 21)",$G232="Z (under 21 - deferment)"),'Input Data'!$BG$6,IF($G232="H (Apprentice under 25)",'Input Data'!$BG$7,'Input Data'!$BG$8))-'Input Data'!$BG$5),0)*VLOOKUP($G232,'Input Data'!$BI$3:$BL$10,3,FALSE),MAX((AG232-IF(OR($G232="M (under 21)",$G232="Z (under 21 - deferment)"),'Input Data'!$BG$6,IF($G232="H (Apprentice under 25)",'Input Data'!$BG$7,'Input Data'!$BG$8))),0)*VLOOKUP($G232,'Input Data'!$BI$3:$BL$10,4,FALSE))))</f>
        <v>0</v>
      </c>
      <c r="AP232" s="56">
        <f>IF($G232="",0,IF(NOT(OR($G232="A - All employees not in groups B, C, J, H, M or Z",$G232="B - Married women and widows entitled to reduced NI",$G232="C - Over the State Pension age",$G232="H - Apprentice under 25",$G232="J – Deferment",$G232="M - Under 21",$G232="Z - Deferment (Under 21)",$G232="Please Enter The NI Cont. in ££££")),$G232,SUM(MAX(MIN(AH232-'Input Data'!$BG$3,'Input Data'!$BG$5-'Input Data'!$BG$3),0)*VLOOKUP($G232,'Input Data'!$BI$3:$BL$10,2,FALSE),MAX(MIN(AH232-'Input Data'!$BG$5,IF(OR($G232="M (under 21)",$G232="Z (under 21 - deferment)"),'Input Data'!$BG$6,IF($G232="H (Apprentice under 25)",'Input Data'!$BG$7,'Input Data'!$BG$8))-'Input Data'!$BG$5),0)*VLOOKUP($G232,'Input Data'!$BI$3:$BL$10,3,FALSE),MAX((AH232-IF(OR($G232="M (under 21)",$G232="Z (under 21 - deferment)"),'Input Data'!$BG$6,IF($G232="H (Apprentice under 25)",'Input Data'!$BG$7,'Input Data'!$BG$8))),0)*VLOOKUP($G232,'Input Data'!$BI$3:$BL$10,4,FALSE))))</f>
        <v>0</v>
      </c>
      <c r="AQ232" s="56">
        <f>IF($G232="",0,IF(NOT(OR($G232="A - All employees not in groups B, C, J, H, M or Z",$G232="B - Married women and widows entitled to reduced NI",$G232="C - Over the State Pension age",$G232="H - Apprentice under 25",$G232="J – Deferment",$G232="M - Under 21",$G232="Z - Deferment (Under 21)",$G232="Please Enter The NI Cont. in ££££")),$G232,SUM(MAX(MIN(AI232-'Input Data'!$BG$3,'Input Data'!$BG$5-'Input Data'!$BG$3),0)*VLOOKUP($G232,'Input Data'!$BI$3:$BL$10,2,FALSE),MAX(MIN(AI232-'Input Data'!$BG$5,IF(OR($G232="M (under 21)",$G232="Z (under 21 - deferment)"),'Input Data'!$BG$6,IF($G232="H (Apprentice under 25)",'Input Data'!$BG$7,'Input Data'!$BG$8))-'Input Data'!$BG$5),0)*VLOOKUP($G232,'Input Data'!$BI$3:$BL$10,3,FALSE),MAX((AI232-IF(OR($G232="M (under 21)",$G232="Z (under 21 - deferment)"),'Input Data'!$BG$6,IF($G232="H (Apprentice under 25)",'Input Data'!$BG$7,'Input Data'!$BG$8))),0)*VLOOKUP($G232,'Input Data'!$BI$3:$BL$10,4,FALSE))))</f>
        <v>0</v>
      </c>
      <c r="AR232" s="56">
        <f>IF($G232="",0,IF(NOT(OR($G232="A - All employees not in groups B, C, J, H, M or Z",$G232="B - Married women and widows entitled to reduced NI",$G232="C - Over the State Pension age",$G232="H - Apprentice under 25",$G232="J – Deferment",$G232="M - Under 21",$G232="Z - Deferment (Under 21)",$G232="Please Enter The NI Cont. in ££££")),$G232,SUM(MAX(MIN(AJ232-'Input Data'!$BG$3,'Input Data'!$BG$5-'Input Data'!$BG$3),0)*VLOOKUP($G232,'Input Data'!$BI$3:$BL$10,2,FALSE),MAX(MIN(AJ232-'Input Data'!$BG$5,IF(OR($G232="M (under 21)",$G232="Z (under 21 - deferment)"),'Input Data'!$BG$6,IF($G232="H (Apprentice under 25)",'Input Data'!$BG$7,'Input Data'!$BG$8))-'Input Data'!$BG$5),0)*VLOOKUP($G232,'Input Data'!$BI$3:$BL$10,3,FALSE),MAX((AJ232-IF(OR($G232="M (under 21)",$G232="Z (under 21 - deferment)"),'Input Data'!$BG$6,IF($G232="H (Apprentice under 25)",'Input Data'!$BG$7,'Input Data'!$BG$8))),0)*VLOOKUP($G232,'Input Data'!$BI$3:$BL$10,4,FALSE))))</f>
        <v>0</v>
      </c>
      <c r="AS232" s="56">
        <f>AC232*$F232</f>
        <v>0</v>
      </c>
      <c r="AT232" s="56">
        <f>AD232*$F232</f>
        <v>0</v>
      </c>
      <c r="AU232" s="56">
        <f>AE232*$F232</f>
        <v>0</v>
      </c>
      <c r="AV232" s="56">
        <f>AF232*$F232</f>
        <v>0</v>
      </c>
      <c r="AW232" s="56">
        <f>AG232*$F232</f>
        <v>0</v>
      </c>
      <c r="AX232" s="56">
        <f>AH232*$F232</f>
        <v>0</v>
      </c>
      <c r="AY232" s="56">
        <f>AI232*$F232</f>
        <v>0</v>
      </c>
      <c r="AZ232" s="56">
        <f>AJ232*$F232</f>
        <v>0</v>
      </c>
    </row>
    <row r="233" spans="2:52" ht="25.5">
      <c r="B233" s="60"/>
      <c r="C233" s="57" t="s">
        <v>81</v>
      </c>
      <c r="D233" s="58"/>
      <c r="E233" s="58"/>
      <c r="F233" s="535"/>
      <c r="G233" s="693" t="s">
        <v>1149</v>
      </c>
      <c r="H233" s="65"/>
      <c r="I233" s="65"/>
      <c r="J233" s="65"/>
      <c r="K233" s="65"/>
      <c r="L233" s="65"/>
      <c r="M233" s="65"/>
      <c r="N233" s="65"/>
      <c r="O233" s="65"/>
      <c r="P233" s="29"/>
      <c r="Q233" s="597"/>
      <c r="R233" s="61"/>
      <c r="T233" s="43">
        <f>SUM(AC233,AK233,AS233)</f>
        <v>0</v>
      </c>
      <c r="U233" s="43">
        <f>SUM(AD233,AL233,AT233)</f>
        <v>0</v>
      </c>
      <c r="V233" s="43">
        <f>SUM(AE233,AM233,AU233)</f>
        <v>0</v>
      </c>
      <c r="W233" s="43">
        <f>SUM(AF233,AN233,AV233)</f>
        <v>0</v>
      </c>
      <c r="X233" s="43">
        <f>SUM(AG233,AO233,AW233)</f>
        <v>0</v>
      </c>
      <c r="Y233" s="43">
        <f>SUM(AH233,AP233,AX233)</f>
        <v>0</v>
      </c>
      <c r="Z233" s="43">
        <f>SUM(AI233,AQ233,AY233)</f>
        <v>0</v>
      </c>
      <c r="AA233" s="43">
        <f>SUM(AJ233,AR233,AZ233)</f>
        <v>0</v>
      </c>
      <c r="AC233" s="631">
        <f>SUM($D233:$E233)*H233</f>
        <v>0</v>
      </c>
      <c r="AD233" s="631">
        <f>SUM($D233:$E233)*I233</f>
        <v>0</v>
      </c>
      <c r="AE233" s="631">
        <f>SUM($D233:$E233)*J233</f>
        <v>0</v>
      </c>
      <c r="AF233" s="631">
        <f>SUM($D233:$E233)*K233</f>
        <v>0</v>
      </c>
      <c r="AG233" s="631">
        <f>SUM($D233:$E233)*L233</f>
        <v>0</v>
      </c>
      <c r="AH233" s="631">
        <f>SUM($D233:$E233)*M233</f>
        <v>0</v>
      </c>
      <c r="AI233" s="631">
        <f>SUM($D233:$E233)*N233</f>
        <v>0</v>
      </c>
      <c r="AJ233" s="631">
        <f>SUM($D233:$E233)*O233</f>
        <v>0</v>
      </c>
      <c r="AK233" s="56">
        <f>IF($G233="",0,IF(NOT(OR($G233="A - All employees not in groups B, C, J, H, M or Z",$G233="B - Married women and widows entitled to reduced NI",$G233="C - Over the State Pension age",$G233="H - Apprentice under 25",$G233="J – Deferment",$G233="M - Under 21",$G233="Z - Deferment (Under 21)",$G233="Please Enter The NI Cont. in ££££")),$G233,SUM(MAX(MIN(AC233-'Input Data'!$BG$3,'Input Data'!$BG$5-'Input Data'!$BG$3),0)*VLOOKUP($G233,'Input Data'!$BI$3:$BL$10,2,FALSE),MAX(MIN(AC233-'Input Data'!$BG$5,IF(OR($G233="M (under 21)",$G233="Z (under 21 - deferment)"),'Input Data'!$BG$6,IF($G233="H (Apprentice under 25)",'Input Data'!$BG$7,'Input Data'!$BG$8))-'Input Data'!$BG$5),0)*VLOOKUP($G233,'Input Data'!$BI$3:$BL$10,3,FALSE),MAX((AC233-IF(OR($G233="M (under 21)",$G233="Z (under 21 - deferment)"),'Input Data'!$BG$6,IF($G233="H (Apprentice under 25)",'Input Data'!$BG$7,'Input Data'!$BG$8))),0)*VLOOKUP($G233,'Input Data'!$BI$3:$BL$10,4,FALSE))))</f>
        <v>0</v>
      </c>
      <c r="AL233" s="56">
        <f>IF($G233="",0,IF(NOT(OR($G233="A - All employees not in groups B, C, J, H, M or Z",$G233="B - Married women and widows entitled to reduced NI",$G233="C - Over the State Pension age",$G233="H - Apprentice under 25",$G233="J – Deferment",$G233="M - Under 21",$G233="Z - Deferment (Under 21)",$G233="Please Enter The NI Cont. in ££££")),$G233,SUM(MAX(MIN(AD233-'Input Data'!$BG$3,'Input Data'!$BG$5-'Input Data'!$BG$3),0)*VLOOKUP($G233,'Input Data'!$BI$3:$BL$10,2,FALSE),MAX(MIN(AD233-'Input Data'!$BG$5,IF(OR($G233="M (under 21)",$G233="Z (under 21 - deferment)"),'Input Data'!$BG$6,IF($G233="H (Apprentice under 25)",'Input Data'!$BG$7,'Input Data'!$BG$8))-'Input Data'!$BG$5),0)*VLOOKUP($G233,'Input Data'!$BI$3:$BL$10,3,FALSE),MAX((AD233-IF(OR($G233="M (under 21)",$G233="Z (under 21 - deferment)"),'Input Data'!$BG$6,IF($G233="H (Apprentice under 25)",'Input Data'!$BG$7,'Input Data'!$BG$8))),0)*VLOOKUP($G233,'Input Data'!$BI$3:$BL$10,4,FALSE))))</f>
        <v>0</v>
      </c>
      <c r="AM233" s="56">
        <f>IF($G233="",0,IF(NOT(OR($G233="A - All employees not in groups B, C, J, H, M or Z",$G233="B - Married women and widows entitled to reduced NI",$G233="C - Over the State Pension age",$G233="H - Apprentice under 25",$G233="J – Deferment",$G233="M - Under 21",$G233="Z - Deferment (Under 21)",$G233="Please Enter The NI Cont. in ££££")),$G233,SUM(MAX(MIN(AE233-'Input Data'!$BG$3,'Input Data'!$BG$5-'Input Data'!$BG$3),0)*VLOOKUP($G233,'Input Data'!$BI$3:$BL$10,2,FALSE),MAX(MIN(AE233-'Input Data'!$BG$5,IF(OR($G233="M (under 21)",$G233="Z (under 21 - deferment)"),'Input Data'!$BG$6,IF($G233="H (Apprentice under 25)",'Input Data'!$BG$7,'Input Data'!$BG$8))-'Input Data'!$BG$5),0)*VLOOKUP($G233,'Input Data'!$BI$3:$BL$10,3,FALSE),MAX((AE233-IF(OR($G233="M (under 21)",$G233="Z (under 21 - deferment)"),'Input Data'!$BG$6,IF($G233="H (Apprentice under 25)",'Input Data'!$BG$7,'Input Data'!$BG$8))),0)*VLOOKUP($G233,'Input Data'!$BI$3:$BL$10,4,FALSE))))</f>
        <v>0</v>
      </c>
      <c r="AN233" s="56">
        <f>IF($G233="",0,IF(NOT(OR($G233="A - All employees not in groups B, C, J, H, M or Z",$G233="B - Married women and widows entitled to reduced NI",$G233="C - Over the State Pension age",$G233="H - Apprentice under 25",$G233="J – Deferment",$G233="M - Under 21",$G233="Z - Deferment (Under 21)",$G233="Please Enter The NI Cont. in ££££")),$G233,SUM(MAX(MIN(AF233-'Input Data'!$BG$3,'Input Data'!$BG$5-'Input Data'!$BG$3),0)*VLOOKUP($G233,'Input Data'!$BI$3:$BL$10,2,FALSE),MAX(MIN(AF233-'Input Data'!$BG$5,IF(OR($G233="M (under 21)",$G233="Z (under 21 - deferment)"),'Input Data'!$BG$6,IF($G233="H (Apprentice under 25)",'Input Data'!$BG$7,'Input Data'!$BG$8))-'Input Data'!$BG$5),0)*VLOOKUP($G233,'Input Data'!$BI$3:$BL$10,3,FALSE),MAX((AF233-IF(OR($G233="M (under 21)",$G233="Z (under 21 - deferment)"),'Input Data'!$BG$6,IF($G233="H (Apprentice under 25)",'Input Data'!$BG$7,'Input Data'!$BG$8))),0)*VLOOKUP($G233,'Input Data'!$BI$3:$BL$10,4,FALSE))))</f>
        <v>0</v>
      </c>
      <c r="AO233" s="56">
        <f>IF($G233="",0,IF(NOT(OR($G233="A - All employees not in groups B, C, J, H, M or Z",$G233="B - Married women and widows entitled to reduced NI",$G233="C - Over the State Pension age",$G233="H - Apprentice under 25",$G233="J – Deferment",$G233="M - Under 21",$G233="Z - Deferment (Under 21)",$G233="Please Enter The NI Cont. in ££££")),$G233,SUM(MAX(MIN(AG233-'Input Data'!$BG$3,'Input Data'!$BG$5-'Input Data'!$BG$3),0)*VLOOKUP($G233,'Input Data'!$BI$3:$BL$10,2,FALSE),MAX(MIN(AG233-'Input Data'!$BG$5,IF(OR($G233="M (under 21)",$G233="Z (under 21 - deferment)"),'Input Data'!$BG$6,IF($G233="H (Apprentice under 25)",'Input Data'!$BG$7,'Input Data'!$BG$8))-'Input Data'!$BG$5),0)*VLOOKUP($G233,'Input Data'!$BI$3:$BL$10,3,FALSE),MAX((AG233-IF(OR($G233="M (under 21)",$G233="Z (under 21 - deferment)"),'Input Data'!$BG$6,IF($G233="H (Apprentice under 25)",'Input Data'!$BG$7,'Input Data'!$BG$8))),0)*VLOOKUP($G233,'Input Data'!$BI$3:$BL$10,4,FALSE))))</f>
        <v>0</v>
      </c>
      <c r="AP233" s="56">
        <f>IF($G233="",0,IF(NOT(OR($G233="A - All employees not in groups B, C, J, H, M or Z",$G233="B - Married women and widows entitled to reduced NI",$G233="C - Over the State Pension age",$G233="H - Apprentice under 25",$G233="J – Deferment",$G233="M - Under 21",$G233="Z - Deferment (Under 21)",$G233="Please Enter The NI Cont. in ££££")),$G233,SUM(MAX(MIN(AH233-'Input Data'!$BG$3,'Input Data'!$BG$5-'Input Data'!$BG$3),0)*VLOOKUP($G233,'Input Data'!$BI$3:$BL$10,2,FALSE),MAX(MIN(AH233-'Input Data'!$BG$5,IF(OR($G233="M (under 21)",$G233="Z (under 21 - deferment)"),'Input Data'!$BG$6,IF($G233="H (Apprentice under 25)",'Input Data'!$BG$7,'Input Data'!$BG$8))-'Input Data'!$BG$5),0)*VLOOKUP($G233,'Input Data'!$BI$3:$BL$10,3,FALSE),MAX((AH233-IF(OR($G233="M (under 21)",$G233="Z (under 21 - deferment)"),'Input Data'!$BG$6,IF($G233="H (Apprentice under 25)",'Input Data'!$BG$7,'Input Data'!$BG$8))),0)*VLOOKUP($G233,'Input Data'!$BI$3:$BL$10,4,FALSE))))</f>
        <v>0</v>
      </c>
      <c r="AQ233" s="56">
        <f>IF($G233="",0,IF(NOT(OR($G233="A - All employees not in groups B, C, J, H, M or Z",$G233="B - Married women and widows entitled to reduced NI",$G233="C - Over the State Pension age",$G233="H - Apprentice under 25",$G233="J – Deferment",$G233="M - Under 21",$G233="Z - Deferment (Under 21)",$G233="Please Enter The NI Cont. in ££££")),$G233,SUM(MAX(MIN(AI233-'Input Data'!$BG$3,'Input Data'!$BG$5-'Input Data'!$BG$3),0)*VLOOKUP($G233,'Input Data'!$BI$3:$BL$10,2,FALSE),MAX(MIN(AI233-'Input Data'!$BG$5,IF(OR($G233="M (under 21)",$G233="Z (under 21 - deferment)"),'Input Data'!$BG$6,IF($G233="H (Apprentice under 25)",'Input Data'!$BG$7,'Input Data'!$BG$8))-'Input Data'!$BG$5),0)*VLOOKUP($G233,'Input Data'!$BI$3:$BL$10,3,FALSE),MAX((AI233-IF(OR($G233="M (under 21)",$G233="Z (under 21 - deferment)"),'Input Data'!$BG$6,IF($G233="H (Apprentice under 25)",'Input Data'!$BG$7,'Input Data'!$BG$8))),0)*VLOOKUP($G233,'Input Data'!$BI$3:$BL$10,4,FALSE))))</f>
        <v>0</v>
      </c>
      <c r="AR233" s="56">
        <f>IF($G233="",0,IF(NOT(OR($G233="A - All employees not in groups B, C, J, H, M or Z",$G233="B - Married women and widows entitled to reduced NI",$G233="C - Over the State Pension age",$G233="H - Apprentice under 25",$G233="J – Deferment",$G233="M - Under 21",$G233="Z - Deferment (Under 21)",$G233="Please Enter The NI Cont. in ££££")),$G233,SUM(MAX(MIN(AJ233-'Input Data'!$BG$3,'Input Data'!$BG$5-'Input Data'!$BG$3),0)*VLOOKUP($G233,'Input Data'!$BI$3:$BL$10,2,FALSE),MAX(MIN(AJ233-'Input Data'!$BG$5,IF(OR($G233="M (under 21)",$G233="Z (under 21 - deferment)"),'Input Data'!$BG$6,IF($G233="H (Apprentice under 25)",'Input Data'!$BG$7,'Input Data'!$BG$8))-'Input Data'!$BG$5),0)*VLOOKUP($G233,'Input Data'!$BI$3:$BL$10,3,FALSE),MAX((AJ233-IF(OR($G233="M (under 21)",$G233="Z (under 21 - deferment)"),'Input Data'!$BG$6,IF($G233="H (Apprentice under 25)",'Input Data'!$BG$7,'Input Data'!$BG$8))),0)*VLOOKUP($G233,'Input Data'!$BI$3:$BL$10,4,FALSE))))</f>
        <v>0</v>
      </c>
      <c r="AS233" s="56">
        <f>AC233*$F233</f>
        <v>0</v>
      </c>
      <c r="AT233" s="56">
        <f>AD233*$F233</f>
        <v>0</v>
      </c>
      <c r="AU233" s="56">
        <f>AE233*$F233</f>
        <v>0</v>
      </c>
      <c r="AV233" s="56">
        <f>AF233*$F233</f>
        <v>0</v>
      </c>
      <c r="AW233" s="56">
        <f>AG233*$F233</f>
        <v>0</v>
      </c>
      <c r="AX233" s="56">
        <f>AH233*$F233</f>
        <v>0</v>
      </c>
      <c r="AY233" s="56">
        <f>AI233*$F233</f>
        <v>0</v>
      </c>
      <c r="AZ233" s="56">
        <f>AJ233*$F233</f>
        <v>0</v>
      </c>
    </row>
    <row r="234" spans="2:52" ht="25.5">
      <c r="B234" s="60"/>
      <c r="C234" s="57" t="s">
        <v>82</v>
      </c>
      <c r="D234" s="58"/>
      <c r="E234" s="58"/>
      <c r="F234" s="535"/>
      <c r="G234" s="693" t="s">
        <v>1149</v>
      </c>
      <c r="H234" s="65"/>
      <c r="I234" s="65"/>
      <c r="J234" s="65"/>
      <c r="K234" s="65"/>
      <c r="L234" s="65"/>
      <c r="M234" s="65"/>
      <c r="N234" s="65"/>
      <c r="O234" s="65"/>
      <c r="P234" s="29"/>
      <c r="Q234" s="597"/>
      <c r="R234" s="61"/>
      <c r="T234" s="43">
        <f>SUM(AC234,AK234,AS234)</f>
        <v>0</v>
      </c>
      <c r="U234" s="43">
        <f>SUM(AD234,AL234,AT234)</f>
        <v>0</v>
      </c>
      <c r="V234" s="43">
        <f>SUM(AE234,AM234,AU234)</f>
        <v>0</v>
      </c>
      <c r="W234" s="43">
        <f>SUM(AF234,AN234,AV234)</f>
        <v>0</v>
      </c>
      <c r="X234" s="43">
        <f>SUM(AG234,AO234,AW234)</f>
        <v>0</v>
      </c>
      <c r="Y234" s="43">
        <f>SUM(AH234,AP234,AX234)</f>
        <v>0</v>
      </c>
      <c r="Z234" s="43">
        <f>SUM(AI234,AQ234,AY234)</f>
        <v>0</v>
      </c>
      <c r="AA234" s="43">
        <f>SUM(AJ234,AR234,AZ234)</f>
        <v>0</v>
      </c>
      <c r="AC234" s="631">
        <f>SUM($D234:$E234)*H234</f>
        <v>0</v>
      </c>
      <c r="AD234" s="631">
        <f>SUM($D234:$E234)*I234</f>
        <v>0</v>
      </c>
      <c r="AE234" s="631">
        <f>SUM($D234:$E234)*J234</f>
        <v>0</v>
      </c>
      <c r="AF234" s="631">
        <f>SUM($D234:$E234)*K234</f>
        <v>0</v>
      </c>
      <c r="AG234" s="631">
        <f>SUM($D234:$E234)*L234</f>
        <v>0</v>
      </c>
      <c r="AH234" s="631">
        <f>SUM($D234:$E234)*M234</f>
        <v>0</v>
      </c>
      <c r="AI234" s="631">
        <f>SUM($D234:$E234)*N234</f>
        <v>0</v>
      </c>
      <c r="AJ234" s="631">
        <f>SUM($D234:$E234)*O234</f>
        <v>0</v>
      </c>
      <c r="AK234" s="56">
        <f>IF($G234="",0,IF(NOT(OR($G234="A - All employees not in groups B, C, J, H, M or Z",$G234="B - Married women and widows entitled to reduced NI",$G234="C - Over the State Pension age",$G234="H - Apprentice under 25",$G234="J – Deferment",$G234="M - Under 21",$G234="Z - Deferment (Under 21)",$G234="Please Enter The NI Cont. in ££££")),$G234,SUM(MAX(MIN(AC234-'Input Data'!$BG$3,'Input Data'!$BG$5-'Input Data'!$BG$3),0)*VLOOKUP($G234,'Input Data'!$BI$3:$BL$10,2,FALSE),MAX(MIN(AC234-'Input Data'!$BG$5,IF(OR($G234="M (under 21)",$G234="Z (under 21 - deferment)"),'Input Data'!$BG$6,IF($G234="H (Apprentice under 25)",'Input Data'!$BG$7,'Input Data'!$BG$8))-'Input Data'!$BG$5),0)*VLOOKUP($G234,'Input Data'!$BI$3:$BL$10,3,FALSE),MAX((AC234-IF(OR($G234="M (under 21)",$G234="Z (under 21 - deferment)"),'Input Data'!$BG$6,IF($G234="H (Apprentice under 25)",'Input Data'!$BG$7,'Input Data'!$BG$8))),0)*VLOOKUP($G234,'Input Data'!$BI$3:$BL$10,4,FALSE))))</f>
        <v>0</v>
      </c>
      <c r="AL234" s="56">
        <f>IF($G234="",0,IF(NOT(OR($G234="A - All employees not in groups B, C, J, H, M or Z",$G234="B - Married women and widows entitled to reduced NI",$G234="C - Over the State Pension age",$G234="H - Apprentice under 25",$G234="J – Deferment",$G234="M - Under 21",$G234="Z - Deferment (Under 21)",$G234="Please Enter The NI Cont. in ££££")),$G234,SUM(MAX(MIN(AD234-'Input Data'!$BG$3,'Input Data'!$BG$5-'Input Data'!$BG$3),0)*VLOOKUP($G234,'Input Data'!$BI$3:$BL$10,2,FALSE),MAX(MIN(AD234-'Input Data'!$BG$5,IF(OR($G234="M (under 21)",$G234="Z (under 21 - deferment)"),'Input Data'!$BG$6,IF($G234="H (Apprentice under 25)",'Input Data'!$BG$7,'Input Data'!$BG$8))-'Input Data'!$BG$5),0)*VLOOKUP($G234,'Input Data'!$BI$3:$BL$10,3,FALSE),MAX((AD234-IF(OR($G234="M (under 21)",$G234="Z (under 21 - deferment)"),'Input Data'!$BG$6,IF($G234="H (Apprentice under 25)",'Input Data'!$BG$7,'Input Data'!$BG$8))),0)*VLOOKUP($G234,'Input Data'!$BI$3:$BL$10,4,FALSE))))</f>
        <v>0</v>
      </c>
      <c r="AM234" s="56">
        <f>IF($G234="",0,IF(NOT(OR($G234="A - All employees not in groups B, C, J, H, M or Z",$G234="B - Married women and widows entitled to reduced NI",$G234="C - Over the State Pension age",$G234="H - Apprentice under 25",$G234="J – Deferment",$G234="M - Under 21",$G234="Z - Deferment (Under 21)",$G234="Please Enter The NI Cont. in ££££")),$G234,SUM(MAX(MIN(AE234-'Input Data'!$BG$3,'Input Data'!$BG$5-'Input Data'!$BG$3),0)*VLOOKUP($G234,'Input Data'!$BI$3:$BL$10,2,FALSE),MAX(MIN(AE234-'Input Data'!$BG$5,IF(OR($G234="M (under 21)",$G234="Z (under 21 - deferment)"),'Input Data'!$BG$6,IF($G234="H (Apprentice under 25)",'Input Data'!$BG$7,'Input Data'!$BG$8))-'Input Data'!$BG$5),0)*VLOOKUP($G234,'Input Data'!$BI$3:$BL$10,3,FALSE),MAX((AE234-IF(OR($G234="M (under 21)",$G234="Z (under 21 - deferment)"),'Input Data'!$BG$6,IF($G234="H (Apprentice under 25)",'Input Data'!$BG$7,'Input Data'!$BG$8))),0)*VLOOKUP($G234,'Input Data'!$BI$3:$BL$10,4,FALSE))))</f>
        <v>0</v>
      </c>
      <c r="AN234" s="56">
        <f>IF($G234="",0,IF(NOT(OR($G234="A - All employees not in groups B, C, J, H, M or Z",$G234="B - Married women and widows entitled to reduced NI",$G234="C - Over the State Pension age",$G234="H - Apprentice under 25",$G234="J – Deferment",$G234="M - Under 21",$G234="Z - Deferment (Under 21)",$G234="Please Enter The NI Cont. in ££££")),$G234,SUM(MAX(MIN(AF234-'Input Data'!$BG$3,'Input Data'!$BG$5-'Input Data'!$BG$3),0)*VLOOKUP($G234,'Input Data'!$BI$3:$BL$10,2,FALSE),MAX(MIN(AF234-'Input Data'!$BG$5,IF(OR($G234="M (under 21)",$G234="Z (under 21 - deferment)"),'Input Data'!$BG$6,IF($G234="H (Apprentice under 25)",'Input Data'!$BG$7,'Input Data'!$BG$8))-'Input Data'!$BG$5),0)*VLOOKUP($G234,'Input Data'!$BI$3:$BL$10,3,FALSE),MAX((AF234-IF(OR($G234="M (under 21)",$G234="Z (under 21 - deferment)"),'Input Data'!$BG$6,IF($G234="H (Apprentice under 25)",'Input Data'!$BG$7,'Input Data'!$BG$8))),0)*VLOOKUP($G234,'Input Data'!$BI$3:$BL$10,4,FALSE))))</f>
        <v>0</v>
      </c>
      <c r="AO234" s="56">
        <f>IF($G234="",0,IF(NOT(OR($G234="A - All employees not in groups B, C, J, H, M or Z",$G234="B - Married women and widows entitled to reduced NI",$G234="C - Over the State Pension age",$G234="H - Apprentice under 25",$G234="J – Deferment",$G234="M - Under 21",$G234="Z - Deferment (Under 21)",$G234="Please Enter The NI Cont. in ££££")),$G234,SUM(MAX(MIN(AG234-'Input Data'!$BG$3,'Input Data'!$BG$5-'Input Data'!$BG$3),0)*VLOOKUP($G234,'Input Data'!$BI$3:$BL$10,2,FALSE),MAX(MIN(AG234-'Input Data'!$BG$5,IF(OR($G234="M (under 21)",$G234="Z (under 21 - deferment)"),'Input Data'!$BG$6,IF($G234="H (Apprentice under 25)",'Input Data'!$BG$7,'Input Data'!$BG$8))-'Input Data'!$BG$5),0)*VLOOKUP($G234,'Input Data'!$BI$3:$BL$10,3,FALSE),MAX((AG234-IF(OR($G234="M (under 21)",$G234="Z (under 21 - deferment)"),'Input Data'!$BG$6,IF($G234="H (Apprentice under 25)",'Input Data'!$BG$7,'Input Data'!$BG$8))),0)*VLOOKUP($G234,'Input Data'!$BI$3:$BL$10,4,FALSE))))</f>
        <v>0</v>
      </c>
      <c r="AP234" s="56">
        <f>IF($G234="",0,IF(NOT(OR($G234="A - All employees not in groups B, C, J, H, M or Z",$G234="B - Married women and widows entitled to reduced NI",$G234="C - Over the State Pension age",$G234="H - Apprentice under 25",$G234="J – Deferment",$G234="M - Under 21",$G234="Z - Deferment (Under 21)",$G234="Please Enter The NI Cont. in ££££")),$G234,SUM(MAX(MIN(AH234-'Input Data'!$BG$3,'Input Data'!$BG$5-'Input Data'!$BG$3),0)*VLOOKUP($G234,'Input Data'!$BI$3:$BL$10,2,FALSE),MAX(MIN(AH234-'Input Data'!$BG$5,IF(OR($G234="M (under 21)",$G234="Z (under 21 - deferment)"),'Input Data'!$BG$6,IF($G234="H (Apprentice under 25)",'Input Data'!$BG$7,'Input Data'!$BG$8))-'Input Data'!$BG$5),0)*VLOOKUP($G234,'Input Data'!$BI$3:$BL$10,3,FALSE),MAX((AH234-IF(OR($G234="M (under 21)",$G234="Z (under 21 - deferment)"),'Input Data'!$BG$6,IF($G234="H (Apprentice under 25)",'Input Data'!$BG$7,'Input Data'!$BG$8))),0)*VLOOKUP($G234,'Input Data'!$BI$3:$BL$10,4,FALSE))))</f>
        <v>0</v>
      </c>
      <c r="AQ234" s="56">
        <f>IF($G234="",0,IF(NOT(OR($G234="A - All employees not in groups B, C, J, H, M or Z",$G234="B - Married women and widows entitled to reduced NI",$G234="C - Over the State Pension age",$G234="H - Apprentice under 25",$G234="J – Deferment",$G234="M - Under 21",$G234="Z - Deferment (Under 21)",$G234="Please Enter The NI Cont. in ££££")),$G234,SUM(MAX(MIN(AI234-'Input Data'!$BG$3,'Input Data'!$BG$5-'Input Data'!$BG$3),0)*VLOOKUP($G234,'Input Data'!$BI$3:$BL$10,2,FALSE),MAX(MIN(AI234-'Input Data'!$BG$5,IF(OR($G234="M (under 21)",$G234="Z (under 21 - deferment)"),'Input Data'!$BG$6,IF($G234="H (Apprentice under 25)",'Input Data'!$BG$7,'Input Data'!$BG$8))-'Input Data'!$BG$5),0)*VLOOKUP($G234,'Input Data'!$BI$3:$BL$10,3,FALSE),MAX((AI234-IF(OR($G234="M (under 21)",$G234="Z (under 21 - deferment)"),'Input Data'!$BG$6,IF($G234="H (Apprentice under 25)",'Input Data'!$BG$7,'Input Data'!$BG$8))),0)*VLOOKUP($G234,'Input Data'!$BI$3:$BL$10,4,FALSE))))</f>
        <v>0</v>
      </c>
      <c r="AR234" s="56">
        <f>IF($G234="",0,IF(NOT(OR($G234="A - All employees not in groups B, C, J, H, M or Z",$G234="B - Married women and widows entitled to reduced NI",$G234="C - Over the State Pension age",$G234="H - Apprentice under 25",$G234="J – Deferment",$G234="M - Under 21",$G234="Z - Deferment (Under 21)",$G234="Please Enter The NI Cont. in ££££")),$G234,SUM(MAX(MIN(AJ234-'Input Data'!$BG$3,'Input Data'!$BG$5-'Input Data'!$BG$3),0)*VLOOKUP($G234,'Input Data'!$BI$3:$BL$10,2,FALSE),MAX(MIN(AJ234-'Input Data'!$BG$5,IF(OR($G234="M (under 21)",$G234="Z (under 21 - deferment)"),'Input Data'!$BG$6,IF($G234="H (Apprentice under 25)",'Input Data'!$BG$7,'Input Data'!$BG$8))-'Input Data'!$BG$5),0)*VLOOKUP($G234,'Input Data'!$BI$3:$BL$10,3,FALSE),MAX((AJ234-IF(OR($G234="M (under 21)",$G234="Z (under 21 - deferment)"),'Input Data'!$BG$6,IF($G234="H (Apprentice under 25)",'Input Data'!$BG$7,'Input Data'!$BG$8))),0)*VLOOKUP($G234,'Input Data'!$BI$3:$BL$10,4,FALSE))))</f>
        <v>0</v>
      </c>
      <c r="AS234" s="56">
        <f>AC234*$F234</f>
        <v>0</v>
      </c>
      <c r="AT234" s="56">
        <f>AD234*$F234</f>
        <v>0</v>
      </c>
      <c r="AU234" s="56">
        <f>AE234*$F234</f>
        <v>0</v>
      </c>
      <c r="AV234" s="56">
        <f>AF234*$F234</f>
        <v>0</v>
      </c>
      <c r="AW234" s="56">
        <f>AG234*$F234</f>
        <v>0</v>
      </c>
      <c r="AX234" s="56">
        <f>AH234*$F234</f>
        <v>0</v>
      </c>
      <c r="AY234" s="56">
        <f>AI234*$F234</f>
        <v>0</v>
      </c>
      <c r="AZ234" s="56">
        <f>AJ234*$F234</f>
        <v>0</v>
      </c>
    </row>
    <row r="235" spans="2:52" ht="25.5">
      <c r="B235" s="60"/>
      <c r="C235" s="57" t="s">
        <v>83</v>
      </c>
      <c r="D235" s="58"/>
      <c r="E235" s="58"/>
      <c r="F235" s="535"/>
      <c r="G235" s="693" t="s">
        <v>1149</v>
      </c>
      <c r="H235" s="65"/>
      <c r="I235" s="65"/>
      <c r="J235" s="65"/>
      <c r="K235" s="65"/>
      <c r="L235" s="65"/>
      <c r="M235" s="65"/>
      <c r="N235" s="65"/>
      <c r="O235" s="65"/>
      <c r="P235" s="29"/>
      <c r="Q235" s="597"/>
      <c r="R235" s="61"/>
      <c r="T235" s="43">
        <f>SUM(AC235,AK235,AS235)</f>
        <v>0</v>
      </c>
      <c r="U235" s="43">
        <f>SUM(AD235,AL235,AT235)</f>
        <v>0</v>
      </c>
      <c r="V235" s="43">
        <f>SUM(AE235,AM235,AU235)</f>
        <v>0</v>
      </c>
      <c r="W235" s="43">
        <f>SUM(AF235,AN235,AV235)</f>
        <v>0</v>
      </c>
      <c r="X235" s="43">
        <f>SUM(AG235,AO235,AW235)</f>
        <v>0</v>
      </c>
      <c r="Y235" s="43">
        <f>SUM(AH235,AP235,AX235)</f>
        <v>0</v>
      </c>
      <c r="Z235" s="43">
        <f>SUM(AI235,AQ235,AY235)</f>
        <v>0</v>
      </c>
      <c r="AA235" s="43">
        <f>SUM(AJ235,AR235,AZ235)</f>
        <v>0</v>
      </c>
      <c r="AC235" s="631">
        <f>SUM($D235:$E235)*H235</f>
        <v>0</v>
      </c>
      <c r="AD235" s="631">
        <f>SUM($D235:$E235)*I235</f>
        <v>0</v>
      </c>
      <c r="AE235" s="631">
        <f>SUM($D235:$E235)*J235</f>
        <v>0</v>
      </c>
      <c r="AF235" s="631">
        <f>SUM($D235:$E235)*K235</f>
        <v>0</v>
      </c>
      <c r="AG235" s="631">
        <f>SUM($D235:$E235)*L235</f>
        <v>0</v>
      </c>
      <c r="AH235" s="631">
        <f>SUM($D235:$E235)*M235</f>
        <v>0</v>
      </c>
      <c r="AI235" s="631">
        <f>SUM($D235:$E235)*N235</f>
        <v>0</v>
      </c>
      <c r="AJ235" s="631">
        <f>SUM($D235:$E235)*O235</f>
        <v>0</v>
      </c>
      <c r="AK235" s="56">
        <f>IF($G235="",0,IF(NOT(OR($G235="A - All employees not in groups B, C, J, H, M or Z",$G235="B - Married women and widows entitled to reduced NI",$G235="C - Over the State Pension age",$G235="H - Apprentice under 25",$G235="J – Deferment",$G235="M - Under 21",$G235="Z - Deferment (Under 21)",$G235="Please Enter The NI Cont. in ££££")),$G235,SUM(MAX(MIN(AC235-'Input Data'!$BG$3,'Input Data'!$BG$5-'Input Data'!$BG$3),0)*VLOOKUP($G235,'Input Data'!$BI$3:$BL$10,2,FALSE),MAX(MIN(AC235-'Input Data'!$BG$5,IF(OR($G235="M (under 21)",$G235="Z (under 21 - deferment)"),'Input Data'!$BG$6,IF($G235="H (Apprentice under 25)",'Input Data'!$BG$7,'Input Data'!$BG$8))-'Input Data'!$BG$5),0)*VLOOKUP($G235,'Input Data'!$BI$3:$BL$10,3,FALSE),MAX((AC235-IF(OR($G235="M (under 21)",$G235="Z (under 21 - deferment)"),'Input Data'!$BG$6,IF($G235="H (Apprentice under 25)",'Input Data'!$BG$7,'Input Data'!$BG$8))),0)*VLOOKUP($G235,'Input Data'!$BI$3:$BL$10,4,FALSE))))</f>
        <v>0</v>
      </c>
      <c r="AL235" s="56">
        <f>IF($G235="",0,IF(NOT(OR($G235="A - All employees not in groups B, C, J, H, M or Z",$G235="B - Married women and widows entitled to reduced NI",$G235="C - Over the State Pension age",$G235="H - Apprentice under 25",$G235="J – Deferment",$G235="M - Under 21",$G235="Z - Deferment (Under 21)",$G235="Please Enter The NI Cont. in ££££")),$G235,SUM(MAX(MIN(AD235-'Input Data'!$BG$3,'Input Data'!$BG$5-'Input Data'!$BG$3),0)*VLOOKUP($G235,'Input Data'!$BI$3:$BL$10,2,FALSE),MAX(MIN(AD235-'Input Data'!$BG$5,IF(OR($G235="M (under 21)",$G235="Z (under 21 - deferment)"),'Input Data'!$BG$6,IF($G235="H (Apprentice under 25)",'Input Data'!$BG$7,'Input Data'!$BG$8))-'Input Data'!$BG$5),0)*VLOOKUP($G235,'Input Data'!$BI$3:$BL$10,3,FALSE),MAX((AD235-IF(OR($G235="M (under 21)",$G235="Z (under 21 - deferment)"),'Input Data'!$BG$6,IF($G235="H (Apprentice under 25)",'Input Data'!$BG$7,'Input Data'!$BG$8))),0)*VLOOKUP($G235,'Input Data'!$BI$3:$BL$10,4,FALSE))))</f>
        <v>0</v>
      </c>
      <c r="AM235" s="56">
        <f>IF($G235="",0,IF(NOT(OR($G235="A - All employees not in groups B, C, J, H, M or Z",$G235="B - Married women and widows entitled to reduced NI",$G235="C - Over the State Pension age",$G235="H - Apprentice under 25",$G235="J – Deferment",$G235="M - Under 21",$G235="Z - Deferment (Under 21)",$G235="Please Enter The NI Cont. in ££££")),$G235,SUM(MAX(MIN(AE235-'Input Data'!$BG$3,'Input Data'!$BG$5-'Input Data'!$BG$3),0)*VLOOKUP($G235,'Input Data'!$BI$3:$BL$10,2,FALSE),MAX(MIN(AE235-'Input Data'!$BG$5,IF(OR($G235="M (under 21)",$G235="Z (under 21 - deferment)"),'Input Data'!$BG$6,IF($G235="H (Apprentice under 25)",'Input Data'!$BG$7,'Input Data'!$BG$8))-'Input Data'!$BG$5),0)*VLOOKUP($G235,'Input Data'!$BI$3:$BL$10,3,FALSE),MAX((AE235-IF(OR($G235="M (under 21)",$G235="Z (under 21 - deferment)"),'Input Data'!$BG$6,IF($G235="H (Apprentice under 25)",'Input Data'!$BG$7,'Input Data'!$BG$8))),0)*VLOOKUP($G235,'Input Data'!$BI$3:$BL$10,4,FALSE))))</f>
        <v>0</v>
      </c>
      <c r="AN235" s="56">
        <f>IF($G235="",0,IF(NOT(OR($G235="A - All employees not in groups B, C, J, H, M or Z",$G235="B - Married women and widows entitled to reduced NI",$G235="C - Over the State Pension age",$G235="H - Apprentice under 25",$G235="J – Deferment",$G235="M - Under 21",$G235="Z - Deferment (Under 21)",$G235="Please Enter The NI Cont. in ££££")),$G235,SUM(MAX(MIN(AF235-'Input Data'!$BG$3,'Input Data'!$BG$5-'Input Data'!$BG$3),0)*VLOOKUP($G235,'Input Data'!$BI$3:$BL$10,2,FALSE),MAX(MIN(AF235-'Input Data'!$BG$5,IF(OR($G235="M (under 21)",$G235="Z (under 21 - deferment)"),'Input Data'!$BG$6,IF($G235="H (Apprentice under 25)",'Input Data'!$BG$7,'Input Data'!$BG$8))-'Input Data'!$BG$5),0)*VLOOKUP($G235,'Input Data'!$BI$3:$BL$10,3,FALSE),MAX((AF235-IF(OR($G235="M (under 21)",$G235="Z (under 21 - deferment)"),'Input Data'!$BG$6,IF($G235="H (Apprentice under 25)",'Input Data'!$BG$7,'Input Data'!$BG$8))),0)*VLOOKUP($G235,'Input Data'!$BI$3:$BL$10,4,FALSE))))</f>
        <v>0</v>
      </c>
      <c r="AO235" s="56">
        <f>IF($G235="",0,IF(NOT(OR($G235="A - All employees not in groups B, C, J, H, M or Z",$G235="B - Married women and widows entitled to reduced NI",$G235="C - Over the State Pension age",$G235="H - Apprentice under 25",$G235="J – Deferment",$G235="M - Under 21",$G235="Z - Deferment (Under 21)",$G235="Please Enter The NI Cont. in ££££")),$G235,SUM(MAX(MIN(AG235-'Input Data'!$BG$3,'Input Data'!$BG$5-'Input Data'!$BG$3),0)*VLOOKUP($G235,'Input Data'!$BI$3:$BL$10,2,FALSE),MAX(MIN(AG235-'Input Data'!$BG$5,IF(OR($G235="M (under 21)",$G235="Z (under 21 - deferment)"),'Input Data'!$BG$6,IF($G235="H (Apprentice under 25)",'Input Data'!$BG$7,'Input Data'!$BG$8))-'Input Data'!$BG$5),0)*VLOOKUP($G235,'Input Data'!$BI$3:$BL$10,3,FALSE),MAX((AG235-IF(OR($G235="M (under 21)",$G235="Z (under 21 - deferment)"),'Input Data'!$BG$6,IF($G235="H (Apprentice under 25)",'Input Data'!$BG$7,'Input Data'!$BG$8))),0)*VLOOKUP($G235,'Input Data'!$BI$3:$BL$10,4,FALSE))))</f>
        <v>0</v>
      </c>
      <c r="AP235" s="56">
        <f>IF($G235="",0,IF(NOT(OR($G235="A - All employees not in groups B, C, J, H, M or Z",$G235="B - Married women and widows entitled to reduced NI",$G235="C - Over the State Pension age",$G235="H - Apprentice under 25",$G235="J – Deferment",$G235="M - Under 21",$G235="Z - Deferment (Under 21)",$G235="Please Enter The NI Cont. in ££££")),$G235,SUM(MAX(MIN(AH235-'Input Data'!$BG$3,'Input Data'!$BG$5-'Input Data'!$BG$3),0)*VLOOKUP($G235,'Input Data'!$BI$3:$BL$10,2,FALSE),MAX(MIN(AH235-'Input Data'!$BG$5,IF(OR($G235="M (under 21)",$G235="Z (under 21 - deferment)"),'Input Data'!$BG$6,IF($G235="H (Apprentice under 25)",'Input Data'!$BG$7,'Input Data'!$BG$8))-'Input Data'!$BG$5),0)*VLOOKUP($G235,'Input Data'!$BI$3:$BL$10,3,FALSE),MAX((AH235-IF(OR($G235="M (under 21)",$G235="Z (under 21 - deferment)"),'Input Data'!$BG$6,IF($G235="H (Apprentice under 25)",'Input Data'!$BG$7,'Input Data'!$BG$8))),0)*VLOOKUP($G235,'Input Data'!$BI$3:$BL$10,4,FALSE))))</f>
        <v>0</v>
      </c>
      <c r="AQ235" s="56">
        <f>IF($G235="",0,IF(NOT(OR($G235="A - All employees not in groups B, C, J, H, M or Z",$G235="B - Married women and widows entitled to reduced NI",$G235="C - Over the State Pension age",$G235="H - Apprentice under 25",$G235="J – Deferment",$G235="M - Under 21",$G235="Z - Deferment (Under 21)",$G235="Please Enter The NI Cont. in ££££")),$G235,SUM(MAX(MIN(AI235-'Input Data'!$BG$3,'Input Data'!$BG$5-'Input Data'!$BG$3),0)*VLOOKUP($G235,'Input Data'!$BI$3:$BL$10,2,FALSE),MAX(MIN(AI235-'Input Data'!$BG$5,IF(OR($G235="M (under 21)",$G235="Z (under 21 - deferment)"),'Input Data'!$BG$6,IF($G235="H (Apprentice under 25)",'Input Data'!$BG$7,'Input Data'!$BG$8))-'Input Data'!$BG$5),0)*VLOOKUP($G235,'Input Data'!$BI$3:$BL$10,3,FALSE),MAX((AI235-IF(OR($G235="M (under 21)",$G235="Z (under 21 - deferment)"),'Input Data'!$BG$6,IF($G235="H (Apprentice under 25)",'Input Data'!$BG$7,'Input Data'!$BG$8))),0)*VLOOKUP($G235,'Input Data'!$BI$3:$BL$10,4,FALSE))))</f>
        <v>0</v>
      </c>
      <c r="AR235" s="56">
        <f>IF($G235="",0,IF(NOT(OR($G235="A - All employees not in groups B, C, J, H, M or Z",$G235="B - Married women and widows entitled to reduced NI",$G235="C - Over the State Pension age",$G235="H - Apprentice under 25",$G235="J – Deferment",$G235="M - Under 21",$G235="Z - Deferment (Under 21)",$G235="Please Enter The NI Cont. in ££££")),$G235,SUM(MAX(MIN(AJ235-'Input Data'!$BG$3,'Input Data'!$BG$5-'Input Data'!$BG$3),0)*VLOOKUP($G235,'Input Data'!$BI$3:$BL$10,2,FALSE),MAX(MIN(AJ235-'Input Data'!$BG$5,IF(OR($G235="M (under 21)",$G235="Z (under 21 - deferment)"),'Input Data'!$BG$6,IF($G235="H (Apprentice under 25)",'Input Data'!$BG$7,'Input Data'!$BG$8))-'Input Data'!$BG$5),0)*VLOOKUP($G235,'Input Data'!$BI$3:$BL$10,3,FALSE),MAX((AJ235-IF(OR($G235="M (under 21)",$G235="Z (under 21 - deferment)"),'Input Data'!$BG$6,IF($G235="H (Apprentice under 25)",'Input Data'!$BG$7,'Input Data'!$BG$8))),0)*VLOOKUP($G235,'Input Data'!$BI$3:$BL$10,4,FALSE))))</f>
        <v>0</v>
      </c>
      <c r="AS235" s="56">
        <f>AC235*$F235</f>
        <v>0</v>
      </c>
      <c r="AT235" s="56">
        <f>AD235*$F235</f>
        <v>0</v>
      </c>
      <c r="AU235" s="56">
        <f>AE235*$F235</f>
        <v>0</v>
      </c>
      <c r="AV235" s="56">
        <f>AF235*$F235</f>
        <v>0</v>
      </c>
      <c r="AW235" s="56">
        <f>AG235*$F235</f>
        <v>0</v>
      </c>
      <c r="AX235" s="56">
        <f>AH235*$F235</f>
        <v>0</v>
      </c>
      <c r="AY235" s="56">
        <f>AI235*$F235</f>
        <v>0</v>
      </c>
      <c r="AZ235" s="56">
        <f>AJ235*$F235</f>
        <v>0</v>
      </c>
    </row>
    <row r="236" spans="2:52" ht="25.5">
      <c r="B236" s="60"/>
      <c r="C236" s="57" t="s">
        <v>84</v>
      </c>
      <c r="D236" s="58"/>
      <c r="E236" s="58"/>
      <c r="F236" s="535"/>
      <c r="G236" s="693" t="s">
        <v>1149</v>
      </c>
      <c r="H236" s="65"/>
      <c r="I236" s="65"/>
      <c r="J236" s="65"/>
      <c r="K236" s="65"/>
      <c r="L236" s="65"/>
      <c r="M236" s="65"/>
      <c r="N236" s="65"/>
      <c r="O236" s="65"/>
      <c r="P236" s="29"/>
      <c r="Q236" s="597"/>
      <c r="R236" s="61"/>
      <c r="T236" s="43">
        <f>SUM(AC236,AK236,AS236)</f>
        <v>0</v>
      </c>
      <c r="U236" s="43">
        <f>SUM(AD236,AL236,AT236)</f>
        <v>0</v>
      </c>
      <c r="V236" s="43">
        <f>SUM(AE236,AM236,AU236)</f>
        <v>0</v>
      </c>
      <c r="W236" s="43">
        <f>SUM(AF236,AN236,AV236)</f>
        <v>0</v>
      </c>
      <c r="X236" s="43">
        <f>SUM(AG236,AO236,AW236)</f>
        <v>0</v>
      </c>
      <c r="Y236" s="43">
        <f>SUM(AH236,AP236,AX236)</f>
        <v>0</v>
      </c>
      <c r="Z236" s="43">
        <f>SUM(AI236,AQ236,AY236)</f>
        <v>0</v>
      </c>
      <c r="AA236" s="43">
        <f>SUM(AJ236,AR236,AZ236)</f>
        <v>0</v>
      </c>
      <c r="AC236" s="631">
        <f>SUM($D236:$E236)*H236</f>
        <v>0</v>
      </c>
      <c r="AD236" s="631">
        <f>SUM($D236:$E236)*I236</f>
        <v>0</v>
      </c>
      <c r="AE236" s="631">
        <f>SUM($D236:$E236)*J236</f>
        <v>0</v>
      </c>
      <c r="AF236" s="631">
        <f>SUM($D236:$E236)*K236</f>
        <v>0</v>
      </c>
      <c r="AG236" s="631">
        <f>SUM($D236:$E236)*L236</f>
        <v>0</v>
      </c>
      <c r="AH236" s="631">
        <f>SUM($D236:$E236)*M236</f>
        <v>0</v>
      </c>
      <c r="AI236" s="631">
        <f>SUM($D236:$E236)*N236</f>
        <v>0</v>
      </c>
      <c r="AJ236" s="631">
        <f>SUM($D236:$E236)*O236</f>
        <v>0</v>
      </c>
      <c r="AK236" s="56">
        <f>IF($G236="",0,IF(NOT(OR($G236="A - All employees not in groups B, C, J, H, M or Z",$G236="B - Married women and widows entitled to reduced NI",$G236="C - Over the State Pension age",$G236="H - Apprentice under 25",$G236="J – Deferment",$G236="M - Under 21",$G236="Z - Deferment (Under 21)",$G236="Please Enter The NI Cont. in ££££")),$G236,SUM(MAX(MIN(AC236-'Input Data'!$BG$3,'Input Data'!$BG$5-'Input Data'!$BG$3),0)*VLOOKUP($G236,'Input Data'!$BI$3:$BL$10,2,FALSE),MAX(MIN(AC236-'Input Data'!$BG$5,IF(OR($G236="M (under 21)",$G236="Z (under 21 - deferment)"),'Input Data'!$BG$6,IF($G236="H (Apprentice under 25)",'Input Data'!$BG$7,'Input Data'!$BG$8))-'Input Data'!$BG$5),0)*VLOOKUP($G236,'Input Data'!$BI$3:$BL$10,3,FALSE),MAX((AC236-IF(OR($G236="M (under 21)",$G236="Z (under 21 - deferment)"),'Input Data'!$BG$6,IF($G236="H (Apprentice under 25)",'Input Data'!$BG$7,'Input Data'!$BG$8))),0)*VLOOKUP($G236,'Input Data'!$BI$3:$BL$10,4,FALSE))))</f>
        <v>0</v>
      </c>
      <c r="AL236" s="56">
        <f>IF($G236="",0,IF(NOT(OR($G236="A - All employees not in groups B, C, J, H, M or Z",$G236="B - Married women and widows entitled to reduced NI",$G236="C - Over the State Pension age",$G236="H - Apprentice under 25",$G236="J – Deferment",$G236="M - Under 21",$G236="Z - Deferment (Under 21)",$G236="Please Enter The NI Cont. in ££££")),$G236,SUM(MAX(MIN(AD236-'Input Data'!$BG$3,'Input Data'!$BG$5-'Input Data'!$BG$3),0)*VLOOKUP($G236,'Input Data'!$BI$3:$BL$10,2,FALSE),MAX(MIN(AD236-'Input Data'!$BG$5,IF(OR($G236="M (under 21)",$G236="Z (under 21 - deferment)"),'Input Data'!$BG$6,IF($G236="H (Apprentice under 25)",'Input Data'!$BG$7,'Input Data'!$BG$8))-'Input Data'!$BG$5),0)*VLOOKUP($G236,'Input Data'!$BI$3:$BL$10,3,FALSE),MAX((AD236-IF(OR($G236="M (under 21)",$G236="Z (under 21 - deferment)"),'Input Data'!$BG$6,IF($G236="H (Apprentice under 25)",'Input Data'!$BG$7,'Input Data'!$BG$8))),0)*VLOOKUP($G236,'Input Data'!$BI$3:$BL$10,4,FALSE))))</f>
        <v>0</v>
      </c>
      <c r="AM236" s="56">
        <f>IF($G236="",0,IF(NOT(OR($G236="A - All employees not in groups B, C, J, H, M or Z",$G236="B - Married women and widows entitled to reduced NI",$G236="C - Over the State Pension age",$G236="H - Apprentice under 25",$G236="J – Deferment",$G236="M - Under 21",$G236="Z - Deferment (Under 21)",$G236="Please Enter The NI Cont. in ££££")),$G236,SUM(MAX(MIN(AE236-'Input Data'!$BG$3,'Input Data'!$BG$5-'Input Data'!$BG$3),0)*VLOOKUP($G236,'Input Data'!$BI$3:$BL$10,2,FALSE),MAX(MIN(AE236-'Input Data'!$BG$5,IF(OR($G236="M (under 21)",$G236="Z (under 21 - deferment)"),'Input Data'!$BG$6,IF($G236="H (Apprentice under 25)",'Input Data'!$BG$7,'Input Data'!$BG$8))-'Input Data'!$BG$5),0)*VLOOKUP($G236,'Input Data'!$BI$3:$BL$10,3,FALSE),MAX((AE236-IF(OR($G236="M (under 21)",$G236="Z (under 21 - deferment)"),'Input Data'!$BG$6,IF($G236="H (Apprentice under 25)",'Input Data'!$BG$7,'Input Data'!$BG$8))),0)*VLOOKUP($G236,'Input Data'!$BI$3:$BL$10,4,FALSE))))</f>
        <v>0</v>
      </c>
      <c r="AN236" s="56">
        <f>IF($G236="",0,IF(NOT(OR($G236="A - All employees not in groups B, C, J, H, M or Z",$G236="B - Married women and widows entitled to reduced NI",$G236="C - Over the State Pension age",$G236="H - Apprentice under 25",$G236="J – Deferment",$G236="M - Under 21",$G236="Z - Deferment (Under 21)",$G236="Please Enter The NI Cont. in ££££")),$G236,SUM(MAX(MIN(AF236-'Input Data'!$BG$3,'Input Data'!$BG$5-'Input Data'!$BG$3),0)*VLOOKUP($G236,'Input Data'!$BI$3:$BL$10,2,FALSE),MAX(MIN(AF236-'Input Data'!$BG$5,IF(OR($G236="M (under 21)",$G236="Z (under 21 - deferment)"),'Input Data'!$BG$6,IF($G236="H (Apprentice under 25)",'Input Data'!$BG$7,'Input Data'!$BG$8))-'Input Data'!$BG$5),0)*VLOOKUP($G236,'Input Data'!$BI$3:$BL$10,3,FALSE),MAX((AF236-IF(OR($G236="M (under 21)",$G236="Z (under 21 - deferment)"),'Input Data'!$BG$6,IF($G236="H (Apprentice under 25)",'Input Data'!$BG$7,'Input Data'!$BG$8))),0)*VLOOKUP($G236,'Input Data'!$BI$3:$BL$10,4,FALSE))))</f>
        <v>0</v>
      </c>
      <c r="AO236" s="56">
        <f>IF($G236="",0,IF(NOT(OR($G236="A - All employees not in groups B, C, J, H, M or Z",$G236="B - Married women and widows entitled to reduced NI",$G236="C - Over the State Pension age",$G236="H - Apprentice under 25",$G236="J – Deferment",$G236="M - Under 21",$G236="Z - Deferment (Under 21)",$G236="Please Enter The NI Cont. in ££££")),$G236,SUM(MAX(MIN(AG236-'Input Data'!$BG$3,'Input Data'!$BG$5-'Input Data'!$BG$3),0)*VLOOKUP($G236,'Input Data'!$BI$3:$BL$10,2,FALSE),MAX(MIN(AG236-'Input Data'!$BG$5,IF(OR($G236="M (under 21)",$G236="Z (under 21 - deferment)"),'Input Data'!$BG$6,IF($G236="H (Apprentice under 25)",'Input Data'!$BG$7,'Input Data'!$BG$8))-'Input Data'!$BG$5),0)*VLOOKUP($G236,'Input Data'!$BI$3:$BL$10,3,FALSE),MAX((AG236-IF(OR($G236="M (under 21)",$G236="Z (under 21 - deferment)"),'Input Data'!$BG$6,IF($G236="H (Apprentice under 25)",'Input Data'!$BG$7,'Input Data'!$BG$8))),0)*VLOOKUP($G236,'Input Data'!$BI$3:$BL$10,4,FALSE))))</f>
        <v>0</v>
      </c>
      <c r="AP236" s="56">
        <f>IF($G236="",0,IF(NOT(OR($G236="A - All employees not in groups B, C, J, H, M or Z",$G236="B - Married women and widows entitled to reduced NI",$G236="C - Over the State Pension age",$G236="H - Apprentice under 25",$G236="J – Deferment",$G236="M - Under 21",$G236="Z - Deferment (Under 21)",$G236="Please Enter The NI Cont. in ££££")),$G236,SUM(MAX(MIN(AH236-'Input Data'!$BG$3,'Input Data'!$BG$5-'Input Data'!$BG$3),0)*VLOOKUP($G236,'Input Data'!$BI$3:$BL$10,2,FALSE),MAX(MIN(AH236-'Input Data'!$BG$5,IF(OR($G236="M (under 21)",$G236="Z (under 21 - deferment)"),'Input Data'!$BG$6,IF($G236="H (Apprentice under 25)",'Input Data'!$BG$7,'Input Data'!$BG$8))-'Input Data'!$BG$5),0)*VLOOKUP($G236,'Input Data'!$BI$3:$BL$10,3,FALSE),MAX((AH236-IF(OR($G236="M (under 21)",$G236="Z (under 21 - deferment)"),'Input Data'!$BG$6,IF($G236="H (Apprentice under 25)",'Input Data'!$BG$7,'Input Data'!$BG$8))),0)*VLOOKUP($G236,'Input Data'!$BI$3:$BL$10,4,FALSE))))</f>
        <v>0</v>
      </c>
      <c r="AQ236" s="56">
        <f>IF($G236="",0,IF(NOT(OR($G236="A - All employees not in groups B, C, J, H, M or Z",$G236="B - Married women and widows entitled to reduced NI",$G236="C - Over the State Pension age",$G236="H - Apprentice under 25",$G236="J – Deferment",$G236="M - Under 21",$G236="Z - Deferment (Under 21)",$G236="Please Enter The NI Cont. in ££££")),$G236,SUM(MAX(MIN(AI236-'Input Data'!$BG$3,'Input Data'!$BG$5-'Input Data'!$BG$3),0)*VLOOKUP($G236,'Input Data'!$BI$3:$BL$10,2,FALSE),MAX(MIN(AI236-'Input Data'!$BG$5,IF(OR($G236="M (under 21)",$G236="Z (under 21 - deferment)"),'Input Data'!$BG$6,IF($G236="H (Apprentice under 25)",'Input Data'!$BG$7,'Input Data'!$BG$8))-'Input Data'!$BG$5),0)*VLOOKUP($G236,'Input Data'!$BI$3:$BL$10,3,FALSE),MAX((AI236-IF(OR($G236="M (under 21)",$G236="Z (under 21 - deferment)"),'Input Data'!$BG$6,IF($G236="H (Apprentice under 25)",'Input Data'!$BG$7,'Input Data'!$BG$8))),0)*VLOOKUP($G236,'Input Data'!$BI$3:$BL$10,4,FALSE))))</f>
        <v>0</v>
      </c>
      <c r="AR236" s="56">
        <f>IF($G236="",0,IF(NOT(OR($G236="A - All employees not in groups B, C, J, H, M or Z",$G236="B - Married women and widows entitled to reduced NI",$G236="C - Over the State Pension age",$G236="H - Apprentice under 25",$G236="J – Deferment",$G236="M - Under 21",$G236="Z - Deferment (Under 21)",$G236="Please Enter The NI Cont. in ££££")),$G236,SUM(MAX(MIN(AJ236-'Input Data'!$BG$3,'Input Data'!$BG$5-'Input Data'!$BG$3),0)*VLOOKUP($G236,'Input Data'!$BI$3:$BL$10,2,FALSE),MAX(MIN(AJ236-'Input Data'!$BG$5,IF(OR($G236="M (under 21)",$G236="Z (under 21 - deferment)"),'Input Data'!$BG$6,IF($G236="H (Apprentice under 25)",'Input Data'!$BG$7,'Input Data'!$BG$8))-'Input Data'!$BG$5),0)*VLOOKUP($G236,'Input Data'!$BI$3:$BL$10,3,FALSE),MAX((AJ236-IF(OR($G236="M (under 21)",$G236="Z (under 21 - deferment)"),'Input Data'!$BG$6,IF($G236="H (Apprentice under 25)",'Input Data'!$BG$7,'Input Data'!$BG$8))),0)*VLOOKUP($G236,'Input Data'!$BI$3:$BL$10,4,FALSE))))</f>
        <v>0</v>
      </c>
      <c r="AS236" s="56">
        <f>AC236*$F236</f>
        <v>0</v>
      </c>
      <c r="AT236" s="56">
        <f>AD236*$F236</f>
        <v>0</v>
      </c>
      <c r="AU236" s="56">
        <f>AE236*$F236</f>
        <v>0</v>
      </c>
      <c r="AV236" s="56">
        <f>AF236*$F236</f>
        <v>0</v>
      </c>
      <c r="AW236" s="56">
        <f>AG236*$F236</f>
        <v>0</v>
      </c>
      <c r="AX236" s="56">
        <f>AH236*$F236</f>
        <v>0</v>
      </c>
      <c r="AY236" s="56">
        <f>AI236*$F236</f>
        <v>0</v>
      </c>
      <c r="AZ236" s="56">
        <f>AJ236*$F236</f>
        <v>0</v>
      </c>
    </row>
    <row r="237" spans="2:27" ht="12.75">
      <c r="B237" s="69"/>
      <c r="C237" s="49"/>
      <c r="D237" s="49"/>
      <c r="E237" s="49"/>
      <c r="F237" s="49"/>
      <c r="G237" s="49"/>
      <c r="H237" s="50"/>
      <c r="I237" s="50"/>
      <c r="J237" s="50"/>
      <c r="K237" s="50"/>
      <c r="L237" s="50"/>
      <c r="M237" s="50"/>
      <c r="N237" s="50"/>
      <c r="O237" s="50"/>
      <c r="P237" s="51"/>
      <c r="Q237" s="49"/>
      <c r="R237" s="73"/>
      <c r="T237" s="59"/>
      <c r="U237" s="59"/>
      <c r="V237" s="59"/>
      <c r="W237" s="59"/>
      <c r="X237" s="59"/>
      <c r="Y237" s="59"/>
      <c r="Z237" s="59"/>
      <c r="AA237" s="59"/>
    </row>
    <row r="238" spans="2:27" ht="15">
      <c r="B238"/>
      <c r="C238" s="33"/>
      <c r="D238" s="33"/>
      <c r="E238" s="33"/>
      <c r="F238" s="33"/>
      <c r="G238" s="33"/>
      <c r="H238" s="53"/>
      <c r="I238" s="53"/>
      <c r="J238" s="53"/>
      <c r="K238" s="53"/>
      <c r="L238" s="53"/>
      <c r="M238" s="53"/>
      <c r="N238" s="53"/>
      <c r="O238" s="53"/>
      <c r="P238" s="26"/>
      <c r="Q238" s="33"/>
      <c r="R238"/>
      <c r="S238"/>
      <c r="T238" s="33"/>
      <c r="U238" s="33"/>
      <c r="V238" s="33"/>
      <c r="W238" s="33"/>
      <c r="X238" s="33"/>
      <c r="Y238" s="33"/>
      <c r="Z238" s="33"/>
      <c r="AA238" s="33"/>
    </row>
    <row r="239" spans="3:28" ht="15">
      <c r="C239" s="28"/>
      <c r="D239" s="27"/>
      <c r="E239" s="27"/>
      <c r="F239" s="27"/>
      <c r="G239" s="27"/>
      <c r="H239" s="28"/>
      <c r="I239" s="28"/>
      <c r="J239" s="28"/>
      <c r="K239" s="28"/>
      <c r="L239" s="28"/>
      <c r="M239" s="28"/>
      <c r="N239" s="28"/>
      <c r="O239" s="28"/>
      <c r="P239" s="28"/>
      <c r="Q239" s="29"/>
      <c r="R239"/>
      <c r="S239"/>
      <c r="T239" s="70"/>
      <c r="U239" s="70"/>
      <c r="V239" s="70"/>
      <c r="W239" s="70"/>
      <c r="X239" s="70"/>
      <c r="Y239" s="70"/>
      <c r="Z239" s="70"/>
      <c r="AA239" s="70"/>
      <c r="AB239"/>
    </row>
    <row r="240" spans="3:28" ht="12.75">
      <c r="C240" s="74"/>
      <c r="D240" s="75"/>
      <c r="E240" s="75"/>
      <c r="F240" s="75"/>
      <c r="G240" s="75"/>
      <c r="H240" s="74"/>
      <c r="I240" s="74"/>
      <c r="J240" s="74"/>
      <c r="K240" s="74"/>
      <c r="L240" s="74"/>
      <c r="M240" s="74"/>
      <c r="N240" s="74"/>
      <c r="O240" s="74"/>
      <c r="P240" s="74"/>
      <c r="Q240" s="76"/>
      <c r="R240" s="74"/>
      <c r="S240" s="28"/>
      <c r="T240" s="74"/>
      <c r="U240" s="74"/>
      <c r="V240" s="74"/>
      <c r="W240" s="74"/>
      <c r="X240" s="74"/>
      <c r="Y240" s="74"/>
      <c r="Z240" s="74"/>
      <c r="AA240" s="74"/>
      <c r="AB240" s="61"/>
    </row>
    <row r="241" spans="3:28" ht="12.75">
      <c r="C241" s="26" t="s">
        <v>132</v>
      </c>
      <c r="D241" s="27"/>
      <c r="E241" s="27"/>
      <c r="F241" s="27"/>
      <c r="G241" s="27"/>
      <c r="H241" s="28"/>
      <c r="I241" s="28"/>
      <c r="J241" s="28"/>
      <c r="K241" s="28"/>
      <c r="L241" s="28"/>
      <c r="M241" s="28"/>
      <c r="N241" s="28"/>
      <c r="O241" s="28"/>
      <c r="P241" s="28"/>
      <c r="Q241" s="29"/>
      <c r="R241" s="28"/>
      <c r="S241" s="28"/>
      <c r="T241" s="26" t="s">
        <v>133</v>
      </c>
      <c r="U241" s="28"/>
      <c r="V241" s="28"/>
      <c r="W241" s="28"/>
      <c r="X241" s="28"/>
      <c r="Y241" s="28"/>
      <c r="Z241" s="28"/>
      <c r="AA241" s="28"/>
      <c r="AB241" s="61"/>
    </row>
    <row r="242" spans="3:28" ht="12.75">
      <c r="C242" s="77" t="s">
        <v>64</v>
      </c>
      <c r="D242" s="78"/>
      <c r="E242" s="78"/>
      <c r="F242" s="78"/>
      <c r="G242" s="78"/>
      <c r="H242" s="79">
        <f>SUM(H$19:H$29)</f>
        <v>0</v>
      </c>
      <c r="I242" s="79">
        <f>SUM(I$19:I$29)</f>
        <v>0</v>
      </c>
      <c r="J242" s="79">
        <f>SUM(J$19:J$29)</f>
        <v>0</v>
      </c>
      <c r="K242" s="79">
        <f>SUM(K$19:K$29)</f>
        <v>0</v>
      </c>
      <c r="L242" s="79">
        <f>SUM(L$19:L$29)</f>
        <v>0</v>
      </c>
      <c r="M242" s="79">
        <f>SUM(M$19:M$29)</f>
        <v>0</v>
      </c>
      <c r="N242" s="79">
        <f>SUM(N$19:N$29)</f>
        <v>0</v>
      </c>
      <c r="O242" s="79">
        <f>SUM(O$19:O$29)</f>
        <v>0</v>
      </c>
      <c r="P242" s="29"/>
      <c r="Q242" s="29"/>
      <c r="R242" s="28"/>
      <c r="S242" s="28"/>
      <c r="T242" s="80">
        <f>SUM(T$19:T$29)*Open_Proportion</f>
        <v>0</v>
      </c>
      <c r="U242" s="80">
        <f>SUM(U$19:U$29)</f>
        <v>0</v>
      </c>
      <c r="V242" s="80">
        <f>SUM(V$19:V$29)</f>
        <v>0</v>
      </c>
      <c r="W242" s="80">
        <f>SUM(W$19:W$29)</f>
        <v>0</v>
      </c>
      <c r="X242" s="80">
        <f>SUM(X$19:X$29)</f>
        <v>0</v>
      </c>
      <c r="Y242" s="80">
        <f>SUM(Y$19:Y$29)</f>
        <v>0</v>
      </c>
      <c r="Z242" s="80">
        <f>SUM(Z$19:Z$29)</f>
        <v>0</v>
      </c>
      <c r="AA242" s="80">
        <f>SUM(AA$19:AA$29)</f>
        <v>0</v>
      </c>
      <c r="AB242" s="61"/>
    </row>
    <row r="243" spans="3:28" ht="12.75">
      <c r="C243" s="81" t="s">
        <v>85</v>
      </c>
      <c r="D243" s="82"/>
      <c r="E243" s="82"/>
      <c r="F243" s="82"/>
      <c r="G243" s="82"/>
      <c r="H243" s="83">
        <f>SUM(H$32:H$92)</f>
        <v>0</v>
      </c>
      <c r="I243" s="83">
        <f>SUM(I$32:I$92)</f>
        <v>0</v>
      </c>
      <c r="J243" s="83">
        <f>SUM(J$32:J$92)</f>
        <v>0</v>
      </c>
      <c r="K243" s="83">
        <f>SUM(K$32:K$92)</f>
        <v>0</v>
      </c>
      <c r="L243" s="83">
        <f>SUM(L$32:L$92)</f>
        <v>0</v>
      </c>
      <c r="M243" s="83">
        <f>SUM(M$32:M$92)</f>
        <v>0</v>
      </c>
      <c r="N243" s="83">
        <f>SUM(N$32:N$92)</f>
        <v>0</v>
      </c>
      <c r="O243" s="83">
        <f>SUM(O$32:O$92)</f>
        <v>0</v>
      </c>
      <c r="P243" s="29"/>
      <c r="Q243" s="29"/>
      <c r="R243" s="28"/>
      <c r="S243" s="28"/>
      <c r="T243" s="80">
        <f>SUM(T$32:T$92)*Open_Proportion</f>
        <v>0</v>
      </c>
      <c r="U243" s="80">
        <f>SUM(U$32:U$92)</f>
        <v>0</v>
      </c>
      <c r="V243" s="80">
        <f>SUM(V$32:V$92)</f>
        <v>0</v>
      </c>
      <c r="W243" s="80">
        <f>SUM(W$32:W$92)</f>
        <v>0</v>
      </c>
      <c r="X243" s="80">
        <f>SUM(X$32:X$92)</f>
        <v>0</v>
      </c>
      <c r="Y243" s="80">
        <f>SUM(Y$32:Y$92)</f>
        <v>0</v>
      </c>
      <c r="Z243" s="80">
        <f>SUM(Z$32:Z$92)</f>
        <v>0</v>
      </c>
      <c r="AA243" s="80">
        <f>SUM(AA$32:AA$92)</f>
        <v>0</v>
      </c>
      <c r="AB243" s="61"/>
    </row>
    <row r="244" spans="3:28" ht="12.75">
      <c r="C244" s="81" t="s">
        <v>126</v>
      </c>
      <c r="D244" s="82"/>
      <c r="E244" s="82"/>
      <c r="F244" s="82"/>
      <c r="G244" s="82"/>
      <c r="H244" s="83">
        <f>SUM(H$95:H$145)</f>
        <v>0</v>
      </c>
      <c r="I244" s="83">
        <f>SUM(I$95:I$145)</f>
        <v>0</v>
      </c>
      <c r="J244" s="83">
        <f>SUM(J$95:J$145)</f>
        <v>0</v>
      </c>
      <c r="K244" s="83">
        <f>SUM(K$95:K$145)</f>
        <v>0</v>
      </c>
      <c r="L244" s="83">
        <f>SUM(L$95:L$145)</f>
        <v>0</v>
      </c>
      <c r="M244" s="83">
        <f>SUM(M$95:M$145)</f>
        <v>0</v>
      </c>
      <c r="N244" s="83">
        <f>SUM(N$95:N$145)</f>
        <v>0</v>
      </c>
      <c r="O244" s="83">
        <f>SUM(O$95:O$145)</f>
        <v>0</v>
      </c>
      <c r="P244" s="29"/>
      <c r="Q244" s="29"/>
      <c r="R244" s="28"/>
      <c r="S244" s="28"/>
      <c r="T244" s="80">
        <f>SUM(T$95:T$145)*Open_Proportion</f>
        <v>0</v>
      </c>
      <c r="U244" s="80">
        <f>SUM(U$95:U$145)</f>
        <v>0</v>
      </c>
      <c r="V244" s="80">
        <f>SUM(V$95:V$145)</f>
        <v>0</v>
      </c>
      <c r="W244" s="80">
        <f>SUM(W$95:W$145)</f>
        <v>0</v>
      </c>
      <c r="X244" s="80">
        <f>SUM(X$95:X$145)</f>
        <v>0</v>
      </c>
      <c r="Y244" s="80">
        <f>SUM(Y$95:Y$145)</f>
        <v>0</v>
      </c>
      <c r="Z244" s="80">
        <f>SUM(Z$95:Z$145)</f>
        <v>0</v>
      </c>
      <c r="AA244" s="80">
        <f>SUM(AA$95:AA$145)</f>
        <v>0</v>
      </c>
      <c r="AB244" s="61"/>
    </row>
    <row r="245" spans="3:28" ht="12.75">
      <c r="C245" s="81" t="s">
        <v>127</v>
      </c>
      <c r="D245" s="82"/>
      <c r="E245" s="82"/>
      <c r="F245" s="82"/>
      <c r="G245" s="82"/>
      <c r="H245" s="83">
        <f>SUM(H$148:H$168)</f>
        <v>0</v>
      </c>
      <c r="I245" s="83">
        <f>SUM(I$148:I$168)</f>
        <v>0</v>
      </c>
      <c r="J245" s="83">
        <f>SUM(J$148:J$168)</f>
        <v>0</v>
      </c>
      <c r="K245" s="83">
        <f>SUM(K$148:K$168)</f>
        <v>0</v>
      </c>
      <c r="L245" s="83">
        <f>SUM(L$148:L$168)</f>
        <v>0</v>
      </c>
      <c r="M245" s="83">
        <f>SUM(M$148:M$168)</f>
        <v>0</v>
      </c>
      <c r="N245" s="83">
        <f>SUM(N$148:N$168)</f>
        <v>0</v>
      </c>
      <c r="O245" s="83">
        <f>SUM(O$148:O$168)</f>
        <v>0</v>
      </c>
      <c r="P245" s="29"/>
      <c r="Q245" s="29"/>
      <c r="R245" s="28"/>
      <c r="S245" s="28"/>
      <c r="T245" s="80">
        <f>SUM(T$148:T$168)*Open_Proportion</f>
        <v>0</v>
      </c>
      <c r="U245" s="80">
        <f>SUM(U$148:U$168)</f>
        <v>0</v>
      </c>
      <c r="V245" s="80">
        <f>SUM(V$148:V$168)</f>
        <v>0</v>
      </c>
      <c r="W245" s="80">
        <f>SUM(W$148:W$168)</f>
        <v>0</v>
      </c>
      <c r="X245" s="80">
        <f>SUM(X$148:X$168)</f>
        <v>0</v>
      </c>
      <c r="Y245" s="80">
        <f>SUM(Y$148:Y$168)</f>
        <v>0</v>
      </c>
      <c r="Z245" s="80">
        <f>SUM(Z$148:Z$168)</f>
        <v>0</v>
      </c>
      <c r="AA245" s="80">
        <f>SUM(AA$148:AA$168)</f>
        <v>0</v>
      </c>
      <c r="AB245" s="61"/>
    </row>
    <row r="246" spans="3:28" ht="12.75">
      <c r="C246" s="81" t="s">
        <v>128</v>
      </c>
      <c r="D246" s="82"/>
      <c r="E246" s="82"/>
      <c r="F246" s="82"/>
      <c r="G246" s="82"/>
      <c r="H246" s="83">
        <f>SUM(H$171:H$191)</f>
        <v>0</v>
      </c>
      <c r="I246" s="83">
        <f>SUM(I$171:I$191)</f>
        <v>0</v>
      </c>
      <c r="J246" s="83">
        <f>SUM(J$171:J$191)</f>
        <v>0</v>
      </c>
      <c r="K246" s="83">
        <f>SUM(K$171:K$191)</f>
        <v>0</v>
      </c>
      <c r="L246" s="83">
        <f>SUM(L$171:L$191)</f>
        <v>0</v>
      </c>
      <c r="M246" s="83">
        <f>SUM(M$171:M$191)</f>
        <v>0</v>
      </c>
      <c r="N246" s="83">
        <f>SUM(N$171:N$191)</f>
        <v>0</v>
      </c>
      <c r="O246" s="83">
        <f>SUM(O$171:O$191)</f>
        <v>0</v>
      </c>
      <c r="P246" s="29"/>
      <c r="Q246" s="29"/>
      <c r="R246" s="28"/>
      <c r="S246" s="28"/>
      <c r="T246" s="80">
        <f>SUM(T$171:T$191)*Open_Proportion</f>
        <v>0</v>
      </c>
      <c r="U246" s="80">
        <f>SUM(U$171:U$191)</f>
        <v>0</v>
      </c>
      <c r="V246" s="80">
        <f>SUM(V$171:V$191)</f>
        <v>0</v>
      </c>
      <c r="W246" s="80">
        <f>SUM(W$171:W$191)</f>
        <v>0</v>
      </c>
      <c r="X246" s="80">
        <f>SUM(X$171:X$191)</f>
        <v>0</v>
      </c>
      <c r="Y246" s="80">
        <f>SUM(Y$171:Y$191)</f>
        <v>0</v>
      </c>
      <c r="Z246" s="80">
        <f>SUM(Z$171:Z$191)</f>
        <v>0</v>
      </c>
      <c r="AA246" s="80">
        <f>SUM(AA$171:AA$191)</f>
        <v>0</v>
      </c>
      <c r="AB246" s="61"/>
    </row>
    <row r="247" spans="3:28" ht="12.75">
      <c r="C247" s="81" t="s">
        <v>129</v>
      </c>
      <c r="D247" s="82"/>
      <c r="E247" s="82"/>
      <c r="F247" s="82"/>
      <c r="G247" s="82"/>
      <c r="H247" s="83">
        <f>SUM(H$194:H$214)</f>
        <v>0</v>
      </c>
      <c r="I247" s="83">
        <f>SUM(I$194:I$214)</f>
        <v>0</v>
      </c>
      <c r="J247" s="83">
        <f>SUM(J$194:J$214)</f>
        <v>0</v>
      </c>
      <c r="K247" s="83">
        <f>SUM(K$194:K$214)</f>
        <v>0</v>
      </c>
      <c r="L247" s="83">
        <f>SUM(L$194:L$214)</f>
        <v>0</v>
      </c>
      <c r="M247" s="83">
        <f>SUM(M$194:M$214)</f>
        <v>0</v>
      </c>
      <c r="N247" s="83">
        <f>SUM(N$194:N$214)</f>
        <v>0</v>
      </c>
      <c r="O247" s="83">
        <f>SUM(O$194:O$214)</f>
        <v>0</v>
      </c>
      <c r="P247" s="29"/>
      <c r="Q247" s="29"/>
      <c r="R247" s="28"/>
      <c r="S247" s="28"/>
      <c r="T247" s="80">
        <f>SUM(T$194:T$214)*Open_Proportion</f>
        <v>0</v>
      </c>
      <c r="U247" s="80">
        <f>SUM(U$194:U$214)</f>
        <v>0</v>
      </c>
      <c r="V247" s="80">
        <f>SUM(V$194:V$214)</f>
        <v>0</v>
      </c>
      <c r="W247" s="80">
        <f>SUM(W$194:W$214)</f>
        <v>0</v>
      </c>
      <c r="X247" s="80">
        <f>SUM(X$194:X$214)</f>
        <v>0</v>
      </c>
      <c r="Y247" s="80">
        <f>SUM(Y$194:Y$214)</f>
        <v>0</v>
      </c>
      <c r="Z247" s="80">
        <f>SUM(Z$194:Z$214)</f>
        <v>0</v>
      </c>
      <c r="AA247" s="80">
        <f>SUM(AA$194:AA$214)</f>
        <v>0</v>
      </c>
      <c r="AB247" s="61"/>
    </row>
    <row r="248" spans="3:28" ht="12.75">
      <c r="C248" s="84" t="s">
        <v>130</v>
      </c>
      <c r="D248" s="85"/>
      <c r="E248" s="85"/>
      <c r="F248" s="85"/>
      <c r="G248" s="85"/>
      <c r="H248" s="86">
        <f>SUM(H$217:H$237)</f>
        <v>0</v>
      </c>
      <c r="I248" s="86">
        <f>SUM(I$217:I$237)</f>
        <v>0</v>
      </c>
      <c r="J248" s="86">
        <f>SUM(J$217:J$237)</f>
        <v>0</v>
      </c>
      <c r="K248" s="86">
        <f>SUM(K$217:K$237)</f>
        <v>0</v>
      </c>
      <c r="L248" s="86">
        <f>SUM(L$217:L$237)</f>
        <v>0</v>
      </c>
      <c r="M248" s="86">
        <f>SUM(M$217:M$237)</f>
        <v>0</v>
      </c>
      <c r="N248" s="86">
        <f>SUM(N$217:N$237)</f>
        <v>0</v>
      </c>
      <c r="O248" s="86">
        <f>SUM(O$217:O$237)</f>
        <v>0</v>
      </c>
      <c r="P248" s="29"/>
      <c r="Q248" s="29"/>
      <c r="R248" s="28"/>
      <c r="S248" s="28"/>
      <c r="T248" s="80">
        <f>SUM(T$217:T$237)*Open_Proportion</f>
        <v>0</v>
      </c>
      <c r="U248" s="80">
        <f>SUM(U$217:U$237)</f>
        <v>0</v>
      </c>
      <c r="V248" s="80">
        <f>SUM(V$217:V$237)</f>
        <v>0</v>
      </c>
      <c r="W248" s="80">
        <f>SUM(W$217:W$237)</f>
        <v>0</v>
      </c>
      <c r="X248" s="80">
        <f>SUM(X$217:X$237)</f>
        <v>0</v>
      </c>
      <c r="Y248" s="80">
        <f>SUM(Y$217:Y$237)</f>
        <v>0</v>
      </c>
      <c r="Z248" s="80">
        <f>SUM(Z$217:Z$237)</f>
        <v>0</v>
      </c>
      <c r="AA248" s="80">
        <f>SUM(AA$217:AA$237)</f>
        <v>0</v>
      </c>
      <c r="AB248" s="61"/>
    </row>
    <row r="249" spans="3:28" ht="15">
      <c r="C249" s="87" t="s">
        <v>131</v>
      </c>
      <c r="D249" s="88"/>
      <c r="E249" s="88"/>
      <c r="F249" s="88"/>
      <c r="G249" s="88"/>
      <c r="H249" s="89">
        <f>SUM(H242:H248)</f>
        <v>0</v>
      </c>
      <c r="I249" s="89">
        <f>SUM(I242:I248)</f>
        <v>0</v>
      </c>
      <c r="J249" s="89">
        <f>SUM(J242:J248)</f>
        <v>0</v>
      </c>
      <c r="K249" s="89">
        <f>SUM(K242:K248)</f>
        <v>0</v>
      </c>
      <c r="L249" s="89">
        <f>SUM(L242:L248)</f>
        <v>0</v>
      </c>
      <c r="M249" s="89">
        <f>SUM(M242:M248)</f>
        <v>0</v>
      </c>
      <c r="N249" s="89">
        <f>SUM(N242:N248)</f>
        <v>0</v>
      </c>
      <c r="O249" s="89">
        <f>SUM(O242:O248)</f>
        <v>0</v>
      </c>
      <c r="P249" s="28"/>
      <c r="Q249" s="29"/>
      <c r="R249"/>
      <c r="S249"/>
      <c r="T249" s="90">
        <f>SUM(T242:T248)</f>
        <v>0</v>
      </c>
      <c r="U249" s="90">
        <f>SUM(U242:U248)</f>
        <v>0</v>
      </c>
      <c r="V249" s="90">
        <f>SUM(V242:V248)</f>
        <v>0</v>
      </c>
      <c r="W249" s="90">
        <f>SUM(W242:W248)</f>
        <v>0</v>
      </c>
      <c r="X249" s="90">
        <f>SUM(X242:X248)</f>
        <v>0</v>
      </c>
      <c r="Y249" s="90">
        <f>SUM(Y242:Y248)</f>
        <v>0</v>
      </c>
      <c r="Z249" s="90">
        <f>SUM(Z242:Z248)</f>
        <v>0</v>
      </c>
      <c r="AA249" s="90">
        <f>SUM(AA242:AA248)</f>
        <v>0</v>
      </c>
      <c r="AB249"/>
    </row>
    <row r="250" spans="3:27" ht="15">
      <c r="C250" s="70"/>
      <c r="D250" s="71"/>
      <c r="E250" s="71"/>
      <c r="F250" s="71"/>
      <c r="G250" s="71"/>
      <c r="H250" s="70"/>
      <c r="I250" s="70"/>
      <c r="J250" s="70"/>
      <c r="K250" s="70"/>
      <c r="L250" s="70"/>
      <c r="M250" s="70"/>
      <c r="N250" s="70"/>
      <c r="O250" s="70"/>
      <c r="P250" s="70"/>
      <c r="Q250" s="72"/>
      <c r="R250" s="703"/>
      <c r="S250"/>
      <c r="T250" s="70"/>
      <c r="U250" s="70"/>
      <c r="V250" s="70"/>
      <c r="W250" s="70"/>
      <c r="X250" s="70"/>
      <c r="Y250" s="70"/>
      <c r="Z250" s="70"/>
      <c r="AA250" s="70"/>
    </row>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spans="1:1" ht="12.75" hidden="1">
      <c r="A269"/>
    </row>
    <row r="270" spans="1:1" ht="12.75" hidden="1">
      <c r="A270"/>
    </row>
    <row r="271" spans="1:1" ht="12.75" hidden="1">
      <c r="A271"/>
    </row>
    <row r="272" spans="1:1" ht="12.75" hidden="1">
      <c r="A272"/>
    </row>
    <row r="273" spans="1:1" ht="12.75" hidden="1">
      <c r="A273"/>
    </row>
    <row r="274" spans="1:1" ht="12.75" hidden="1">
      <c r="A274"/>
    </row>
    <row r="275" spans="1:1" ht="12.75" hidden="1">
      <c r="A275"/>
    </row>
    <row r="276" spans="1:1" ht="12.75" hidden="1">
      <c r="A276"/>
    </row>
    <row r="277" spans="1:1" ht="12.75" hidden="1">
      <c r="A277"/>
    </row>
    <row r="278" spans="1:1" ht="12.75" hidden="1">
      <c r="A278"/>
    </row>
    <row r="279" spans="1:1" ht="12.75" hidden="1">
      <c r="A279"/>
    </row>
    <row r="280" spans="1:1" ht="12.75" hidden="1">
      <c r="A280"/>
    </row>
    <row r="281" spans="1:1" ht="12.75" hidden="1">
      <c r="A281"/>
    </row>
    <row r="282" spans="1:1" ht="12.75" hidden="1">
      <c r="A282"/>
    </row>
    <row r="283" spans="1:1" ht="12.75" hidden="1">
      <c r="A283"/>
    </row>
    <row r="284" spans="1:1" ht="12.75" hidden="1">
      <c r="A284"/>
    </row>
    <row r="285" spans="1:1" ht="12.75" hidden="1">
      <c r="A285"/>
    </row>
    <row r="286" spans="1:1" ht="12.75" hidden="1">
      <c r="A286"/>
    </row>
    <row r="287" spans="1:1" ht="12.75" hidden="1">
      <c r="A287"/>
    </row>
    <row r="288" spans="1:1" ht="12.75" hidden="1">
      <c r="A288"/>
    </row>
    <row r="289" spans="1:1" ht="12.75" hidden="1">
      <c r="A289"/>
    </row>
    <row r="290" spans="1:1" ht="12.75" hidden="1">
      <c r="A290"/>
    </row>
    <row r="291" spans="1:1" ht="12.75" hidden="1">
      <c r="A291"/>
    </row>
    <row r="292" spans="1:1" ht="12.75" hidden="1">
      <c r="A292"/>
    </row>
    <row r="293" spans="1:1" ht="12.75" hidden="1">
      <c r="A293"/>
    </row>
    <row r="294" spans="1:1" ht="12.75" hidden="1">
      <c r="A294"/>
    </row>
    <row r="295" spans="1:1" ht="12.75" hidden="1">
      <c r="A295"/>
    </row>
    <row r="296" spans="1:1" ht="12.75" hidden="1">
      <c r="A296"/>
    </row>
    <row r="297" spans="1:1" ht="12.75" hidden="1">
      <c r="A297"/>
    </row>
    <row r="298" spans="1:1" ht="12.75" hidden="1">
      <c r="A298"/>
    </row>
    <row r="299" spans="1:1" ht="12.75" hidden="1">
      <c r="A299"/>
    </row>
    <row r="300" spans="1:1" ht="12.75" hidden="1">
      <c r="A300"/>
    </row>
    <row r="301" spans="1:1" ht="12.75" hidden="1">
      <c r="A301"/>
    </row>
    <row r="302" spans="1:1" ht="12.75" hidden="1">
      <c r="A302"/>
    </row>
    <row r="303" spans="1:1" ht="12.75" hidden="1">
      <c r="A303"/>
    </row>
    <row r="304" spans="1:1" ht="12.75" hidden="1">
      <c r="A304"/>
    </row>
    <row r="305" spans="1:1" ht="12.75" hidden="1">
      <c r="A305"/>
    </row>
    <row r="306" spans="1:1" ht="12.75" hidden="1">
      <c r="A306"/>
    </row>
    <row r="307" spans="1:1" ht="12.75" hidden="1">
      <c r="A307"/>
    </row>
    <row r="308" spans="1:1" ht="12.75" hidden="1">
      <c r="A308"/>
    </row>
    <row r="309" spans="1:1" ht="12.75" hidden="1">
      <c r="A309"/>
    </row>
    <row r="310" spans="1:1" ht="12.75" hidden="1">
      <c r="A310"/>
    </row>
    <row r="311" spans="1:1" ht="12.75" hidden="1">
      <c r="A311"/>
    </row>
    <row r="312" spans="1:1" ht="12.75" hidden="1">
      <c r="A312"/>
    </row>
    <row r="313" spans="1:1" ht="12.75" hidden="1">
      <c r="A313"/>
    </row>
    <row r="314" spans="1:1" ht="12.75" hidden="1">
      <c r="A314"/>
    </row>
    <row r="315" spans="1:1" ht="12.75" hidden="1">
      <c r="A315"/>
    </row>
    <row r="316" spans="1:1" ht="12.75" hidden="1">
      <c r="A316"/>
    </row>
    <row r="317" spans="1:1" ht="12.75" hidden="1">
      <c r="A317"/>
    </row>
    <row r="318" spans="1:1" ht="12.75" customHeight="1" hidden="1">
      <c r="A318"/>
    </row>
    <row r="319" spans="1:1" ht="12.75" customHeight="1" hidden="1">
      <c r="A319"/>
    </row>
    <row r="320" spans="1:1" ht="12.75" customHeight="1" hidden="1">
      <c r="A320"/>
    </row>
    <row r="321" spans="1:1" ht="12.75" customHeight="1" hidden="1">
      <c r="A321"/>
    </row>
    <row r="322" spans="1:1" ht="12.75" customHeight="1" hidden="1">
      <c r="A322"/>
    </row>
    <row r="323" spans="1:1" ht="12.75" customHeight="1" hidden="1">
      <c r="A323"/>
    </row>
    <row r="324" spans="1:1" ht="12.75" customHeight="1" hidden="1">
      <c r="A324"/>
    </row>
    <row r="325" spans="1:1" ht="12.75" customHeight="1" hidden="1">
      <c r="A325"/>
    </row>
    <row r="326" spans="1:1" ht="12.75" customHeight="1" hidden="1">
      <c r="A326"/>
    </row>
    <row r="327" spans="1:1" ht="12.75" customHeight="1" hidden="1">
      <c r="A327"/>
    </row>
    <row r="328" spans="1:1" ht="12.75" customHeight="1" hidden="1">
      <c r="A328"/>
    </row>
    <row r="329" spans="1:1" ht="12.75" customHeight="1" hidden="1">
      <c r="A329"/>
    </row>
    <row r="330" spans="1:1" ht="12.75" customHeight="1" hidden="1">
      <c r="A330"/>
    </row>
    <row r="331" spans="1:1" ht="12.75" customHeight="1" hidden="1">
      <c r="A331"/>
    </row>
    <row r="332" spans="1:1" ht="12.75" customHeight="1" hidden="1">
      <c r="A332"/>
    </row>
    <row r="333" spans="1:1" ht="12.75" customHeight="1" hidden="1">
      <c r="A333"/>
    </row>
    <row r="334" spans="1:1" ht="12.75" customHeight="1" hidden="1">
      <c r="A334"/>
    </row>
    <row r="335" spans="1:1" ht="12.75" customHeight="1" hidden="1">
      <c r="A335"/>
    </row>
    <row r="336" spans="1:1" ht="12.75" customHeight="1" hidden="1">
      <c r="A336"/>
    </row>
    <row r="337" spans="1:1" ht="12.75" customHeight="1" hidden="1">
      <c r="A337"/>
    </row>
    <row r="338" spans="1:1" ht="12.75" customHeight="1" hidden="1">
      <c r="A338"/>
    </row>
    <row r="339" spans="1:1" ht="12.75" customHeight="1" hidden="1">
      <c r="A339"/>
    </row>
    <row r="340" spans="1:1" ht="12.75" customHeight="1" hidden="1">
      <c r="A340"/>
    </row>
    <row r="341" spans="1:1" ht="12.75" customHeight="1" hidden="1">
      <c r="A341"/>
    </row>
    <row r="342" spans="1:1" ht="12.75" customHeight="1" hidden="1">
      <c r="A342"/>
    </row>
    <row r="343" spans="1:1" ht="12.75" customHeight="1" hidden="1">
      <c r="A343"/>
    </row>
    <row r="344" spans="1:1" ht="12.75" customHeight="1" hidden="1">
      <c r="A344"/>
    </row>
    <row r="345" spans="1:1" ht="12.75" customHeight="1" hidden="1">
      <c r="A345"/>
    </row>
    <row r="346" spans="1:1" ht="12.75" customHeight="1" hidden="1">
      <c r="A346"/>
    </row>
    <row r="347" spans="1:1" ht="12.75" customHeight="1" hidden="1">
      <c r="A347"/>
    </row>
    <row r="348" spans="1:1" ht="12.75" customHeight="1" hidden="1">
      <c r="A348"/>
    </row>
    <row r="349" spans="1:1" ht="12.75" customHeight="1" hidden="1">
      <c r="A349"/>
    </row>
    <row r="350" spans="1:1" ht="12.75" customHeight="1" hidden="1">
      <c r="A350"/>
    </row>
    <row r="351" spans="1:1" ht="12.75" customHeight="1" hidden="1">
      <c r="A351"/>
    </row>
    <row r="352" spans="1:1" ht="12.75" customHeight="1" hidden="1">
      <c r="A352"/>
    </row>
    <row r="353" spans="1:1" ht="12.75" customHeight="1" hidden="1">
      <c r="A353"/>
    </row>
    <row r="354" spans="1:1" ht="12.75" customHeight="1" hidden="1">
      <c r="A354"/>
    </row>
    <row r="355" spans="1:1" ht="12.75" customHeight="1" hidden="1">
      <c r="A355"/>
    </row>
    <row r="356" spans="1:1" ht="12.75" customHeight="1" hidden="1">
      <c r="A356"/>
    </row>
    <row r="357" spans="1:1" ht="12.75" customHeight="1" hidden="1">
      <c r="A357"/>
    </row>
    <row r="358" spans="1:1" ht="12.75" customHeight="1" hidden="1">
      <c r="A358"/>
    </row>
    <row r="359" spans="1:1" ht="12.75" customHeight="1" hidden="1">
      <c r="A359"/>
    </row>
    <row r="360" spans="1:1" ht="12.75" customHeight="1" hidden="1">
      <c r="A360"/>
    </row>
    <row r="361" spans="1:1" ht="12.75" customHeight="1" hidden="1">
      <c r="A361"/>
    </row>
    <row r="362" spans="1:1" ht="12.75" customHeight="1" hidden="1">
      <c r="A362"/>
    </row>
    <row r="363" spans="1:1" ht="12.75" customHeight="1" hidden="1">
      <c r="A363"/>
    </row>
    <row r="364" spans="1:1" ht="12.75" customHeight="1" hidden="1">
      <c r="A364"/>
    </row>
    <row r="365" spans="1:1" ht="12.75" customHeight="1" hidden="1">
      <c r="A365"/>
    </row>
    <row r="366" spans="1:1" ht="12.75" customHeight="1" hidden="1">
      <c r="A366"/>
    </row>
    <row r="367" spans="1:1" ht="12.75" customHeight="1" hidden="1">
      <c r="A367"/>
    </row>
    <row r="368" spans="1:1" ht="12.75" customHeight="1" hidden="1">
      <c r="A368"/>
    </row>
    <row r="369" spans="1:1" ht="12.75" customHeight="1" hidden="1">
      <c r="A369"/>
    </row>
    <row r="370" spans="1:1" ht="12.75" customHeight="1" hidden="1">
      <c r="A370"/>
    </row>
    <row r="371" spans="1:1" ht="12.75" customHeight="1" hidden="1">
      <c r="A371"/>
    </row>
    <row r="372" spans="1:1" ht="12.75" customHeight="1" hidden="1">
      <c r="A372"/>
    </row>
    <row r="373" spans="1:1" ht="12.75" customHeight="1" hidden="1">
      <c r="A373"/>
    </row>
    <row r="374" spans="1:1" ht="12.75" customHeight="1" hidden="1">
      <c r="A374"/>
    </row>
    <row r="375" spans="1:1" ht="12.75" customHeight="1" hidden="1">
      <c r="A375"/>
    </row>
    <row r="376" spans="1:1" ht="12.75" customHeight="1" hidden="1">
      <c r="A376"/>
    </row>
    <row r="377" spans="1:1" ht="12.75" customHeight="1" hidden="1">
      <c r="A377"/>
    </row>
    <row r="378" spans="1:1" ht="12.75" customHeight="1" hidden="1">
      <c r="A378"/>
    </row>
    <row r="379" spans="1:1" ht="12.75" customHeight="1" hidden="1">
      <c r="A379"/>
    </row>
    <row r="380" spans="1:1" ht="12.75" customHeight="1" hidden="1">
      <c r="A380"/>
    </row>
    <row r="381" spans="1:1" ht="12.75" customHeight="1" hidden="1">
      <c r="A381"/>
    </row>
    <row r="382" spans="1:1" ht="12.75" customHeight="1" hidden="1">
      <c r="A382"/>
    </row>
    <row r="383" spans="1:1" ht="12.75" customHeight="1" hidden="1">
      <c r="A383"/>
    </row>
    <row r="384" spans="1:1" ht="12.75" customHeight="1" hidden="1">
      <c r="A384"/>
    </row>
    <row r="385" spans="1:1" ht="12.75" customHeight="1" hidden="1">
      <c r="A385"/>
    </row>
    <row r="386" spans="1:1" ht="12.75" customHeight="1" hidden="1">
      <c r="A386"/>
    </row>
    <row r="387" spans="1:1" ht="12.75" customHeight="1" hidden="1">
      <c r="A387"/>
    </row>
    <row r="388" spans="1:1" ht="12.75" customHeight="1" hidden="1">
      <c r="A388"/>
    </row>
    <row r="389" spans="1:1" ht="12.75" customHeight="1" hidden="1">
      <c r="A389"/>
    </row>
    <row r="390" spans="1:1" ht="12.75" customHeight="1" hidden="1">
      <c r="A390"/>
    </row>
    <row r="391" spans="1:1" ht="12.75" customHeight="1" hidden="1">
      <c r="A391"/>
    </row>
    <row r="392" spans="1:1" ht="12.75" customHeight="1" hidden="1">
      <c r="A392"/>
    </row>
    <row r="393" spans="1:1" ht="12.75" customHeight="1" hidden="1">
      <c r="A393"/>
    </row>
    <row r="394" spans="1:1" ht="12.75" customHeight="1" hidden="1">
      <c r="A394"/>
    </row>
    <row r="395" spans="1:1" ht="12.75" customHeight="1" hidden="1">
      <c r="A395"/>
    </row>
    <row r="396" spans="1:1" ht="12.75" customHeight="1" hidden="1">
      <c r="A396"/>
    </row>
    <row r="397" spans="1:1" ht="12.75" customHeight="1" hidden="1">
      <c r="A397"/>
    </row>
    <row r="398" spans="1:1" ht="12.75" customHeight="1" hidden="1">
      <c r="A398"/>
    </row>
    <row r="399" spans="1:1" ht="12.75" customHeight="1" hidden="1">
      <c r="A399"/>
    </row>
    <row r="400" spans="1:1" ht="12.75" customHeight="1" hidden="1">
      <c r="A400"/>
    </row>
    <row r="401" spans="1:1" ht="12.75" customHeight="1" hidden="1">
      <c r="A401"/>
    </row>
    <row r="402" spans="1:1" ht="12.75" customHeight="1" hidden="1">
      <c r="A402"/>
    </row>
  </sheetData>
  <sheetProtection algorithmName="SHA-512" hashValue="o75Z5G8q/qP45dy00/5GBcUWK6UHa5R9QY9Go2aLYH5QJFcgL9t7jorojgBAFiKDxfOTPI7EjdB8UALEi3FG4A==" saltValue="ndAjP1WswF3q8QHbw6xt2g==" spinCount="100000" sheet="1" objects="1" scenarios="1"/>
  <mergeCells count="10">
    <mergeCell ref="AC4:AJ4"/>
    <mergeCell ref="AK4:AR4"/>
    <mergeCell ref="AS4:AZ4"/>
    <mergeCell ref="F1:V1"/>
    <mergeCell ref="C4:C5"/>
    <mergeCell ref="D4:D5"/>
    <mergeCell ref="E4:E5"/>
    <mergeCell ref="F4:F5"/>
    <mergeCell ref="G4:G5"/>
    <mergeCell ref="Q4:Q5"/>
  </mergeCells>
  <dataValidations count="6">
    <dataValidation type="list" allowBlank="1" showInputMessage="1" showErrorMessage="1" errorTitle="Invalid Entry" error="Percentage cannot be negative or greater than 100%." sqref="G217:G236 G32:G91 G95:G144 G148:G167 G171:G190 G194:G213 G19:G28">
      <formula1>NI_Category</formula1>
    </dataValidation>
    <dataValidation type="decimal" allowBlank="1" showInputMessage="1" showErrorMessage="1" errorTitle="Invalid Entry" error="Percentage cannot be negative or greater than 100%." sqref="F171:F190 F148:F167 F95:F144 F19:F28 F217:F236 F194:F213 F32:F91">
      <formula1>0</formula1>
      <formula2>1</formula2>
    </dataValidation>
    <dataValidation type="decimal" operator="greaterThanOrEqual" allowBlank="1" showInputMessage="1" showErrorMessage="1" errorTitle="Invalid Entry" error="You may only enter a number greater than or equal to zero." sqref="D148:E167 D95:E144 D19:E28 D217:E236 D194:E213 D171:E190 D32:E91">
      <formula1>0</formula1>
    </dataValidation>
    <dataValidation type="decimal" allowBlank="1" showInputMessage="1" showErrorMessage="1" sqref="WLD983254:WLK983273 IN94:IU143 SJ94:SQ143 ACF94:ACM143 AMB94:AMI143 AVX94:AWE143 BFT94:BGA143 BPP94:BPW143 BZL94:BZS143 CJH94:CJO143 CTD94:CTK143 DCZ94:DDG143 DMV94:DNC143 DWR94:DWY143 EGN94:EGU143 EQJ94:EQQ143 FAF94:FAM143 FKB94:FKI143 FTX94:FUE143 GDT94:GEA143 GNP94:GNW143 GXL94:GXS143 HHH94:HHO143 HRD94:HRK143 IAZ94:IBG143 IKV94:ILC143 IUR94:IUY143 JEN94:JEU143 JOJ94:JOQ143 JYF94:JYM143 KIB94:KII143 KRX94:KSE143 LBT94:LCA143 LLP94:LLW143 LVL94:LVS143 MFH94:MFO143 MPD94:MPK143 MYZ94:MZG143 NIV94:NJC143 NSR94:NSY143 OCN94:OCU143 OMJ94:OMQ143 OWF94:OWM143 PGB94:PGI143 PPX94:PQE143 PZT94:QAA143 QJP94:QJW143 QTL94:QTS143 RDH94:RDO143 RND94:RNK143 RWZ94:RXG143 SGV94:SHC143 SQR94:SQY143 TAN94:TAU143 TKJ94:TKQ143 TUF94:TUM143 UEB94:UEI143 UNX94:UOE143 UXT94:UYA143 VHP94:VHW143 VRL94:VRS143 WBH94:WBO143 WLD94:WLK143 WUZ94:WVG143 H65639:O65678 IN65638:IU65677 SJ65638:SQ65677 ACF65638:ACM65677 AMB65638:AMI65677 AVX65638:AWE65677 BFT65638:BGA65677 BPP65638:BPW65677 BZL65638:BZS65677 CJH65638:CJO65677 CTD65638:CTK65677 DCZ65638:DDG65677 DMV65638:DNC65677 DWR65638:DWY65677 EGN65638:EGU65677 EQJ65638:EQQ65677 FAF65638:FAM65677 FKB65638:FKI65677 FTX65638:FUE65677 GDT65638:GEA65677 GNP65638:GNW65677 GXL65638:GXS65677 HHH65638:HHO65677 HRD65638:HRK65677 IAZ65638:IBG65677 IKV65638:ILC65677 IUR65638:IUY65677 JEN65638:JEU65677 JOJ65638:JOQ65677 JYF65638:JYM65677 KIB65638:KII65677 KRX65638:KSE65677 LBT65638:LCA65677 LLP65638:LLW65677 LVL65638:LVS65677 MFH65638:MFO65677 MPD65638:MPK65677 MYZ65638:MZG65677 NIV65638:NJC65677 NSR65638:NSY65677 OCN65638:OCU65677 OMJ65638:OMQ65677 OWF65638:OWM65677 PGB65638:PGI65677 PPX65638:PQE65677 PZT65638:QAA65677 QJP65638:QJW65677 QTL65638:QTS65677 RDH65638:RDO65677 RND65638:RNK65677 RWZ65638:RXG65677 SGV65638:SHC65677 SQR65638:SQY65677 TAN65638:TAU65677 TKJ65638:TKQ65677 TUF65638:TUM65677 UEB65638:UEI65677 UNX65638:UOE65677 UXT65638:UYA65677 VHP65638:VHW65677 VRL65638:VRS65677 WBH65638:WBO65677 WLD65638:WLK65677 WUZ65638:WVG65677 H131175:O131214 IN131174:IU131213 SJ131174:SQ131213 ACF131174:ACM131213 AMB131174:AMI131213 AVX131174:AWE131213 BFT131174:BGA131213 BPP131174:BPW131213 BZL131174:BZS131213 CJH131174:CJO131213 CTD131174:CTK131213 DCZ131174:DDG131213 DMV131174:DNC131213 DWR131174:DWY131213 EGN131174:EGU131213 EQJ131174:EQQ131213 FAF131174:FAM131213 FKB131174:FKI131213 FTX131174:FUE131213 GDT131174:GEA131213 GNP131174:GNW131213 GXL131174:GXS131213 HHH131174:HHO131213 HRD131174:HRK131213 IAZ131174:IBG131213 IKV131174:ILC131213 IUR131174:IUY131213 JEN131174:JEU131213 JOJ131174:JOQ131213 JYF131174:JYM131213 KIB131174:KII131213 KRX131174:KSE131213 LBT131174:LCA131213 LLP131174:LLW131213 LVL131174:LVS131213 MFH131174:MFO131213 MPD131174:MPK131213 MYZ131174:MZG131213 NIV131174:NJC131213 NSR131174:NSY131213 OCN131174:OCU131213 OMJ131174:OMQ131213 OWF131174:OWM131213 PGB131174:PGI131213 PPX131174:PQE131213 PZT131174:QAA131213 QJP131174:QJW131213 QTL131174:QTS131213 RDH131174:RDO131213 RND131174:RNK131213 RWZ131174:RXG131213 SGV131174:SHC131213 SQR131174:SQY131213 TAN131174:TAU131213 TKJ131174:TKQ131213 TUF131174:TUM131213 UEB131174:UEI131213 UNX131174:UOE131213 UXT131174:UYA131213 VHP131174:VHW131213 VRL131174:VRS131213 WBH131174:WBO131213 WLD131174:WLK131213 WUZ131174:WVG131213 H196711:O196750 IN196710:IU196749 SJ196710:SQ196749 ACF196710:ACM196749 AMB196710:AMI196749 AVX196710:AWE196749 BFT196710:BGA196749 BPP196710:BPW196749 BZL196710:BZS196749 CJH196710:CJO196749 CTD196710:CTK196749 DCZ196710:DDG196749 DMV196710:DNC196749 DWR196710:DWY196749 EGN196710:EGU196749 EQJ196710:EQQ196749 FAF196710:FAM196749 FKB196710:FKI196749 FTX196710:FUE196749 GDT196710:GEA196749 GNP196710:GNW196749 GXL196710:GXS196749 HHH196710:HHO196749 HRD196710:HRK196749 IAZ196710:IBG196749 IKV196710:ILC196749 IUR196710:IUY196749 JEN196710:JEU196749 JOJ196710:JOQ196749 JYF196710:JYM196749 KIB196710:KII196749 KRX196710:KSE196749 LBT196710:LCA196749 LLP196710:LLW196749 LVL196710:LVS196749 MFH196710:MFO196749 MPD196710:MPK196749 MYZ196710:MZG196749 NIV196710:NJC196749 NSR196710:NSY196749 OCN196710:OCU196749 OMJ196710:OMQ196749 OWF196710:OWM196749 PGB196710:PGI196749 PPX196710:PQE196749 PZT196710:QAA196749 QJP196710:QJW196749 QTL196710:QTS196749 RDH196710:RDO196749 RND196710:RNK196749 RWZ196710:RXG196749 SGV196710:SHC196749 SQR196710:SQY196749 TAN196710:TAU196749 TKJ196710:TKQ196749 TUF196710:TUM196749 UEB196710:UEI196749 UNX196710:UOE196749 UXT196710:UYA196749 VHP196710:VHW196749 VRL196710:VRS196749 WBH196710:WBO196749 WLD196710:WLK196749 WUZ196710:WVG196749 H262247:O262286 IN262246:IU262285 SJ262246:SQ262285 ACF262246:ACM262285 AMB262246:AMI262285 AVX262246:AWE262285 BFT262246:BGA262285 BPP262246:BPW262285 BZL262246:BZS262285 CJH262246:CJO262285 CTD262246:CTK262285 DCZ262246:DDG262285 DMV262246:DNC262285 DWR262246:DWY262285 EGN262246:EGU262285 EQJ262246:EQQ262285 FAF262246:FAM262285 FKB262246:FKI262285 FTX262246:FUE262285 GDT262246:GEA262285 GNP262246:GNW262285 GXL262246:GXS262285 HHH262246:HHO262285 HRD262246:HRK262285 IAZ262246:IBG262285 IKV262246:ILC262285 IUR262246:IUY262285 JEN262246:JEU262285 JOJ262246:JOQ262285 JYF262246:JYM262285 KIB262246:KII262285 KRX262246:KSE262285 LBT262246:LCA262285 LLP262246:LLW262285 LVL262246:LVS262285 MFH262246:MFO262285 MPD262246:MPK262285 MYZ262246:MZG262285 NIV262246:NJC262285 NSR262246:NSY262285 OCN262246:OCU262285 OMJ262246:OMQ262285 OWF262246:OWM262285 PGB262246:PGI262285 PPX262246:PQE262285 PZT262246:QAA262285 QJP262246:QJW262285 QTL262246:QTS262285 RDH262246:RDO262285 RND262246:RNK262285 RWZ262246:RXG262285 SGV262246:SHC262285 SQR262246:SQY262285 TAN262246:TAU262285 TKJ262246:TKQ262285 TUF262246:TUM262285 UEB262246:UEI262285 UNX262246:UOE262285 UXT262246:UYA262285 VHP262246:VHW262285 VRL262246:VRS262285 WBH262246:WBO262285 WLD262246:WLK262285 WUZ262246:WVG262285 H327783:O327822 IN327782:IU327821 SJ327782:SQ327821 ACF327782:ACM327821 AMB327782:AMI327821 AVX327782:AWE327821 BFT327782:BGA327821 BPP327782:BPW327821 BZL327782:BZS327821 CJH327782:CJO327821 CTD327782:CTK327821 DCZ327782:DDG327821 DMV327782:DNC327821 DWR327782:DWY327821 EGN327782:EGU327821 EQJ327782:EQQ327821 FAF327782:FAM327821 FKB327782:FKI327821 FTX327782:FUE327821 GDT327782:GEA327821 GNP327782:GNW327821 GXL327782:GXS327821 HHH327782:HHO327821 HRD327782:HRK327821 IAZ327782:IBG327821 IKV327782:ILC327821 IUR327782:IUY327821 JEN327782:JEU327821 JOJ327782:JOQ327821 JYF327782:JYM327821 KIB327782:KII327821 KRX327782:KSE327821 LBT327782:LCA327821 LLP327782:LLW327821 LVL327782:LVS327821 MFH327782:MFO327821 MPD327782:MPK327821 MYZ327782:MZG327821 NIV327782:NJC327821 NSR327782:NSY327821 OCN327782:OCU327821 OMJ327782:OMQ327821 OWF327782:OWM327821 PGB327782:PGI327821 PPX327782:PQE327821 PZT327782:QAA327821 QJP327782:QJW327821 QTL327782:QTS327821 RDH327782:RDO327821 RND327782:RNK327821 RWZ327782:RXG327821 SGV327782:SHC327821 SQR327782:SQY327821 TAN327782:TAU327821 TKJ327782:TKQ327821 TUF327782:TUM327821 UEB327782:UEI327821 UNX327782:UOE327821 UXT327782:UYA327821 VHP327782:VHW327821 VRL327782:VRS327821 WBH327782:WBO327821 WLD327782:WLK327821 WUZ327782:WVG327821 H393319:O393358 IN393318:IU393357 SJ393318:SQ393357 ACF393318:ACM393357 AMB393318:AMI393357 AVX393318:AWE393357 BFT393318:BGA393357 BPP393318:BPW393357 BZL393318:BZS393357 CJH393318:CJO393357 CTD393318:CTK393357 DCZ393318:DDG393357 DMV393318:DNC393357 DWR393318:DWY393357 EGN393318:EGU393357 EQJ393318:EQQ393357 FAF393318:FAM393357 FKB393318:FKI393357 FTX393318:FUE393357 GDT393318:GEA393357 GNP393318:GNW393357 GXL393318:GXS393357 HHH393318:HHO393357 HRD393318:HRK393357 IAZ393318:IBG393357 IKV393318:ILC393357 IUR393318:IUY393357 JEN393318:JEU393357 JOJ393318:JOQ393357 JYF393318:JYM393357 KIB393318:KII393357 KRX393318:KSE393357 LBT393318:LCA393357 LLP393318:LLW393357 LVL393318:LVS393357 MFH393318:MFO393357 MPD393318:MPK393357 MYZ393318:MZG393357 NIV393318:NJC393357 NSR393318:NSY393357 OCN393318:OCU393357 OMJ393318:OMQ393357 OWF393318:OWM393357 PGB393318:PGI393357 PPX393318:PQE393357 PZT393318:QAA393357 QJP393318:QJW393357 QTL393318:QTS393357 RDH393318:RDO393357 RND393318:RNK393357 RWZ393318:RXG393357 SGV393318:SHC393357 SQR393318:SQY393357 TAN393318:TAU393357 TKJ393318:TKQ393357 TUF393318:TUM393357 UEB393318:UEI393357 UNX393318:UOE393357 UXT393318:UYA393357 VHP393318:VHW393357 VRL393318:VRS393357 WBH393318:WBO393357 WLD393318:WLK393357 WUZ393318:WVG393357 H458855:O458894 IN458854:IU458893 SJ458854:SQ458893 ACF458854:ACM458893 AMB458854:AMI458893 AVX458854:AWE458893 BFT458854:BGA458893 BPP458854:BPW458893 BZL458854:BZS458893 CJH458854:CJO458893 CTD458854:CTK458893 DCZ458854:DDG458893 DMV458854:DNC458893 DWR458854:DWY458893 EGN458854:EGU458893 EQJ458854:EQQ458893 FAF458854:FAM458893 FKB458854:FKI458893 FTX458854:FUE458893 GDT458854:GEA458893 GNP458854:GNW458893 GXL458854:GXS458893 HHH458854:HHO458893 HRD458854:HRK458893 IAZ458854:IBG458893 IKV458854:ILC458893 IUR458854:IUY458893 JEN458854:JEU458893 JOJ458854:JOQ458893 JYF458854:JYM458893 KIB458854:KII458893 KRX458854:KSE458893 LBT458854:LCA458893 LLP458854:LLW458893 LVL458854:LVS458893 MFH458854:MFO458893 MPD458854:MPK458893 MYZ458854:MZG458893 NIV458854:NJC458893 NSR458854:NSY458893 OCN458854:OCU458893 OMJ458854:OMQ458893 OWF458854:OWM458893 PGB458854:PGI458893 PPX458854:PQE458893 PZT458854:QAA458893 QJP458854:QJW458893 QTL458854:QTS458893 RDH458854:RDO458893 RND458854:RNK458893 RWZ458854:RXG458893 SGV458854:SHC458893 SQR458854:SQY458893 TAN458854:TAU458893 TKJ458854:TKQ458893 TUF458854:TUM458893 UEB458854:UEI458893 UNX458854:UOE458893 UXT458854:UYA458893 VHP458854:VHW458893 VRL458854:VRS458893 WBH458854:WBO458893 WLD458854:WLK458893 WUZ458854:WVG458893 H524391:O524430 IN524390:IU524429 SJ524390:SQ524429 ACF524390:ACM524429 AMB524390:AMI524429 AVX524390:AWE524429 BFT524390:BGA524429 BPP524390:BPW524429 BZL524390:BZS524429 CJH524390:CJO524429 CTD524390:CTK524429 DCZ524390:DDG524429 DMV524390:DNC524429 DWR524390:DWY524429 EGN524390:EGU524429 EQJ524390:EQQ524429 FAF524390:FAM524429 FKB524390:FKI524429 FTX524390:FUE524429 GDT524390:GEA524429 GNP524390:GNW524429 GXL524390:GXS524429 HHH524390:HHO524429 HRD524390:HRK524429 IAZ524390:IBG524429 IKV524390:ILC524429 IUR524390:IUY524429 JEN524390:JEU524429 JOJ524390:JOQ524429 JYF524390:JYM524429 KIB524390:KII524429 KRX524390:KSE524429 LBT524390:LCA524429 LLP524390:LLW524429 LVL524390:LVS524429 MFH524390:MFO524429 MPD524390:MPK524429 MYZ524390:MZG524429 NIV524390:NJC524429 NSR524390:NSY524429 OCN524390:OCU524429 OMJ524390:OMQ524429 OWF524390:OWM524429 PGB524390:PGI524429 PPX524390:PQE524429 PZT524390:QAA524429 QJP524390:QJW524429 QTL524390:QTS524429 RDH524390:RDO524429 RND524390:RNK524429 RWZ524390:RXG524429 SGV524390:SHC524429 SQR524390:SQY524429 TAN524390:TAU524429 TKJ524390:TKQ524429 TUF524390:TUM524429 UEB524390:UEI524429 UNX524390:UOE524429 UXT524390:UYA524429 VHP524390:VHW524429 VRL524390:VRS524429 WBH524390:WBO524429 WLD524390:WLK524429 WUZ524390:WVG524429 H589927:O589966 IN589926:IU589965 SJ589926:SQ589965 ACF589926:ACM589965 AMB589926:AMI589965 AVX589926:AWE589965 BFT589926:BGA589965 BPP589926:BPW589965 BZL589926:BZS589965 CJH589926:CJO589965 CTD589926:CTK589965 DCZ589926:DDG589965 DMV589926:DNC589965 DWR589926:DWY589965 EGN589926:EGU589965 EQJ589926:EQQ589965 FAF589926:FAM589965 FKB589926:FKI589965 FTX589926:FUE589965 GDT589926:GEA589965 GNP589926:GNW589965 GXL589926:GXS589965 HHH589926:HHO589965 HRD589926:HRK589965 IAZ589926:IBG589965 IKV589926:ILC589965 IUR589926:IUY589965 JEN589926:JEU589965 JOJ589926:JOQ589965 JYF589926:JYM589965 KIB589926:KII589965 KRX589926:KSE589965 LBT589926:LCA589965 LLP589926:LLW589965 LVL589926:LVS589965 MFH589926:MFO589965 MPD589926:MPK589965 MYZ589926:MZG589965 NIV589926:NJC589965 NSR589926:NSY589965 OCN589926:OCU589965 OMJ589926:OMQ589965 OWF589926:OWM589965 PGB589926:PGI589965 PPX589926:PQE589965 PZT589926:QAA589965 QJP589926:QJW589965 QTL589926:QTS589965 RDH589926:RDO589965 RND589926:RNK589965 RWZ589926:RXG589965 SGV589926:SHC589965 SQR589926:SQY589965 TAN589926:TAU589965 TKJ589926:TKQ589965 TUF589926:TUM589965 UEB589926:UEI589965 UNX589926:UOE589965 UXT589926:UYA589965 VHP589926:VHW589965 VRL589926:VRS589965 WBH589926:WBO589965 WLD589926:WLK589965 WUZ589926:WVG589965 H655463:O655502 IN655462:IU655501 SJ655462:SQ655501 ACF655462:ACM655501 AMB655462:AMI655501 AVX655462:AWE655501 BFT655462:BGA655501 BPP655462:BPW655501 BZL655462:BZS655501 CJH655462:CJO655501 CTD655462:CTK655501 DCZ655462:DDG655501 DMV655462:DNC655501 DWR655462:DWY655501 EGN655462:EGU655501 EQJ655462:EQQ655501 FAF655462:FAM655501 FKB655462:FKI655501 FTX655462:FUE655501 GDT655462:GEA655501 GNP655462:GNW655501 GXL655462:GXS655501 HHH655462:HHO655501 HRD655462:HRK655501 IAZ655462:IBG655501 IKV655462:ILC655501 IUR655462:IUY655501 JEN655462:JEU655501 JOJ655462:JOQ655501 JYF655462:JYM655501 KIB655462:KII655501 KRX655462:KSE655501 LBT655462:LCA655501 LLP655462:LLW655501 LVL655462:LVS655501 MFH655462:MFO655501 MPD655462:MPK655501 MYZ655462:MZG655501 NIV655462:NJC655501 NSR655462:NSY655501 OCN655462:OCU655501 OMJ655462:OMQ655501 OWF655462:OWM655501 PGB655462:PGI655501 PPX655462:PQE655501 PZT655462:QAA655501 QJP655462:QJW655501 QTL655462:QTS655501 RDH655462:RDO655501 RND655462:RNK655501 RWZ655462:RXG655501 SGV655462:SHC655501 SQR655462:SQY655501 TAN655462:TAU655501 TKJ655462:TKQ655501 TUF655462:TUM655501 UEB655462:UEI655501 UNX655462:UOE655501 UXT655462:UYA655501 VHP655462:VHW655501 VRL655462:VRS655501 WBH655462:WBO655501 WLD655462:WLK655501 WUZ655462:WVG655501 H720999:O721038 IN720998:IU721037 SJ720998:SQ721037 ACF720998:ACM721037 AMB720998:AMI721037 AVX720998:AWE721037 BFT720998:BGA721037 BPP720998:BPW721037 BZL720998:BZS721037 CJH720998:CJO721037 CTD720998:CTK721037 DCZ720998:DDG721037 DMV720998:DNC721037 DWR720998:DWY721037 EGN720998:EGU721037 EQJ720998:EQQ721037 FAF720998:FAM721037 FKB720998:FKI721037 FTX720998:FUE721037 GDT720998:GEA721037 GNP720998:GNW721037 GXL720998:GXS721037 HHH720998:HHO721037 HRD720998:HRK721037 IAZ720998:IBG721037 IKV720998:ILC721037 IUR720998:IUY721037 JEN720998:JEU721037 JOJ720998:JOQ721037 JYF720998:JYM721037 KIB720998:KII721037 KRX720998:KSE721037 LBT720998:LCA721037 LLP720998:LLW721037 LVL720998:LVS721037 MFH720998:MFO721037 MPD720998:MPK721037 MYZ720998:MZG721037 NIV720998:NJC721037 NSR720998:NSY721037 OCN720998:OCU721037 OMJ720998:OMQ721037 OWF720998:OWM721037 PGB720998:PGI721037 PPX720998:PQE721037 PZT720998:QAA721037 QJP720998:QJW721037 QTL720998:QTS721037 RDH720998:RDO721037 RND720998:RNK721037 RWZ720998:RXG721037 SGV720998:SHC721037 SQR720998:SQY721037 TAN720998:TAU721037 TKJ720998:TKQ721037 TUF720998:TUM721037 UEB720998:UEI721037 UNX720998:UOE721037 UXT720998:UYA721037 VHP720998:VHW721037 VRL720998:VRS721037 WBH720998:WBO721037 WLD720998:WLK721037 WUZ720998:WVG721037 H786535:O786574 IN786534:IU786573 SJ786534:SQ786573 ACF786534:ACM786573 AMB786534:AMI786573 AVX786534:AWE786573 BFT786534:BGA786573 BPP786534:BPW786573 BZL786534:BZS786573 CJH786534:CJO786573 CTD786534:CTK786573 DCZ786534:DDG786573 DMV786534:DNC786573 DWR786534:DWY786573 EGN786534:EGU786573 EQJ786534:EQQ786573 FAF786534:FAM786573 FKB786534:FKI786573 FTX786534:FUE786573 GDT786534:GEA786573 GNP786534:GNW786573 GXL786534:GXS786573 HHH786534:HHO786573 HRD786534:HRK786573 IAZ786534:IBG786573 IKV786534:ILC786573 IUR786534:IUY786573 JEN786534:JEU786573 JOJ786534:JOQ786573 JYF786534:JYM786573 KIB786534:KII786573 KRX786534:KSE786573 LBT786534:LCA786573 LLP786534:LLW786573 LVL786534:LVS786573 MFH786534:MFO786573 MPD786534:MPK786573 MYZ786534:MZG786573 NIV786534:NJC786573 NSR786534:NSY786573 OCN786534:OCU786573 OMJ786534:OMQ786573 OWF786534:OWM786573 PGB786534:PGI786573 PPX786534:PQE786573 PZT786534:QAA786573 QJP786534:QJW786573 QTL786534:QTS786573 RDH786534:RDO786573 RND786534:RNK786573 RWZ786534:RXG786573 SGV786534:SHC786573 SQR786534:SQY786573 TAN786534:TAU786573 TKJ786534:TKQ786573 TUF786534:TUM786573 UEB786534:UEI786573 UNX786534:UOE786573 UXT786534:UYA786573 VHP786534:VHW786573 VRL786534:VRS786573 WBH786534:WBO786573 WLD786534:WLK786573 WUZ786534:WVG786573 H852071:O852110 IN852070:IU852109 SJ852070:SQ852109 ACF852070:ACM852109 AMB852070:AMI852109 AVX852070:AWE852109 BFT852070:BGA852109 BPP852070:BPW852109 BZL852070:BZS852109 CJH852070:CJO852109 CTD852070:CTK852109 DCZ852070:DDG852109 DMV852070:DNC852109 DWR852070:DWY852109 EGN852070:EGU852109 EQJ852070:EQQ852109 FAF852070:FAM852109 FKB852070:FKI852109 FTX852070:FUE852109 GDT852070:GEA852109 GNP852070:GNW852109 GXL852070:GXS852109 HHH852070:HHO852109 HRD852070:HRK852109 IAZ852070:IBG852109 IKV852070:ILC852109 IUR852070:IUY852109 JEN852070:JEU852109 JOJ852070:JOQ852109 JYF852070:JYM852109 KIB852070:KII852109 KRX852070:KSE852109 LBT852070:LCA852109 LLP852070:LLW852109 LVL852070:LVS852109 MFH852070:MFO852109 MPD852070:MPK852109 MYZ852070:MZG852109 NIV852070:NJC852109 NSR852070:NSY852109 OCN852070:OCU852109 OMJ852070:OMQ852109 OWF852070:OWM852109 PGB852070:PGI852109 PPX852070:PQE852109 PZT852070:QAA852109 QJP852070:QJW852109 QTL852070:QTS852109 RDH852070:RDO852109 RND852070:RNK852109 RWZ852070:RXG852109 SGV852070:SHC852109 SQR852070:SQY852109 TAN852070:TAU852109 TKJ852070:TKQ852109 TUF852070:TUM852109 UEB852070:UEI852109 UNX852070:UOE852109 UXT852070:UYA852109 VHP852070:VHW852109 VRL852070:VRS852109 WBH852070:WBO852109 WLD852070:WLK852109 WUZ852070:WVG852109 H917607:O917646 IN917606:IU917645 SJ917606:SQ917645 ACF917606:ACM917645 AMB917606:AMI917645 AVX917606:AWE917645 BFT917606:BGA917645 BPP917606:BPW917645 BZL917606:BZS917645 CJH917606:CJO917645 CTD917606:CTK917645 DCZ917606:DDG917645 DMV917606:DNC917645 DWR917606:DWY917645 EGN917606:EGU917645 EQJ917606:EQQ917645 FAF917606:FAM917645 FKB917606:FKI917645 FTX917606:FUE917645 GDT917606:GEA917645 GNP917606:GNW917645 GXL917606:GXS917645 HHH917606:HHO917645 HRD917606:HRK917645 IAZ917606:IBG917645 IKV917606:ILC917645 IUR917606:IUY917645 JEN917606:JEU917645 JOJ917606:JOQ917645 JYF917606:JYM917645 KIB917606:KII917645 KRX917606:KSE917645 LBT917606:LCA917645 LLP917606:LLW917645 LVL917606:LVS917645 MFH917606:MFO917645 MPD917606:MPK917645 MYZ917606:MZG917645 NIV917606:NJC917645 NSR917606:NSY917645 OCN917606:OCU917645 OMJ917606:OMQ917645 OWF917606:OWM917645 PGB917606:PGI917645 PPX917606:PQE917645 PZT917606:QAA917645 QJP917606:QJW917645 QTL917606:QTS917645 RDH917606:RDO917645 RND917606:RNK917645 RWZ917606:RXG917645 SGV917606:SHC917645 SQR917606:SQY917645 TAN917606:TAU917645 TKJ917606:TKQ917645 TUF917606:TUM917645 UEB917606:UEI917645 UNX917606:UOE917645 UXT917606:UYA917645 VHP917606:VHW917645 VRL917606:VRS917645 WBH917606:WBO917645 WLD917606:WLK917645 WUZ917606:WVG917645 H983143:O983182 IN983142:IU983181 SJ983142:SQ983181 ACF983142:ACM983181 AMB983142:AMI983181 AVX983142:AWE983181 BFT983142:BGA983181 BPP983142:BPW983181 BZL983142:BZS983181 CJH983142:CJO983181 CTD983142:CTK983181 DCZ983142:DDG983181 DMV983142:DNC983181 DWR983142:DWY983181 EGN983142:EGU983181 EQJ983142:EQQ983181 FAF983142:FAM983181 FKB983142:FKI983181 FTX983142:FUE983181 GDT983142:GEA983181 GNP983142:GNW983181 GXL983142:GXS983181 HHH983142:HHO983181 HRD983142:HRK983181 IAZ983142:IBG983181 IKV983142:ILC983181 IUR983142:IUY983181 JEN983142:JEU983181 JOJ983142:JOQ983181 JYF983142:JYM983181 KIB983142:KII983181 KRX983142:KSE983181 LBT983142:LCA983181 LLP983142:LLW983181 LVL983142:LVS983181 MFH983142:MFO983181 MPD983142:MPK983181 MYZ983142:MZG983181 NIV983142:NJC983181 NSR983142:NSY983181 OCN983142:OCU983181 OMJ983142:OMQ983181 OWF983142:OWM983181 PGB983142:PGI983181 PPX983142:PQE983181 PZT983142:QAA983181 QJP983142:QJW983181 QTL983142:QTS983181 RDH983142:RDO983181 RND983142:RNK983181 RWZ983142:RXG983181 SGV983142:SHC983181 SQR983142:SQY983181 TAN983142:TAU983181 TKJ983142:TKQ983181 TUF983142:TUM983181 UEB983142:UEI983181 UNX983142:UOE983181 UXT983142:UYA983181 VHP983142:VHW983181 VRL983142:VRS983181 WBH983142:WBO983181 WLD983142:WLK983181 WUZ983142:WVG983181 VRL983254:VRS983273 IN147:IU166 SJ147:SQ166 ACF147:ACM166 AMB147:AMI166 AVX147:AWE166 BFT147:BGA166 BPP147:BPW166 BZL147:BZS166 CJH147:CJO166 CTD147:CTK166 DCZ147:DDG166 DMV147:DNC166 DWR147:DWY166 EGN147:EGU166 EQJ147:EQQ166 FAF147:FAM166 FKB147:FKI166 FTX147:FUE166 GDT147:GEA166 GNP147:GNW166 GXL147:GXS166 HHH147:HHO166 HRD147:HRK166 IAZ147:IBG166 IKV147:ILC166 IUR147:IUY166 JEN147:JEU166 JOJ147:JOQ166 JYF147:JYM166 KIB147:KII166 KRX147:KSE166 LBT147:LCA166 LLP147:LLW166 LVL147:LVS166 MFH147:MFO166 MPD147:MPK166 MYZ147:MZG166 NIV147:NJC166 NSR147:NSY166 OCN147:OCU166 OMJ147:OMQ166 OWF147:OWM166 PGB147:PGI166 PPX147:PQE166 PZT147:QAA166 QJP147:QJW166 QTL147:QTS166 RDH147:RDO166 RND147:RNK166 RWZ147:RXG166 SGV147:SHC166 SQR147:SQY166 TAN147:TAU166 TKJ147:TKQ166 TUF147:TUM166 UEB147:UEI166 UNX147:UOE166 UXT147:UYA166 VHP147:VHW166 VRL147:VRS166 WBH147:WBO166 WLD147:WLK166 WUZ147:WVG166 H65682:O65701 IN65681:IU65700 SJ65681:SQ65700 ACF65681:ACM65700 AMB65681:AMI65700 AVX65681:AWE65700 BFT65681:BGA65700 BPP65681:BPW65700 BZL65681:BZS65700 CJH65681:CJO65700 CTD65681:CTK65700 DCZ65681:DDG65700 DMV65681:DNC65700 DWR65681:DWY65700 EGN65681:EGU65700 EQJ65681:EQQ65700 FAF65681:FAM65700 FKB65681:FKI65700 FTX65681:FUE65700 GDT65681:GEA65700 GNP65681:GNW65700 GXL65681:GXS65700 HHH65681:HHO65700 HRD65681:HRK65700 IAZ65681:IBG65700 IKV65681:ILC65700 IUR65681:IUY65700 JEN65681:JEU65700 JOJ65681:JOQ65700 JYF65681:JYM65700 KIB65681:KII65700 KRX65681:KSE65700 LBT65681:LCA65700 LLP65681:LLW65700 LVL65681:LVS65700 MFH65681:MFO65700 MPD65681:MPK65700 MYZ65681:MZG65700 NIV65681:NJC65700 NSR65681:NSY65700 OCN65681:OCU65700 OMJ65681:OMQ65700 OWF65681:OWM65700 PGB65681:PGI65700 PPX65681:PQE65700 PZT65681:QAA65700 QJP65681:QJW65700 QTL65681:QTS65700 RDH65681:RDO65700 RND65681:RNK65700 RWZ65681:RXG65700 SGV65681:SHC65700 SQR65681:SQY65700 TAN65681:TAU65700 TKJ65681:TKQ65700 TUF65681:TUM65700 UEB65681:UEI65700 UNX65681:UOE65700 UXT65681:UYA65700 VHP65681:VHW65700 VRL65681:VRS65700 WBH65681:WBO65700 WLD65681:WLK65700 WUZ65681:WVG65700 H131218:O131237 IN131217:IU131236 SJ131217:SQ131236 ACF131217:ACM131236 AMB131217:AMI131236 AVX131217:AWE131236 BFT131217:BGA131236 BPP131217:BPW131236 BZL131217:BZS131236 CJH131217:CJO131236 CTD131217:CTK131236 DCZ131217:DDG131236 DMV131217:DNC131236 DWR131217:DWY131236 EGN131217:EGU131236 EQJ131217:EQQ131236 FAF131217:FAM131236 FKB131217:FKI131236 FTX131217:FUE131236 GDT131217:GEA131236 GNP131217:GNW131236 GXL131217:GXS131236 HHH131217:HHO131236 HRD131217:HRK131236 IAZ131217:IBG131236 IKV131217:ILC131236 IUR131217:IUY131236 JEN131217:JEU131236 JOJ131217:JOQ131236 JYF131217:JYM131236 KIB131217:KII131236 KRX131217:KSE131236 LBT131217:LCA131236 LLP131217:LLW131236 LVL131217:LVS131236 MFH131217:MFO131236 MPD131217:MPK131236 MYZ131217:MZG131236 NIV131217:NJC131236 NSR131217:NSY131236 OCN131217:OCU131236 OMJ131217:OMQ131236 OWF131217:OWM131236 PGB131217:PGI131236 PPX131217:PQE131236 PZT131217:QAA131236 QJP131217:QJW131236 QTL131217:QTS131236 RDH131217:RDO131236 RND131217:RNK131236 RWZ131217:RXG131236 SGV131217:SHC131236 SQR131217:SQY131236 TAN131217:TAU131236 TKJ131217:TKQ131236 TUF131217:TUM131236 UEB131217:UEI131236 UNX131217:UOE131236 UXT131217:UYA131236 VHP131217:VHW131236 VRL131217:VRS131236 WBH131217:WBO131236 WLD131217:WLK131236 WUZ131217:WVG131236 H196754:O196773 IN196753:IU196772 SJ196753:SQ196772 ACF196753:ACM196772 AMB196753:AMI196772 AVX196753:AWE196772 BFT196753:BGA196772 BPP196753:BPW196772 BZL196753:BZS196772 CJH196753:CJO196772 CTD196753:CTK196772 DCZ196753:DDG196772 DMV196753:DNC196772 DWR196753:DWY196772 EGN196753:EGU196772 EQJ196753:EQQ196772 FAF196753:FAM196772 FKB196753:FKI196772 FTX196753:FUE196772 GDT196753:GEA196772 GNP196753:GNW196772 GXL196753:GXS196772 HHH196753:HHO196772 HRD196753:HRK196772 IAZ196753:IBG196772 IKV196753:ILC196772 IUR196753:IUY196772 JEN196753:JEU196772 JOJ196753:JOQ196772 JYF196753:JYM196772 KIB196753:KII196772 KRX196753:KSE196772 LBT196753:LCA196772 LLP196753:LLW196772 LVL196753:LVS196772 MFH196753:MFO196772 MPD196753:MPK196772 MYZ196753:MZG196772 NIV196753:NJC196772 NSR196753:NSY196772 OCN196753:OCU196772 OMJ196753:OMQ196772 OWF196753:OWM196772 PGB196753:PGI196772 PPX196753:PQE196772 PZT196753:QAA196772 QJP196753:QJW196772 QTL196753:QTS196772 RDH196753:RDO196772 RND196753:RNK196772 RWZ196753:RXG196772 SGV196753:SHC196772 SQR196753:SQY196772 TAN196753:TAU196772 TKJ196753:TKQ196772 TUF196753:TUM196772 UEB196753:UEI196772 UNX196753:UOE196772 UXT196753:UYA196772 VHP196753:VHW196772 VRL196753:VRS196772 WBH196753:WBO196772 WLD196753:WLK196772 WUZ196753:WVG196772 H262290:O262309 IN262289:IU262308 SJ262289:SQ262308 ACF262289:ACM262308 AMB262289:AMI262308 AVX262289:AWE262308 BFT262289:BGA262308 BPP262289:BPW262308 BZL262289:BZS262308 CJH262289:CJO262308 CTD262289:CTK262308 DCZ262289:DDG262308 DMV262289:DNC262308 DWR262289:DWY262308 EGN262289:EGU262308 EQJ262289:EQQ262308 FAF262289:FAM262308 FKB262289:FKI262308 FTX262289:FUE262308 GDT262289:GEA262308 GNP262289:GNW262308 GXL262289:GXS262308 HHH262289:HHO262308 HRD262289:HRK262308 IAZ262289:IBG262308 IKV262289:ILC262308 IUR262289:IUY262308 JEN262289:JEU262308 JOJ262289:JOQ262308 JYF262289:JYM262308 KIB262289:KII262308 KRX262289:KSE262308 LBT262289:LCA262308 LLP262289:LLW262308 LVL262289:LVS262308 MFH262289:MFO262308 MPD262289:MPK262308 MYZ262289:MZG262308 NIV262289:NJC262308 NSR262289:NSY262308 OCN262289:OCU262308 OMJ262289:OMQ262308 OWF262289:OWM262308 PGB262289:PGI262308 PPX262289:PQE262308 PZT262289:QAA262308 QJP262289:QJW262308 QTL262289:QTS262308 RDH262289:RDO262308 RND262289:RNK262308 RWZ262289:RXG262308 SGV262289:SHC262308 SQR262289:SQY262308 TAN262289:TAU262308 TKJ262289:TKQ262308 TUF262289:TUM262308 UEB262289:UEI262308 UNX262289:UOE262308 UXT262289:UYA262308 VHP262289:VHW262308 VRL262289:VRS262308 WBH262289:WBO262308 WLD262289:WLK262308 WUZ262289:WVG262308 H327826:O327845 IN327825:IU327844 SJ327825:SQ327844 ACF327825:ACM327844 AMB327825:AMI327844 AVX327825:AWE327844 BFT327825:BGA327844 BPP327825:BPW327844 BZL327825:BZS327844 CJH327825:CJO327844 CTD327825:CTK327844 DCZ327825:DDG327844 DMV327825:DNC327844 DWR327825:DWY327844 EGN327825:EGU327844 EQJ327825:EQQ327844 FAF327825:FAM327844 FKB327825:FKI327844 FTX327825:FUE327844 GDT327825:GEA327844 GNP327825:GNW327844 GXL327825:GXS327844 HHH327825:HHO327844 HRD327825:HRK327844 IAZ327825:IBG327844 IKV327825:ILC327844 IUR327825:IUY327844 JEN327825:JEU327844 JOJ327825:JOQ327844 JYF327825:JYM327844 KIB327825:KII327844 KRX327825:KSE327844 LBT327825:LCA327844 LLP327825:LLW327844 LVL327825:LVS327844 MFH327825:MFO327844 MPD327825:MPK327844 MYZ327825:MZG327844 NIV327825:NJC327844 NSR327825:NSY327844 OCN327825:OCU327844 OMJ327825:OMQ327844 OWF327825:OWM327844 PGB327825:PGI327844 PPX327825:PQE327844 PZT327825:QAA327844 QJP327825:QJW327844 QTL327825:QTS327844 RDH327825:RDO327844 RND327825:RNK327844 RWZ327825:RXG327844 SGV327825:SHC327844 SQR327825:SQY327844 TAN327825:TAU327844 TKJ327825:TKQ327844 TUF327825:TUM327844 UEB327825:UEI327844 UNX327825:UOE327844 UXT327825:UYA327844 VHP327825:VHW327844 VRL327825:VRS327844 WBH327825:WBO327844 WLD327825:WLK327844 WUZ327825:WVG327844 H393362:O393381 IN393361:IU393380 SJ393361:SQ393380 ACF393361:ACM393380 AMB393361:AMI393380 AVX393361:AWE393380 BFT393361:BGA393380 BPP393361:BPW393380 BZL393361:BZS393380 CJH393361:CJO393380 CTD393361:CTK393380 DCZ393361:DDG393380 DMV393361:DNC393380 DWR393361:DWY393380 EGN393361:EGU393380 EQJ393361:EQQ393380 FAF393361:FAM393380 FKB393361:FKI393380 FTX393361:FUE393380 GDT393361:GEA393380 GNP393361:GNW393380 GXL393361:GXS393380 HHH393361:HHO393380 HRD393361:HRK393380 IAZ393361:IBG393380 IKV393361:ILC393380 IUR393361:IUY393380 JEN393361:JEU393380 JOJ393361:JOQ393380 JYF393361:JYM393380 KIB393361:KII393380 KRX393361:KSE393380 LBT393361:LCA393380 LLP393361:LLW393380 LVL393361:LVS393380 MFH393361:MFO393380 MPD393361:MPK393380 MYZ393361:MZG393380 NIV393361:NJC393380 NSR393361:NSY393380 OCN393361:OCU393380 OMJ393361:OMQ393380 OWF393361:OWM393380 PGB393361:PGI393380 PPX393361:PQE393380 PZT393361:QAA393380 QJP393361:QJW393380 QTL393361:QTS393380 RDH393361:RDO393380 RND393361:RNK393380 RWZ393361:RXG393380 SGV393361:SHC393380 SQR393361:SQY393380 TAN393361:TAU393380 TKJ393361:TKQ393380 TUF393361:TUM393380 UEB393361:UEI393380 UNX393361:UOE393380 UXT393361:UYA393380 VHP393361:VHW393380 VRL393361:VRS393380 WBH393361:WBO393380 WLD393361:WLK393380 WUZ393361:WVG393380 H458898:O458917 IN458897:IU458916 SJ458897:SQ458916 ACF458897:ACM458916 AMB458897:AMI458916 AVX458897:AWE458916 BFT458897:BGA458916 BPP458897:BPW458916 BZL458897:BZS458916 CJH458897:CJO458916 CTD458897:CTK458916 DCZ458897:DDG458916 DMV458897:DNC458916 DWR458897:DWY458916 EGN458897:EGU458916 EQJ458897:EQQ458916 FAF458897:FAM458916 FKB458897:FKI458916 FTX458897:FUE458916 GDT458897:GEA458916 GNP458897:GNW458916 GXL458897:GXS458916 HHH458897:HHO458916 HRD458897:HRK458916 IAZ458897:IBG458916 IKV458897:ILC458916 IUR458897:IUY458916 JEN458897:JEU458916 JOJ458897:JOQ458916 JYF458897:JYM458916 KIB458897:KII458916 KRX458897:KSE458916 LBT458897:LCA458916 LLP458897:LLW458916 LVL458897:LVS458916 MFH458897:MFO458916 MPD458897:MPK458916 MYZ458897:MZG458916 NIV458897:NJC458916 NSR458897:NSY458916 OCN458897:OCU458916 OMJ458897:OMQ458916 OWF458897:OWM458916 PGB458897:PGI458916 PPX458897:PQE458916 PZT458897:QAA458916 QJP458897:QJW458916 QTL458897:QTS458916 RDH458897:RDO458916 RND458897:RNK458916 RWZ458897:RXG458916 SGV458897:SHC458916 SQR458897:SQY458916 TAN458897:TAU458916 TKJ458897:TKQ458916 TUF458897:TUM458916 UEB458897:UEI458916 UNX458897:UOE458916 UXT458897:UYA458916 VHP458897:VHW458916 VRL458897:VRS458916 WBH458897:WBO458916 WLD458897:WLK458916 WUZ458897:WVG458916 H524434:O524453 IN524433:IU524452 SJ524433:SQ524452 ACF524433:ACM524452 AMB524433:AMI524452 AVX524433:AWE524452 BFT524433:BGA524452 BPP524433:BPW524452 BZL524433:BZS524452 CJH524433:CJO524452 CTD524433:CTK524452 DCZ524433:DDG524452 DMV524433:DNC524452 DWR524433:DWY524452 EGN524433:EGU524452 EQJ524433:EQQ524452 FAF524433:FAM524452 FKB524433:FKI524452 FTX524433:FUE524452 GDT524433:GEA524452 GNP524433:GNW524452 GXL524433:GXS524452 HHH524433:HHO524452 HRD524433:HRK524452 IAZ524433:IBG524452 IKV524433:ILC524452 IUR524433:IUY524452 JEN524433:JEU524452 JOJ524433:JOQ524452 JYF524433:JYM524452 KIB524433:KII524452 KRX524433:KSE524452 LBT524433:LCA524452 LLP524433:LLW524452 LVL524433:LVS524452 MFH524433:MFO524452 MPD524433:MPK524452 MYZ524433:MZG524452 NIV524433:NJC524452 NSR524433:NSY524452 OCN524433:OCU524452 OMJ524433:OMQ524452 OWF524433:OWM524452 PGB524433:PGI524452 PPX524433:PQE524452 PZT524433:QAA524452 QJP524433:QJW524452 QTL524433:QTS524452 RDH524433:RDO524452 RND524433:RNK524452 RWZ524433:RXG524452 SGV524433:SHC524452 SQR524433:SQY524452 TAN524433:TAU524452 TKJ524433:TKQ524452 TUF524433:TUM524452 UEB524433:UEI524452 UNX524433:UOE524452 UXT524433:UYA524452 VHP524433:VHW524452 VRL524433:VRS524452 WBH524433:WBO524452 WLD524433:WLK524452 WUZ524433:WVG524452 H589970:O589989 IN589969:IU589988 SJ589969:SQ589988 ACF589969:ACM589988 AMB589969:AMI589988 AVX589969:AWE589988 BFT589969:BGA589988 BPP589969:BPW589988 BZL589969:BZS589988 CJH589969:CJO589988 CTD589969:CTK589988 DCZ589969:DDG589988 DMV589969:DNC589988 DWR589969:DWY589988 EGN589969:EGU589988 EQJ589969:EQQ589988 FAF589969:FAM589988 FKB589969:FKI589988 FTX589969:FUE589988 GDT589969:GEA589988 GNP589969:GNW589988 GXL589969:GXS589988 HHH589969:HHO589988 HRD589969:HRK589988 IAZ589969:IBG589988 IKV589969:ILC589988 IUR589969:IUY589988 JEN589969:JEU589988 JOJ589969:JOQ589988 JYF589969:JYM589988 KIB589969:KII589988 KRX589969:KSE589988 LBT589969:LCA589988 LLP589969:LLW589988 LVL589969:LVS589988 MFH589969:MFO589988 MPD589969:MPK589988 MYZ589969:MZG589988 NIV589969:NJC589988 NSR589969:NSY589988 OCN589969:OCU589988 OMJ589969:OMQ589988 OWF589969:OWM589988 PGB589969:PGI589988 PPX589969:PQE589988 PZT589969:QAA589988 QJP589969:QJW589988 QTL589969:QTS589988 RDH589969:RDO589988 RND589969:RNK589988 RWZ589969:RXG589988 SGV589969:SHC589988 SQR589969:SQY589988 TAN589969:TAU589988 TKJ589969:TKQ589988 TUF589969:TUM589988 UEB589969:UEI589988 UNX589969:UOE589988 UXT589969:UYA589988 VHP589969:VHW589988 VRL589969:VRS589988 WBH589969:WBO589988 WLD589969:WLK589988 WUZ589969:WVG589988 H655506:O655525 IN655505:IU655524 SJ655505:SQ655524 ACF655505:ACM655524 AMB655505:AMI655524 AVX655505:AWE655524 BFT655505:BGA655524 BPP655505:BPW655524 BZL655505:BZS655524 CJH655505:CJO655524 CTD655505:CTK655524 DCZ655505:DDG655524 DMV655505:DNC655524 DWR655505:DWY655524 EGN655505:EGU655524 EQJ655505:EQQ655524 FAF655505:FAM655524 FKB655505:FKI655524 FTX655505:FUE655524 GDT655505:GEA655524 GNP655505:GNW655524 GXL655505:GXS655524 HHH655505:HHO655524 HRD655505:HRK655524 IAZ655505:IBG655524 IKV655505:ILC655524 IUR655505:IUY655524 JEN655505:JEU655524 JOJ655505:JOQ655524 JYF655505:JYM655524 KIB655505:KII655524 KRX655505:KSE655524 LBT655505:LCA655524 LLP655505:LLW655524 LVL655505:LVS655524 MFH655505:MFO655524 MPD655505:MPK655524 MYZ655505:MZG655524 NIV655505:NJC655524 NSR655505:NSY655524 OCN655505:OCU655524 OMJ655505:OMQ655524 OWF655505:OWM655524 PGB655505:PGI655524 PPX655505:PQE655524 PZT655505:QAA655524 QJP655505:QJW655524 QTL655505:QTS655524 RDH655505:RDO655524 RND655505:RNK655524 RWZ655505:RXG655524 SGV655505:SHC655524 SQR655505:SQY655524 TAN655505:TAU655524 TKJ655505:TKQ655524 TUF655505:TUM655524 UEB655505:UEI655524 UNX655505:UOE655524 UXT655505:UYA655524 VHP655505:VHW655524 VRL655505:VRS655524 WBH655505:WBO655524 WLD655505:WLK655524 WUZ655505:WVG655524 H721042:O721061 IN721041:IU721060 SJ721041:SQ721060 ACF721041:ACM721060 AMB721041:AMI721060 AVX721041:AWE721060 BFT721041:BGA721060 BPP721041:BPW721060 BZL721041:BZS721060 CJH721041:CJO721060 CTD721041:CTK721060 DCZ721041:DDG721060 DMV721041:DNC721060 DWR721041:DWY721060 EGN721041:EGU721060 EQJ721041:EQQ721060 FAF721041:FAM721060 FKB721041:FKI721060 FTX721041:FUE721060 GDT721041:GEA721060 GNP721041:GNW721060 GXL721041:GXS721060 HHH721041:HHO721060 HRD721041:HRK721060 IAZ721041:IBG721060 IKV721041:ILC721060 IUR721041:IUY721060 JEN721041:JEU721060 JOJ721041:JOQ721060 JYF721041:JYM721060 KIB721041:KII721060 KRX721041:KSE721060 LBT721041:LCA721060 LLP721041:LLW721060 LVL721041:LVS721060 MFH721041:MFO721060 MPD721041:MPK721060 MYZ721041:MZG721060 NIV721041:NJC721060 NSR721041:NSY721060 OCN721041:OCU721060 OMJ721041:OMQ721060 OWF721041:OWM721060 PGB721041:PGI721060 PPX721041:PQE721060 PZT721041:QAA721060 QJP721041:QJW721060 QTL721041:QTS721060 RDH721041:RDO721060 RND721041:RNK721060 RWZ721041:RXG721060 SGV721041:SHC721060 SQR721041:SQY721060 TAN721041:TAU721060 TKJ721041:TKQ721060 TUF721041:TUM721060 UEB721041:UEI721060 UNX721041:UOE721060 UXT721041:UYA721060 VHP721041:VHW721060 VRL721041:VRS721060 WBH721041:WBO721060 WLD721041:WLK721060 WUZ721041:WVG721060 H786578:O786597 IN786577:IU786596 SJ786577:SQ786596 ACF786577:ACM786596 AMB786577:AMI786596 AVX786577:AWE786596 BFT786577:BGA786596 BPP786577:BPW786596 BZL786577:BZS786596 CJH786577:CJO786596 CTD786577:CTK786596 DCZ786577:DDG786596 DMV786577:DNC786596 DWR786577:DWY786596 EGN786577:EGU786596 EQJ786577:EQQ786596 FAF786577:FAM786596 FKB786577:FKI786596 FTX786577:FUE786596 GDT786577:GEA786596 GNP786577:GNW786596 GXL786577:GXS786596 HHH786577:HHO786596 HRD786577:HRK786596 IAZ786577:IBG786596 IKV786577:ILC786596 IUR786577:IUY786596 JEN786577:JEU786596 JOJ786577:JOQ786596 JYF786577:JYM786596 KIB786577:KII786596 KRX786577:KSE786596 LBT786577:LCA786596 LLP786577:LLW786596 LVL786577:LVS786596 MFH786577:MFO786596 MPD786577:MPK786596 MYZ786577:MZG786596 NIV786577:NJC786596 NSR786577:NSY786596 OCN786577:OCU786596 OMJ786577:OMQ786596 OWF786577:OWM786596 PGB786577:PGI786596 PPX786577:PQE786596 PZT786577:QAA786596 QJP786577:QJW786596 QTL786577:QTS786596 RDH786577:RDO786596 RND786577:RNK786596 RWZ786577:RXG786596 SGV786577:SHC786596 SQR786577:SQY786596 TAN786577:TAU786596 TKJ786577:TKQ786596 TUF786577:TUM786596 UEB786577:UEI786596 UNX786577:UOE786596 UXT786577:UYA786596 VHP786577:VHW786596 VRL786577:VRS786596 WBH786577:WBO786596 WLD786577:WLK786596 WUZ786577:WVG786596 H852114:O852133 IN852113:IU852132 SJ852113:SQ852132 ACF852113:ACM852132 AMB852113:AMI852132 AVX852113:AWE852132 BFT852113:BGA852132 BPP852113:BPW852132 BZL852113:BZS852132 CJH852113:CJO852132 CTD852113:CTK852132 DCZ852113:DDG852132 DMV852113:DNC852132 DWR852113:DWY852132 EGN852113:EGU852132 EQJ852113:EQQ852132 FAF852113:FAM852132 FKB852113:FKI852132 FTX852113:FUE852132 GDT852113:GEA852132 GNP852113:GNW852132 GXL852113:GXS852132 HHH852113:HHO852132 HRD852113:HRK852132 IAZ852113:IBG852132 IKV852113:ILC852132 IUR852113:IUY852132 JEN852113:JEU852132 JOJ852113:JOQ852132 JYF852113:JYM852132 KIB852113:KII852132 KRX852113:KSE852132 LBT852113:LCA852132 LLP852113:LLW852132 LVL852113:LVS852132 MFH852113:MFO852132 MPD852113:MPK852132 MYZ852113:MZG852132 NIV852113:NJC852132 NSR852113:NSY852132 OCN852113:OCU852132 OMJ852113:OMQ852132 OWF852113:OWM852132 PGB852113:PGI852132 PPX852113:PQE852132 PZT852113:QAA852132 QJP852113:QJW852132 QTL852113:QTS852132 RDH852113:RDO852132 RND852113:RNK852132 RWZ852113:RXG852132 SGV852113:SHC852132 SQR852113:SQY852132 TAN852113:TAU852132 TKJ852113:TKQ852132 TUF852113:TUM852132 UEB852113:UEI852132 UNX852113:UOE852132 UXT852113:UYA852132 VHP852113:VHW852132 VRL852113:VRS852132 WBH852113:WBO852132 WLD852113:WLK852132 WUZ852113:WVG852132 H917650:O917669 IN917649:IU917668 SJ917649:SQ917668 ACF917649:ACM917668 AMB917649:AMI917668 AVX917649:AWE917668 BFT917649:BGA917668 BPP917649:BPW917668 BZL917649:BZS917668 CJH917649:CJO917668 CTD917649:CTK917668 DCZ917649:DDG917668 DMV917649:DNC917668 DWR917649:DWY917668 EGN917649:EGU917668 EQJ917649:EQQ917668 FAF917649:FAM917668 FKB917649:FKI917668 FTX917649:FUE917668 GDT917649:GEA917668 GNP917649:GNW917668 GXL917649:GXS917668 HHH917649:HHO917668 HRD917649:HRK917668 IAZ917649:IBG917668 IKV917649:ILC917668 IUR917649:IUY917668 JEN917649:JEU917668 JOJ917649:JOQ917668 JYF917649:JYM917668 KIB917649:KII917668 KRX917649:KSE917668 LBT917649:LCA917668 LLP917649:LLW917668 LVL917649:LVS917668 MFH917649:MFO917668 MPD917649:MPK917668 MYZ917649:MZG917668 NIV917649:NJC917668 NSR917649:NSY917668 OCN917649:OCU917668 OMJ917649:OMQ917668 OWF917649:OWM917668 PGB917649:PGI917668 PPX917649:PQE917668 PZT917649:QAA917668 QJP917649:QJW917668 QTL917649:QTS917668 RDH917649:RDO917668 RND917649:RNK917668 RWZ917649:RXG917668 SGV917649:SHC917668 SQR917649:SQY917668 TAN917649:TAU917668 TKJ917649:TKQ917668 TUF917649:TUM917668 UEB917649:UEI917668 UNX917649:UOE917668 UXT917649:UYA917668 VHP917649:VHW917668 VRL917649:VRS917668 WBH917649:WBO917668 WLD917649:WLK917668 WUZ917649:WVG917668 H983186:O983205 IN983185:IU983204 SJ983185:SQ983204 ACF983185:ACM983204 AMB983185:AMI983204 AVX983185:AWE983204 BFT983185:BGA983204 BPP983185:BPW983204 BZL983185:BZS983204 CJH983185:CJO983204 CTD983185:CTK983204 DCZ983185:DDG983204 DMV983185:DNC983204 DWR983185:DWY983204 EGN983185:EGU983204 EQJ983185:EQQ983204 FAF983185:FAM983204 FKB983185:FKI983204 FTX983185:FUE983204 GDT983185:GEA983204 GNP983185:GNW983204 GXL983185:GXS983204 HHH983185:HHO983204 HRD983185:HRK983204 IAZ983185:IBG983204 IKV983185:ILC983204 IUR983185:IUY983204 JEN983185:JEU983204 JOJ983185:JOQ983204 JYF983185:JYM983204 KIB983185:KII983204 KRX983185:KSE983204 LBT983185:LCA983204 LLP983185:LLW983204 LVL983185:LVS983204 MFH983185:MFO983204 MPD983185:MPK983204 MYZ983185:MZG983204 NIV983185:NJC983204 NSR983185:NSY983204 OCN983185:OCU983204 OMJ983185:OMQ983204 OWF983185:OWM983204 PGB983185:PGI983204 PPX983185:PQE983204 PZT983185:QAA983204 QJP983185:QJW983204 QTL983185:QTS983204 RDH983185:RDO983204 RND983185:RNK983204 RWZ983185:RXG983204 SGV983185:SHC983204 SQR983185:SQY983204 TAN983185:TAU983204 TKJ983185:TKQ983204 TUF983185:TUM983204 UEB983185:UEI983204 UNX983185:UOE983204 UXT983185:UYA983204 VHP983185:VHW983204 VRL983185:VRS983204 WBH983185:WBO983204 WLD983185:WLK983204 WUZ983185:WVG983204 VHP983254:VHW983273 IN170:IU189 SJ170:SQ189 ACF170:ACM189 AMB170:AMI189 AVX170:AWE189 BFT170:BGA189 BPP170:BPW189 BZL170:BZS189 CJH170:CJO189 CTD170:CTK189 DCZ170:DDG189 DMV170:DNC189 DWR170:DWY189 EGN170:EGU189 EQJ170:EQQ189 FAF170:FAM189 FKB170:FKI189 FTX170:FUE189 GDT170:GEA189 GNP170:GNW189 GXL170:GXS189 HHH170:HHO189 HRD170:HRK189 IAZ170:IBG189 IKV170:ILC189 IUR170:IUY189 JEN170:JEU189 JOJ170:JOQ189 JYF170:JYM189 KIB170:KII189 KRX170:KSE189 LBT170:LCA189 LLP170:LLW189 LVL170:LVS189 MFH170:MFO189 MPD170:MPK189 MYZ170:MZG189 NIV170:NJC189 NSR170:NSY189 OCN170:OCU189 OMJ170:OMQ189 OWF170:OWM189 PGB170:PGI189 PPX170:PQE189 PZT170:QAA189 QJP170:QJW189 QTL170:QTS189 RDH170:RDO189 RND170:RNK189 RWZ170:RXG189 SGV170:SHC189 SQR170:SQY189 TAN170:TAU189 TKJ170:TKQ189 TUF170:TUM189 UEB170:UEI189 UNX170:UOE189 UXT170:UYA189 VHP170:VHW189 VRL170:VRS189 WBH170:WBO189 WLD170:WLK189 WUZ170:WVG189 H65705:O65724 IN65704:IU65723 SJ65704:SQ65723 ACF65704:ACM65723 AMB65704:AMI65723 AVX65704:AWE65723 BFT65704:BGA65723 BPP65704:BPW65723 BZL65704:BZS65723 CJH65704:CJO65723 CTD65704:CTK65723 DCZ65704:DDG65723 DMV65704:DNC65723 DWR65704:DWY65723 EGN65704:EGU65723 EQJ65704:EQQ65723 FAF65704:FAM65723 FKB65704:FKI65723 FTX65704:FUE65723 GDT65704:GEA65723 GNP65704:GNW65723 GXL65704:GXS65723 HHH65704:HHO65723 HRD65704:HRK65723 IAZ65704:IBG65723 IKV65704:ILC65723 IUR65704:IUY65723 JEN65704:JEU65723 JOJ65704:JOQ65723 JYF65704:JYM65723 KIB65704:KII65723 KRX65704:KSE65723 LBT65704:LCA65723 LLP65704:LLW65723 LVL65704:LVS65723 MFH65704:MFO65723 MPD65704:MPK65723 MYZ65704:MZG65723 NIV65704:NJC65723 NSR65704:NSY65723 OCN65704:OCU65723 OMJ65704:OMQ65723 OWF65704:OWM65723 PGB65704:PGI65723 PPX65704:PQE65723 PZT65704:QAA65723 QJP65704:QJW65723 QTL65704:QTS65723 RDH65704:RDO65723 RND65704:RNK65723 RWZ65704:RXG65723 SGV65704:SHC65723 SQR65704:SQY65723 TAN65704:TAU65723 TKJ65704:TKQ65723 TUF65704:TUM65723 UEB65704:UEI65723 UNX65704:UOE65723 UXT65704:UYA65723 VHP65704:VHW65723 VRL65704:VRS65723 WBH65704:WBO65723 WLD65704:WLK65723 WUZ65704:WVG65723 H131241:O131260 IN131240:IU131259 SJ131240:SQ131259 ACF131240:ACM131259 AMB131240:AMI131259 AVX131240:AWE131259 BFT131240:BGA131259 BPP131240:BPW131259 BZL131240:BZS131259 CJH131240:CJO131259 CTD131240:CTK131259 DCZ131240:DDG131259 DMV131240:DNC131259 DWR131240:DWY131259 EGN131240:EGU131259 EQJ131240:EQQ131259 FAF131240:FAM131259 FKB131240:FKI131259 FTX131240:FUE131259 GDT131240:GEA131259 GNP131240:GNW131259 GXL131240:GXS131259 HHH131240:HHO131259 HRD131240:HRK131259 IAZ131240:IBG131259 IKV131240:ILC131259 IUR131240:IUY131259 JEN131240:JEU131259 JOJ131240:JOQ131259 JYF131240:JYM131259 KIB131240:KII131259 KRX131240:KSE131259 LBT131240:LCA131259 LLP131240:LLW131259 LVL131240:LVS131259 MFH131240:MFO131259 MPD131240:MPK131259 MYZ131240:MZG131259 NIV131240:NJC131259 NSR131240:NSY131259 OCN131240:OCU131259 OMJ131240:OMQ131259 OWF131240:OWM131259 PGB131240:PGI131259 PPX131240:PQE131259 PZT131240:QAA131259 QJP131240:QJW131259 QTL131240:QTS131259 RDH131240:RDO131259 RND131240:RNK131259 RWZ131240:RXG131259 SGV131240:SHC131259 SQR131240:SQY131259 TAN131240:TAU131259 TKJ131240:TKQ131259 TUF131240:TUM131259 UEB131240:UEI131259 UNX131240:UOE131259 UXT131240:UYA131259 VHP131240:VHW131259 VRL131240:VRS131259 WBH131240:WBO131259 WLD131240:WLK131259 WUZ131240:WVG131259 H196777:O196796 IN196776:IU196795 SJ196776:SQ196795 ACF196776:ACM196795 AMB196776:AMI196795 AVX196776:AWE196795 BFT196776:BGA196795 BPP196776:BPW196795 BZL196776:BZS196795 CJH196776:CJO196795 CTD196776:CTK196795 DCZ196776:DDG196795 DMV196776:DNC196795 DWR196776:DWY196795 EGN196776:EGU196795 EQJ196776:EQQ196795 FAF196776:FAM196795 FKB196776:FKI196795 FTX196776:FUE196795 GDT196776:GEA196795 GNP196776:GNW196795 GXL196776:GXS196795 HHH196776:HHO196795 HRD196776:HRK196795 IAZ196776:IBG196795 IKV196776:ILC196795 IUR196776:IUY196795 JEN196776:JEU196795 JOJ196776:JOQ196795 JYF196776:JYM196795 KIB196776:KII196795 KRX196776:KSE196795 LBT196776:LCA196795 LLP196776:LLW196795 LVL196776:LVS196795 MFH196776:MFO196795 MPD196776:MPK196795 MYZ196776:MZG196795 NIV196776:NJC196795 NSR196776:NSY196795 OCN196776:OCU196795 OMJ196776:OMQ196795 OWF196776:OWM196795 PGB196776:PGI196795 PPX196776:PQE196795 PZT196776:QAA196795 QJP196776:QJW196795 QTL196776:QTS196795 RDH196776:RDO196795 RND196776:RNK196795 RWZ196776:RXG196795 SGV196776:SHC196795 SQR196776:SQY196795 TAN196776:TAU196795 TKJ196776:TKQ196795 TUF196776:TUM196795 UEB196776:UEI196795 UNX196776:UOE196795 UXT196776:UYA196795 VHP196776:VHW196795 VRL196776:VRS196795 WBH196776:WBO196795 WLD196776:WLK196795 WUZ196776:WVG196795 H262313:O262332 IN262312:IU262331 SJ262312:SQ262331 ACF262312:ACM262331 AMB262312:AMI262331 AVX262312:AWE262331 BFT262312:BGA262331 BPP262312:BPW262331 BZL262312:BZS262331 CJH262312:CJO262331 CTD262312:CTK262331 DCZ262312:DDG262331 DMV262312:DNC262331 DWR262312:DWY262331 EGN262312:EGU262331 EQJ262312:EQQ262331 FAF262312:FAM262331 FKB262312:FKI262331 FTX262312:FUE262331 GDT262312:GEA262331 GNP262312:GNW262331 GXL262312:GXS262331 HHH262312:HHO262331 HRD262312:HRK262331 IAZ262312:IBG262331 IKV262312:ILC262331 IUR262312:IUY262331 JEN262312:JEU262331 JOJ262312:JOQ262331 JYF262312:JYM262331 KIB262312:KII262331 KRX262312:KSE262331 LBT262312:LCA262331 LLP262312:LLW262331 LVL262312:LVS262331 MFH262312:MFO262331 MPD262312:MPK262331 MYZ262312:MZG262331 NIV262312:NJC262331 NSR262312:NSY262331 OCN262312:OCU262331 OMJ262312:OMQ262331 OWF262312:OWM262331 PGB262312:PGI262331 PPX262312:PQE262331 PZT262312:QAA262331 QJP262312:QJW262331 QTL262312:QTS262331 RDH262312:RDO262331 RND262312:RNK262331 RWZ262312:RXG262331 SGV262312:SHC262331 SQR262312:SQY262331 TAN262312:TAU262331 TKJ262312:TKQ262331 TUF262312:TUM262331 UEB262312:UEI262331 UNX262312:UOE262331 UXT262312:UYA262331 VHP262312:VHW262331 VRL262312:VRS262331 WBH262312:WBO262331 WLD262312:WLK262331 WUZ262312:WVG262331 H327849:O327868 IN327848:IU327867 SJ327848:SQ327867 ACF327848:ACM327867 AMB327848:AMI327867 AVX327848:AWE327867 BFT327848:BGA327867 BPP327848:BPW327867 BZL327848:BZS327867 CJH327848:CJO327867 CTD327848:CTK327867 DCZ327848:DDG327867 DMV327848:DNC327867 DWR327848:DWY327867 EGN327848:EGU327867 EQJ327848:EQQ327867 FAF327848:FAM327867 FKB327848:FKI327867 FTX327848:FUE327867 GDT327848:GEA327867 GNP327848:GNW327867 GXL327848:GXS327867 HHH327848:HHO327867 HRD327848:HRK327867 IAZ327848:IBG327867 IKV327848:ILC327867 IUR327848:IUY327867 JEN327848:JEU327867 JOJ327848:JOQ327867 JYF327848:JYM327867 KIB327848:KII327867 KRX327848:KSE327867 LBT327848:LCA327867 LLP327848:LLW327867 LVL327848:LVS327867 MFH327848:MFO327867 MPD327848:MPK327867 MYZ327848:MZG327867 NIV327848:NJC327867 NSR327848:NSY327867 OCN327848:OCU327867 OMJ327848:OMQ327867 OWF327848:OWM327867 PGB327848:PGI327867 PPX327848:PQE327867 PZT327848:QAA327867 QJP327848:QJW327867 QTL327848:QTS327867 RDH327848:RDO327867 RND327848:RNK327867 RWZ327848:RXG327867 SGV327848:SHC327867 SQR327848:SQY327867 TAN327848:TAU327867 TKJ327848:TKQ327867 TUF327848:TUM327867 UEB327848:UEI327867 UNX327848:UOE327867 UXT327848:UYA327867 VHP327848:VHW327867 VRL327848:VRS327867 WBH327848:WBO327867 WLD327848:WLK327867 WUZ327848:WVG327867 H393385:O393404 IN393384:IU393403 SJ393384:SQ393403 ACF393384:ACM393403 AMB393384:AMI393403 AVX393384:AWE393403 BFT393384:BGA393403 BPP393384:BPW393403 BZL393384:BZS393403 CJH393384:CJO393403 CTD393384:CTK393403 DCZ393384:DDG393403 DMV393384:DNC393403 DWR393384:DWY393403 EGN393384:EGU393403 EQJ393384:EQQ393403 FAF393384:FAM393403 FKB393384:FKI393403 FTX393384:FUE393403 GDT393384:GEA393403 GNP393384:GNW393403 GXL393384:GXS393403 HHH393384:HHO393403 HRD393384:HRK393403 IAZ393384:IBG393403 IKV393384:ILC393403 IUR393384:IUY393403 JEN393384:JEU393403 JOJ393384:JOQ393403 JYF393384:JYM393403 KIB393384:KII393403 KRX393384:KSE393403 LBT393384:LCA393403 LLP393384:LLW393403 LVL393384:LVS393403 MFH393384:MFO393403 MPD393384:MPK393403 MYZ393384:MZG393403 NIV393384:NJC393403 NSR393384:NSY393403 OCN393384:OCU393403 OMJ393384:OMQ393403 OWF393384:OWM393403 PGB393384:PGI393403 PPX393384:PQE393403 PZT393384:QAA393403 QJP393384:QJW393403 QTL393384:QTS393403 RDH393384:RDO393403 RND393384:RNK393403 RWZ393384:RXG393403 SGV393384:SHC393403 SQR393384:SQY393403 TAN393384:TAU393403 TKJ393384:TKQ393403 TUF393384:TUM393403 UEB393384:UEI393403 UNX393384:UOE393403 UXT393384:UYA393403 VHP393384:VHW393403 VRL393384:VRS393403 WBH393384:WBO393403 WLD393384:WLK393403 WUZ393384:WVG393403 H458921:O458940 IN458920:IU458939 SJ458920:SQ458939 ACF458920:ACM458939 AMB458920:AMI458939 AVX458920:AWE458939 BFT458920:BGA458939 BPP458920:BPW458939 BZL458920:BZS458939 CJH458920:CJO458939 CTD458920:CTK458939 DCZ458920:DDG458939 DMV458920:DNC458939 DWR458920:DWY458939 EGN458920:EGU458939 EQJ458920:EQQ458939 FAF458920:FAM458939 FKB458920:FKI458939 FTX458920:FUE458939 GDT458920:GEA458939 GNP458920:GNW458939 GXL458920:GXS458939 HHH458920:HHO458939 HRD458920:HRK458939 IAZ458920:IBG458939 IKV458920:ILC458939 IUR458920:IUY458939 JEN458920:JEU458939 JOJ458920:JOQ458939 JYF458920:JYM458939 KIB458920:KII458939 KRX458920:KSE458939 LBT458920:LCA458939 LLP458920:LLW458939 LVL458920:LVS458939 MFH458920:MFO458939 MPD458920:MPK458939 MYZ458920:MZG458939 NIV458920:NJC458939 NSR458920:NSY458939 OCN458920:OCU458939 OMJ458920:OMQ458939 OWF458920:OWM458939 PGB458920:PGI458939 PPX458920:PQE458939 PZT458920:QAA458939 QJP458920:QJW458939 QTL458920:QTS458939 RDH458920:RDO458939 RND458920:RNK458939 RWZ458920:RXG458939 SGV458920:SHC458939 SQR458920:SQY458939 TAN458920:TAU458939 TKJ458920:TKQ458939 TUF458920:TUM458939 UEB458920:UEI458939 UNX458920:UOE458939 UXT458920:UYA458939 VHP458920:VHW458939 VRL458920:VRS458939 WBH458920:WBO458939 WLD458920:WLK458939 WUZ458920:WVG458939 H524457:O524476 IN524456:IU524475 SJ524456:SQ524475 ACF524456:ACM524475 AMB524456:AMI524475 AVX524456:AWE524475 BFT524456:BGA524475 BPP524456:BPW524475 BZL524456:BZS524475 CJH524456:CJO524475 CTD524456:CTK524475 DCZ524456:DDG524475 DMV524456:DNC524475 DWR524456:DWY524475 EGN524456:EGU524475 EQJ524456:EQQ524475 FAF524456:FAM524475 FKB524456:FKI524475 FTX524456:FUE524475 GDT524456:GEA524475 GNP524456:GNW524475 GXL524456:GXS524475 HHH524456:HHO524475 HRD524456:HRK524475 IAZ524456:IBG524475 IKV524456:ILC524475 IUR524456:IUY524475 JEN524456:JEU524475 JOJ524456:JOQ524475 JYF524456:JYM524475 KIB524456:KII524475 KRX524456:KSE524475 LBT524456:LCA524475 LLP524456:LLW524475 LVL524456:LVS524475 MFH524456:MFO524475 MPD524456:MPK524475 MYZ524456:MZG524475 NIV524456:NJC524475 NSR524456:NSY524475 OCN524456:OCU524475 OMJ524456:OMQ524475 OWF524456:OWM524475 PGB524456:PGI524475 PPX524456:PQE524475 PZT524456:QAA524475 QJP524456:QJW524475 QTL524456:QTS524475 RDH524456:RDO524475 RND524456:RNK524475 RWZ524456:RXG524475 SGV524456:SHC524475 SQR524456:SQY524475 TAN524456:TAU524475 TKJ524456:TKQ524475 TUF524456:TUM524475 UEB524456:UEI524475 UNX524456:UOE524475 UXT524456:UYA524475 VHP524456:VHW524475 VRL524456:VRS524475 WBH524456:WBO524475 WLD524456:WLK524475 WUZ524456:WVG524475 H589993:O590012 IN589992:IU590011 SJ589992:SQ590011 ACF589992:ACM590011 AMB589992:AMI590011 AVX589992:AWE590011 BFT589992:BGA590011 BPP589992:BPW590011 BZL589992:BZS590011 CJH589992:CJO590011 CTD589992:CTK590011 DCZ589992:DDG590011 DMV589992:DNC590011 DWR589992:DWY590011 EGN589992:EGU590011 EQJ589992:EQQ590011 FAF589992:FAM590011 FKB589992:FKI590011 FTX589992:FUE590011 GDT589992:GEA590011 GNP589992:GNW590011 GXL589992:GXS590011 HHH589992:HHO590011 HRD589992:HRK590011 IAZ589992:IBG590011 IKV589992:ILC590011 IUR589992:IUY590011 JEN589992:JEU590011 JOJ589992:JOQ590011 JYF589992:JYM590011 KIB589992:KII590011 KRX589992:KSE590011 LBT589992:LCA590011 LLP589992:LLW590011 LVL589992:LVS590011 MFH589992:MFO590011 MPD589992:MPK590011 MYZ589992:MZG590011 NIV589992:NJC590011 NSR589992:NSY590011 OCN589992:OCU590011 OMJ589992:OMQ590011 OWF589992:OWM590011 PGB589992:PGI590011 PPX589992:PQE590011 PZT589992:QAA590011 QJP589992:QJW590011 QTL589992:QTS590011 RDH589992:RDO590011 RND589992:RNK590011 RWZ589992:RXG590011 SGV589992:SHC590011 SQR589992:SQY590011 TAN589992:TAU590011 TKJ589992:TKQ590011 TUF589992:TUM590011 UEB589992:UEI590011 UNX589992:UOE590011 UXT589992:UYA590011 VHP589992:VHW590011 VRL589992:VRS590011 WBH589992:WBO590011 WLD589992:WLK590011 WUZ589992:WVG590011 H655529:O655548 IN655528:IU655547 SJ655528:SQ655547 ACF655528:ACM655547 AMB655528:AMI655547 AVX655528:AWE655547 BFT655528:BGA655547 BPP655528:BPW655547 BZL655528:BZS655547 CJH655528:CJO655547 CTD655528:CTK655547 DCZ655528:DDG655547 DMV655528:DNC655547 DWR655528:DWY655547 EGN655528:EGU655547 EQJ655528:EQQ655547 FAF655528:FAM655547 FKB655528:FKI655547 FTX655528:FUE655547 GDT655528:GEA655547 GNP655528:GNW655547 GXL655528:GXS655547 HHH655528:HHO655547 HRD655528:HRK655547 IAZ655528:IBG655547 IKV655528:ILC655547 IUR655528:IUY655547 JEN655528:JEU655547 JOJ655528:JOQ655547 JYF655528:JYM655547 KIB655528:KII655547 KRX655528:KSE655547 LBT655528:LCA655547 LLP655528:LLW655547 LVL655528:LVS655547 MFH655528:MFO655547 MPD655528:MPK655547 MYZ655528:MZG655547 NIV655528:NJC655547 NSR655528:NSY655547 OCN655528:OCU655547 OMJ655528:OMQ655547 OWF655528:OWM655547 PGB655528:PGI655547 PPX655528:PQE655547 PZT655528:QAA655547 QJP655528:QJW655547 QTL655528:QTS655547 RDH655528:RDO655547 RND655528:RNK655547 RWZ655528:RXG655547 SGV655528:SHC655547 SQR655528:SQY655547 TAN655528:TAU655547 TKJ655528:TKQ655547 TUF655528:TUM655547 UEB655528:UEI655547 UNX655528:UOE655547 UXT655528:UYA655547 VHP655528:VHW655547 VRL655528:VRS655547 WBH655528:WBO655547 WLD655528:WLK655547 WUZ655528:WVG655547 H721065:O721084 IN721064:IU721083 SJ721064:SQ721083 ACF721064:ACM721083 AMB721064:AMI721083 AVX721064:AWE721083 BFT721064:BGA721083 BPP721064:BPW721083 BZL721064:BZS721083 CJH721064:CJO721083 CTD721064:CTK721083 DCZ721064:DDG721083 DMV721064:DNC721083 DWR721064:DWY721083 EGN721064:EGU721083 EQJ721064:EQQ721083 FAF721064:FAM721083 FKB721064:FKI721083 FTX721064:FUE721083 GDT721064:GEA721083 GNP721064:GNW721083 GXL721064:GXS721083 HHH721064:HHO721083 HRD721064:HRK721083 IAZ721064:IBG721083 IKV721064:ILC721083 IUR721064:IUY721083 JEN721064:JEU721083 JOJ721064:JOQ721083 JYF721064:JYM721083 KIB721064:KII721083 KRX721064:KSE721083 LBT721064:LCA721083 LLP721064:LLW721083 LVL721064:LVS721083 MFH721064:MFO721083 MPD721064:MPK721083 MYZ721064:MZG721083 NIV721064:NJC721083 NSR721064:NSY721083 OCN721064:OCU721083 OMJ721064:OMQ721083 OWF721064:OWM721083 PGB721064:PGI721083 PPX721064:PQE721083 PZT721064:QAA721083 QJP721064:QJW721083 QTL721064:QTS721083 RDH721064:RDO721083 RND721064:RNK721083 RWZ721064:RXG721083 SGV721064:SHC721083 SQR721064:SQY721083 TAN721064:TAU721083 TKJ721064:TKQ721083 TUF721064:TUM721083 UEB721064:UEI721083 UNX721064:UOE721083 UXT721064:UYA721083 VHP721064:VHW721083 VRL721064:VRS721083 WBH721064:WBO721083 WLD721064:WLK721083 WUZ721064:WVG721083 H786601:O786620 IN786600:IU786619 SJ786600:SQ786619 ACF786600:ACM786619 AMB786600:AMI786619 AVX786600:AWE786619 BFT786600:BGA786619 BPP786600:BPW786619 BZL786600:BZS786619 CJH786600:CJO786619 CTD786600:CTK786619 DCZ786600:DDG786619 DMV786600:DNC786619 DWR786600:DWY786619 EGN786600:EGU786619 EQJ786600:EQQ786619 FAF786600:FAM786619 FKB786600:FKI786619 FTX786600:FUE786619 GDT786600:GEA786619 GNP786600:GNW786619 GXL786600:GXS786619 HHH786600:HHO786619 HRD786600:HRK786619 IAZ786600:IBG786619 IKV786600:ILC786619 IUR786600:IUY786619 JEN786600:JEU786619 JOJ786600:JOQ786619 JYF786600:JYM786619 KIB786600:KII786619 KRX786600:KSE786619 LBT786600:LCA786619 LLP786600:LLW786619 LVL786600:LVS786619 MFH786600:MFO786619 MPD786600:MPK786619 MYZ786600:MZG786619 NIV786600:NJC786619 NSR786600:NSY786619 OCN786600:OCU786619 OMJ786600:OMQ786619 OWF786600:OWM786619 PGB786600:PGI786619 PPX786600:PQE786619 PZT786600:QAA786619 QJP786600:QJW786619 QTL786600:QTS786619 RDH786600:RDO786619 RND786600:RNK786619 RWZ786600:RXG786619 SGV786600:SHC786619 SQR786600:SQY786619 TAN786600:TAU786619 TKJ786600:TKQ786619 TUF786600:TUM786619 UEB786600:UEI786619 UNX786600:UOE786619 UXT786600:UYA786619 VHP786600:VHW786619 VRL786600:VRS786619 WBH786600:WBO786619 WLD786600:WLK786619 WUZ786600:WVG786619 H852137:O852156 IN852136:IU852155 SJ852136:SQ852155 ACF852136:ACM852155 AMB852136:AMI852155 AVX852136:AWE852155 BFT852136:BGA852155 BPP852136:BPW852155 BZL852136:BZS852155 CJH852136:CJO852155 CTD852136:CTK852155 DCZ852136:DDG852155 DMV852136:DNC852155 DWR852136:DWY852155 EGN852136:EGU852155 EQJ852136:EQQ852155 FAF852136:FAM852155 FKB852136:FKI852155 FTX852136:FUE852155 GDT852136:GEA852155 GNP852136:GNW852155 GXL852136:GXS852155 HHH852136:HHO852155 HRD852136:HRK852155 IAZ852136:IBG852155 IKV852136:ILC852155 IUR852136:IUY852155 JEN852136:JEU852155 JOJ852136:JOQ852155 JYF852136:JYM852155 KIB852136:KII852155 KRX852136:KSE852155 LBT852136:LCA852155 LLP852136:LLW852155 LVL852136:LVS852155 MFH852136:MFO852155 MPD852136:MPK852155 MYZ852136:MZG852155 NIV852136:NJC852155 NSR852136:NSY852155 OCN852136:OCU852155 OMJ852136:OMQ852155 OWF852136:OWM852155 PGB852136:PGI852155 PPX852136:PQE852155 PZT852136:QAA852155 QJP852136:QJW852155 QTL852136:QTS852155 RDH852136:RDO852155 RND852136:RNK852155 RWZ852136:RXG852155 SGV852136:SHC852155 SQR852136:SQY852155 TAN852136:TAU852155 TKJ852136:TKQ852155 TUF852136:TUM852155 UEB852136:UEI852155 UNX852136:UOE852155 UXT852136:UYA852155 VHP852136:VHW852155 VRL852136:VRS852155 WBH852136:WBO852155 WLD852136:WLK852155 WUZ852136:WVG852155 H917673:O917692 IN917672:IU917691 SJ917672:SQ917691 ACF917672:ACM917691 AMB917672:AMI917691 AVX917672:AWE917691 BFT917672:BGA917691 BPP917672:BPW917691 BZL917672:BZS917691 CJH917672:CJO917691 CTD917672:CTK917691 DCZ917672:DDG917691 DMV917672:DNC917691 DWR917672:DWY917691 EGN917672:EGU917691 EQJ917672:EQQ917691 FAF917672:FAM917691 FKB917672:FKI917691 FTX917672:FUE917691 GDT917672:GEA917691 GNP917672:GNW917691 GXL917672:GXS917691 HHH917672:HHO917691 HRD917672:HRK917691 IAZ917672:IBG917691 IKV917672:ILC917691 IUR917672:IUY917691 JEN917672:JEU917691 JOJ917672:JOQ917691 JYF917672:JYM917691 KIB917672:KII917691 KRX917672:KSE917691 LBT917672:LCA917691 LLP917672:LLW917691 LVL917672:LVS917691 MFH917672:MFO917691 MPD917672:MPK917691 MYZ917672:MZG917691 NIV917672:NJC917691 NSR917672:NSY917691 OCN917672:OCU917691 OMJ917672:OMQ917691 OWF917672:OWM917691 PGB917672:PGI917691 PPX917672:PQE917691 PZT917672:QAA917691 QJP917672:QJW917691 QTL917672:QTS917691 RDH917672:RDO917691 RND917672:RNK917691 RWZ917672:RXG917691 SGV917672:SHC917691 SQR917672:SQY917691 TAN917672:TAU917691 TKJ917672:TKQ917691 TUF917672:TUM917691 UEB917672:UEI917691 UNX917672:UOE917691 UXT917672:UYA917691 VHP917672:VHW917691 VRL917672:VRS917691 WBH917672:WBO917691 WLD917672:WLK917691 WUZ917672:WVG917691 H983209:O983228 IN983208:IU983227 SJ983208:SQ983227 ACF983208:ACM983227 AMB983208:AMI983227 AVX983208:AWE983227 BFT983208:BGA983227 BPP983208:BPW983227 BZL983208:BZS983227 CJH983208:CJO983227 CTD983208:CTK983227 DCZ983208:DDG983227 DMV983208:DNC983227 DWR983208:DWY983227 EGN983208:EGU983227 EQJ983208:EQQ983227 FAF983208:FAM983227 FKB983208:FKI983227 FTX983208:FUE983227 GDT983208:GEA983227 GNP983208:GNW983227 GXL983208:GXS983227 HHH983208:HHO983227 HRD983208:HRK983227 IAZ983208:IBG983227 IKV983208:ILC983227 IUR983208:IUY983227 JEN983208:JEU983227 JOJ983208:JOQ983227 JYF983208:JYM983227 KIB983208:KII983227 KRX983208:KSE983227 LBT983208:LCA983227 LLP983208:LLW983227 LVL983208:LVS983227 MFH983208:MFO983227 MPD983208:MPK983227 MYZ983208:MZG983227 NIV983208:NJC983227 NSR983208:NSY983227 OCN983208:OCU983227 OMJ983208:OMQ983227 OWF983208:OWM983227 PGB983208:PGI983227 PPX983208:PQE983227 PZT983208:QAA983227 QJP983208:QJW983227 QTL983208:QTS983227 RDH983208:RDO983227 RND983208:RNK983227 RWZ983208:RXG983227 SGV983208:SHC983227 SQR983208:SQY983227 TAN983208:TAU983227 TKJ983208:TKQ983227 TUF983208:TUM983227 UEB983208:UEI983227 UNX983208:UOE983227 UXT983208:UYA983227 VHP983208:VHW983227 VRL983208:VRS983227 WBH983208:WBO983227 WLD983208:WLK983227 WUZ983208:WVG983227 UXT983254:UYA983273 IN193:IU212 SJ193:SQ212 ACF193:ACM212 AMB193:AMI212 AVX193:AWE212 BFT193:BGA212 BPP193:BPW212 BZL193:BZS212 CJH193:CJO212 CTD193:CTK212 DCZ193:DDG212 DMV193:DNC212 DWR193:DWY212 EGN193:EGU212 EQJ193:EQQ212 FAF193:FAM212 FKB193:FKI212 FTX193:FUE212 GDT193:GEA212 GNP193:GNW212 GXL193:GXS212 HHH193:HHO212 HRD193:HRK212 IAZ193:IBG212 IKV193:ILC212 IUR193:IUY212 JEN193:JEU212 JOJ193:JOQ212 JYF193:JYM212 KIB193:KII212 KRX193:KSE212 LBT193:LCA212 LLP193:LLW212 LVL193:LVS212 MFH193:MFO212 MPD193:MPK212 MYZ193:MZG212 NIV193:NJC212 NSR193:NSY212 OCN193:OCU212 OMJ193:OMQ212 OWF193:OWM212 PGB193:PGI212 PPX193:PQE212 PZT193:QAA212 QJP193:QJW212 QTL193:QTS212 RDH193:RDO212 RND193:RNK212 RWZ193:RXG212 SGV193:SHC212 SQR193:SQY212 TAN193:TAU212 TKJ193:TKQ212 TUF193:TUM212 UEB193:UEI212 UNX193:UOE212 UXT193:UYA212 VHP193:VHW212 VRL193:VRS212 WBH193:WBO212 WLD193:WLK212 WUZ193:WVG212 H65728:O65747 IN65727:IU65746 SJ65727:SQ65746 ACF65727:ACM65746 AMB65727:AMI65746 AVX65727:AWE65746 BFT65727:BGA65746 BPP65727:BPW65746 BZL65727:BZS65746 CJH65727:CJO65746 CTD65727:CTK65746 DCZ65727:DDG65746 DMV65727:DNC65746 DWR65727:DWY65746 EGN65727:EGU65746 EQJ65727:EQQ65746 FAF65727:FAM65746 FKB65727:FKI65746 FTX65727:FUE65746 GDT65727:GEA65746 GNP65727:GNW65746 GXL65727:GXS65746 HHH65727:HHO65746 HRD65727:HRK65746 IAZ65727:IBG65746 IKV65727:ILC65746 IUR65727:IUY65746 JEN65727:JEU65746 JOJ65727:JOQ65746 JYF65727:JYM65746 KIB65727:KII65746 KRX65727:KSE65746 LBT65727:LCA65746 LLP65727:LLW65746 LVL65727:LVS65746 MFH65727:MFO65746 MPD65727:MPK65746 MYZ65727:MZG65746 NIV65727:NJC65746 NSR65727:NSY65746 OCN65727:OCU65746 OMJ65727:OMQ65746 OWF65727:OWM65746 PGB65727:PGI65746 PPX65727:PQE65746 PZT65727:QAA65746 QJP65727:QJW65746 QTL65727:QTS65746 RDH65727:RDO65746 RND65727:RNK65746 RWZ65727:RXG65746 SGV65727:SHC65746 SQR65727:SQY65746 TAN65727:TAU65746 TKJ65727:TKQ65746 TUF65727:TUM65746 UEB65727:UEI65746 UNX65727:UOE65746 UXT65727:UYA65746 VHP65727:VHW65746 VRL65727:VRS65746 WBH65727:WBO65746 WLD65727:WLK65746 WUZ65727:WVG65746 H131264:O131283 IN131263:IU131282 SJ131263:SQ131282 ACF131263:ACM131282 AMB131263:AMI131282 AVX131263:AWE131282 BFT131263:BGA131282 BPP131263:BPW131282 BZL131263:BZS131282 CJH131263:CJO131282 CTD131263:CTK131282 DCZ131263:DDG131282 DMV131263:DNC131282 DWR131263:DWY131282 EGN131263:EGU131282 EQJ131263:EQQ131282 FAF131263:FAM131282 FKB131263:FKI131282 FTX131263:FUE131282 GDT131263:GEA131282 GNP131263:GNW131282 GXL131263:GXS131282 HHH131263:HHO131282 HRD131263:HRK131282 IAZ131263:IBG131282 IKV131263:ILC131282 IUR131263:IUY131282 JEN131263:JEU131282 JOJ131263:JOQ131282 JYF131263:JYM131282 KIB131263:KII131282 KRX131263:KSE131282 LBT131263:LCA131282 LLP131263:LLW131282 LVL131263:LVS131282 MFH131263:MFO131282 MPD131263:MPK131282 MYZ131263:MZG131282 NIV131263:NJC131282 NSR131263:NSY131282 OCN131263:OCU131282 OMJ131263:OMQ131282 OWF131263:OWM131282 PGB131263:PGI131282 PPX131263:PQE131282 PZT131263:QAA131282 QJP131263:QJW131282 QTL131263:QTS131282 RDH131263:RDO131282 RND131263:RNK131282 RWZ131263:RXG131282 SGV131263:SHC131282 SQR131263:SQY131282 TAN131263:TAU131282 TKJ131263:TKQ131282 TUF131263:TUM131282 UEB131263:UEI131282 UNX131263:UOE131282 UXT131263:UYA131282 VHP131263:VHW131282 VRL131263:VRS131282 WBH131263:WBO131282 WLD131263:WLK131282 WUZ131263:WVG131282 H196800:O196819 IN196799:IU196818 SJ196799:SQ196818 ACF196799:ACM196818 AMB196799:AMI196818 AVX196799:AWE196818 BFT196799:BGA196818 BPP196799:BPW196818 BZL196799:BZS196818 CJH196799:CJO196818 CTD196799:CTK196818 DCZ196799:DDG196818 DMV196799:DNC196818 DWR196799:DWY196818 EGN196799:EGU196818 EQJ196799:EQQ196818 FAF196799:FAM196818 FKB196799:FKI196818 FTX196799:FUE196818 GDT196799:GEA196818 GNP196799:GNW196818 GXL196799:GXS196818 HHH196799:HHO196818 HRD196799:HRK196818 IAZ196799:IBG196818 IKV196799:ILC196818 IUR196799:IUY196818 JEN196799:JEU196818 JOJ196799:JOQ196818 JYF196799:JYM196818 KIB196799:KII196818 KRX196799:KSE196818 LBT196799:LCA196818 LLP196799:LLW196818 LVL196799:LVS196818 MFH196799:MFO196818 MPD196799:MPK196818 MYZ196799:MZG196818 NIV196799:NJC196818 NSR196799:NSY196818 OCN196799:OCU196818 OMJ196799:OMQ196818 OWF196799:OWM196818 PGB196799:PGI196818 PPX196799:PQE196818 PZT196799:QAA196818 QJP196799:QJW196818 QTL196799:QTS196818 RDH196799:RDO196818 RND196799:RNK196818 RWZ196799:RXG196818 SGV196799:SHC196818 SQR196799:SQY196818 TAN196799:TAU196818 TKJ196799:TKQ196818 TUF196799:TUM196818 UEB196799:UEI196818 UNX196799:UOE196818 UXT196799:UYA196818 VHP196799:VHW196818 VRL196799:VRS196818 WBH196799:WBO196818 WLD196799:WLK196818 WUZ196799:WVG196818 H262336:O262355 IN262335:IU262354 SJ262335:SQ262354 ACF262335:ACM262354 AMB262335:AMI262354 AVX262335:AWE262354 BFT262335:BGA262354 BPP262335:BPW262354 BZL262335:BZS262354 CJH262335:CJO262354 CTD262335:CTK262354 DCZ262335:DDG262354 DMV262335:DNC262354 DWR262335:DWY262354 EGN262335:EGU262354 EQJ262335:EQQ262354 FAF262335:FAM262354 FKB262335:FKI262354 FTX262335:FUE262354 GDT262335:GEA262354 GNP262335:GNW262354 GXL262335:GXS262354 HHH262335:HHO262354 HRD262335:HRK262354 IAZ262335:IBG262354 IKV262335:ILC262354 IUR262335:IUY262354 JEN262335:JEU262354 JOJ262335:JOQ262354 JYF262335:JYM262354 KIB262335:KII262354 KRX262335:KSE262354 LBT262335:LCA262354 LLP262335:LLW262354 LVL262335:LVS262354 MFH262335:MFO262354 MPD262335:MPK262354 MYZ262335:MZG262354 NIV262335:NJC262354 NSR262335:NSY262354 OCN262335:OCU262354 OMJ262335:OMQ262354 OWF262335:OWM262354 PGB262335:PGI262354 PPX262335:PQE262354 PZT262335:QAA262354 QJP262335:QJW262354 QTL262335:QTS262354 RDH262335:RDO262354 RND262335:RNK262354 RWZ262335:RXG262354 SGV262335:SHC262354 SQR262335:SQY262354 TAN262335:TAU262354 TKJ262335:TKQ262354 TUF262335:TUM262354 UEB262335:UEI262354 UNX262335:UOE262354 UXT262335:UYA262354 VHP262335:VHW262354 VRL262335:VRS262354 WBH262335:WBO262354 WLD262335:WLK262354 WUZ262335:WVG262354 H327872:O327891 IN327871:IU327890 SJ327871:SQ327890 ACF327871:ACM327890 AMB327871:AMI327890 AVX327871:AWE327890 BFT327871:BGA327890 BPP327871:BPW327890 BZL327871:BZS327890 CJH327871:CJO327890 CTD327871:CTK327890 DCZ327871:DDG327890 DMV327871:DNC327890 DWR327871:DWY327890 EGN327871:EGU327890 EQJ327871:EQQ327890 FAF327871:FAM327890 FKB327871:FKI327890 FTX327871:FUE327890 GDT327871:GEA327890 GNP327871:GNW327890 GXL327871:GXS327890 HHH327871:HHO327890 HRD327871:HRK327890 IAZ327871:IBG327890 IKV327871:ILC327890 IUR327871:IUY327890 JEN327871:JEU327890 JOJ327871:JOQ327890 JYF327871:JYM327890 KIB327871:KII327890 KRX327871:KSE327890 LBT327871:LCA327890 LLP327871:LLW327890 LVL327871:LVS327890 MFH327871:MFO327890 MPD327871:MPK327890 MYZ327871:MZG327890 NIV327871:NJC327890 NSR327871:NSY327890 OCN327871:OCU327890 OMJ327871:OMQ327890 OWF327871:OWM327890 PGB327871:PGI327890 PPX327871:PQE327890 PZT327871:QAA327890 QJP327871:QJW327890 QTL327871:QTS327890 RDH327871:RDO327890 RND327871:RNK327890 RWZ327871:RXG327890 SGV327871:SHC327890 SQR327871:SQY327890 TAN327871:TAU327890 TKJ327871:TKQ327890 TUF327871:TUM327890 UEB327871:UEI327890 UNX327871:UOE327890 UXT327871:UYA327890 VHP327871:VHW327890 VRL327871:VRS327890 WBH327871:WBO327890 WLD327871:WLK327890 WUZ327871:WVG327890 H393408:O393427 IN393407:IU393426 SJ393407:SQ393426 ACF393407:ACM393426 AMB393407:AMI393426 AVX393407:AWE393426 BFT393407:BGA393426 BPP393407:BPW393426 BZL393407:BZS393426 CJH393407:CJO393426 CTD393407:CTK393426 DCZ393407:DDG393426 DMV393407:DNC393426 DWR393407:DWY393426 EGN393407:EGU393426 EQJ393407:EQQ393426 FAF393407:FAM393426 FKB393407:FKI393426 FTX393407:FUE393426 GDT393407:GEA393426 GNP393407:GNW393426 GXL393407:GXS393426 HHH393407:HHO393426 HRD393407:HRK393426 IAZ393407:IBG393426 IKV393407:ILC393426 IUR393407:IUY393426 JEN393407:JEU393426 JOJ393407:JOQ393426 JYF393407:JYM393426 KIB393407:KII393426 KRX393407:KSE393426 LBT393407:LCA393426 LLP393407:LLW393426 LVL393407:LVS393426 MFH393407:MFO393426 MPD393407:MPK393426 MYZ393407:MZG393426 NIV393407:NJC393426 NSR393407:NSY393426 OCN393407:OCU393426 OMJ393407:OMQ393426 OWF393407:OWM393426 PGB393407:PGI393426 PPX393407:PQE393426 PZT393407:QAA393426 QJP393407:QJW393426 QTL393407:QTS393426 RDH393407:RDO393426 RND393407:RNK393426 RWZ393407:RXG393426 SGV393407:SHC393426 SQR393407:SQY393426 TAN393407:TAU393426 TKJ393407:TKQ393426 TUF393407:TUM393426 UEB393407:UEI393426 UNX393407:UOE393426 UXT393407:UYA393426 VHP393407:VHW393426 VRL393407:VRS393426 WBH393407:WBO393426 WLD393407:WLK393426 WUZ393407:WVG393426 H458944:O458963 IN458943:IU458962 SJ458943:SQ458962 ACF458943:ACM458962 AMB458943:AMI458962 AVX458943:AWE458962 BFT458943:BGA458962 BPP458943:BPW458962 BZL458943:BZS458962 CJH458943:CJO458962 CTD458943:CTK458962 DCZ458943:DDG458962 DMV458943:DNC458962 DWR458943:DWY458962 EGN458943:EGU458962 EQJ458943:EQQ458962 FAF458943:FAM458962 FKB458943:FKI458962 FTX458943:FUE458962 GDT458943:GEA458962 GNP458943:GNW458962 GXL458943:GXS458962 HHH458943:HHO458962 HRD458943:HRK458962 IAZ458943:IBG458962 IKV458943:ILC458962 IUR458943:IUY458962 JEN458943:JEU458962 JOJ458943:JOQ458962 JYF458943:JYM458962 KIB458943:KII458962 KRX458943:KSE458962 LBT458943:LCA458962 LLP458943:LLW458962 LVL458943:LVS458962 MFH458943:MFO458962 MPD458943:MPK458962 MYZ458943:MZG458962 NIV458943:NJC458962 NSR458943:NSY458962 OCN458943:OCU458962 OMJ458943:OMQ458962 OWF458943:OWM458962 PGB458943:PGI458962 PPX458943:PQE458962 PZT458943:QAA458962 QJP458943:QJW458962 QTL458943:QTS458962 RDH458943:RDO458962 RND458943:RNK458962 RWZ458943:RXG458962 SGV458943:SHC458962 SQR458943:SQY458962 TAN458943:TAU458962 TKJ458943:TKQ458962 TUF458943:TUM458962 UEB458943:UEI458962 UNX458943:UOE458962 UXT458943:UYA458962 VHP458943:VHW458962 VRL458943:VRS458962 WBH458943:WBO458962 WLD458943:WLK458962 WUZ458943:WVG458962 H524480:O524499 IN524479:IU524498 SJ524479:SQ524498 ACF524479:ACM524498 AMB524479:AMI524498 AVX524479:AWE524498 BFT524479:BGA524498 BPP524479:BPW524498 BZL524479:BZS524498 CJH524479:CJO524498 CTD524479:CTK524498 DCZ524479:DDG524498 DMV524479:DNC524498 DWR524479:DWY524498 EGN524479:EGU524498 EQJ524479:EQQ524498 FAF524479:FAM524498 FKB524479:FKI524498 FTX524479:FUE524498 GDT524479:GEA524498 GNP524479:GNW524498 GXL524479:GXS524498 HHH524479:HHO524498 HRD524479:HRK524498 IAZ524479:IBG524498 IKV524479:ILC524498 IUR524479:IUY524498 JEN524479:JEU524498 JOJ524479:JOQ524498 JYF524479:JYM524498 KIB524479:KII524498 KRX524479:KSE524498 LBT524479:LCA524498 LLP524479:LLW524498 LVL524479:LVS524498 MFH524479:MFO524498 MPD524479:MPK524498 MYZ524479:MZG524498 NIV524479:NJC524498 NSR524479:NSY524498 OCN524479:OCU524498 OMJ524479:OMQ524498 OWF524479:OWM524498 PGB524479:PGI524498 PPX524479:PQE524498 PZT524479:QAA524498 QJP524479:QJW524498 QTL524479:QTS524498 RDH524479:RDO524498 RND524479:RNK524498 RWZ524479:RXG524498 SGV524479:SHC524498 SQR524479:SQY524498 TAN524479:TAU524498 TKJ524479:TKQ524498 TUF524479:TUM524498 UEB524479:UEI524498 UNX524479:UOE524498 UXT524479:UYA524498 VHP524479:VHW524498 VRL524479:VRS524498 WBH524479:WBO524498 WLD524479:WLK524498 WUZ524479:WVG524498 H590016:O590035 IN590015:IU590034 SJ590015:SQ590034 ACF590015:ACM590034 AMB590015:AMI590034 AVX590015:AWE590034 BFT590015:BGA590034 BPP590015:BPW590034 BZL590015:BZS590034 CJH590015:CJO590034 CTD590015:CTK590034 DCZ590015:DDG590034 DMV590015:DNC590034 DWR590015:DWY590034 EGN590015:EGU590034 EQJ590015:EQQ590034 FAF590015:FAM590034 FKB590015:FKI590034 FTX590015:FUE590034 GDT590015:GEA590034 GNP590015:GNW590034 GXL590015:GXS590034 HHH590015:HHO590034 HRD590015:HRK590034 IAZ590015:IBG590034 IKV590015:ILC590034 IUR590015:IUY590034 JEN590015:JEU590034 JOJ590015:JOQ590034 JYF590015:JYM590034 KIB590015:KII590034 KRX590015:KSE590034 LBT590015:LCA590034 LLP590015:LLW590034 LVL590015:LVS590034 MFH590015:MFO590034 MPD590015:MPK590034 MYZ590015:MZG590034 NIV590015:NJC590034 NSR590015:NSY590034 OCN590015:OCU590034 OMJ590015:OMQ590034 OWF590015:OWM590034 PGB590015:PGI590034 PPX590015:PQE590034 PZT590015:QAA590034 QJP590015:QJW590034 QTL590015:QTS590034 RDH590015:RDO590034 RND590015:RNK590034 RWZ590015:RXG590034 SGV590015:SHC590034 SQR590015:SQY590034 TAN590015:TAU590034 TKJ590015:TKQ590034 TUF590015:TUM590034 UEB590015:UEI590034 UNX590015:UOE590034 UXT590015:UYA590034 VHP590015:VHW590034 VRL590015:VRS590034 WBH590015:WBO590034 WLD590015:WLK590034 WUZ590015:WVG590034 H655552:O655571 IN655551:IU655570 SJ655551:SQ655570 ACF655551:ACM655570 AMB655551:AMI655570 AVX655551:AWE655570 BFT655551:BGA655570 BPP655551:BPW655570 BZL655551:BZS655570 CJH655551:CJO655570 CTD655551:CTK655570 DCZ655551:DDG655570 DMV655551:DNC655570 DWR655551:DWY655570 EGN655551:EGU655570 EQJ655551:EQQ655570 FAF655551:FAM655570 FKB655551:FKI655570 FTX655551:FUE655570 GDT655551:GEA655570 GNP655551:GNW655570 GXL655551:GXS655570 HHH655551:HHO655570 HRD655551:HRK655570 IAZ655551:IBG655570 IKV655551:ILC655570 IUR655551:IUY655570 JEN655551:JEU655570 JOJ655551:JOQ655570 JYF655551:JYM655570 KIB655551:KII655570 KRX655551:KSE655570 LBT655551:LCA655570 LLP655551:LLW655570 LVL655551:LVS655570 MFH655551:MFO655570 MPD655551:MPK655570 MYZ655551:MZG655570 NIV655551:NJC655570 NSR655551:NSY655570 OCN655551:OCU655570 OMJ655551:OMQ655570 OWF655551:OWM655570 PGB655551:PGI655570 PPX655551:PQE655570 PZT655551:QAA655570 QJP655551:QJW655570 QTL655551:QTS655570 RDH655551:RDO655570 RND655551:RNK655570 RWZ655551:RXG655570 SGV655551:SHC655570 SQR655551:SQY655570 TAN655551:TAU655570 TKJ655551:TKQ655570 TUF655551:TUM655570 UEB655551:UEI655570 UNX655551:UOE655570 UXT655551:UYA655570 VHP655551:VHW655570 VRL655551:VRS655570 WBH655551:WBO655570 WLD655551:WLK655570 WUZ655551:WVG655570 H721088:O721107 IN721087:IU721106 SJ721087:SQ721106 ACF721087:ACM721106 AMB721087:AMI721106 AVX721087:AWE721106 BFT721087:BGA721106 BPP721087:BPW721106 BZL721087:BZS721106 CJH721087:CJO721106 CTD721087:CTK721106 DCZ721087:DDG721106 DMV721087:DNC721106 DWR721087:DWY721106 EGN721087:EGU721106 EQJ721087:EQQ721106 FAF721087:FAM721106 FKB721087:FKI721106 FTX721087:FUE721106 GDT721087:GEA721106 GNP721087:GNW721106 GXL721087:GXS721106 HHH721087:HHO721106 HRD721087:HRK721106 IAZ721087:IBG721106 IKV721087:ILC721106 IUR721087:IUY721106 JEN721087:JEU721106 JOJ721087:JOQ721106 JYF721087:JYM721106 KIB721087:KII721106 KRX721087:KSE721106 LBT721087:LCA721106 LLP721087:LLW721106 LVL721087:LVS721106 MFH721087:MFO721106 MPD721087:MPK721106 MYZ721087:MZG721106 NIV721087:NJC721106 NSR721087:NSY721106 OCN721087:OCU721106 OMJ721087:OMQ721106 OWF721087:OWM721106 PGB721087:PGI721106 PPX721087:PQE721106 PZT721087:QAA721106 QJP721087:QJW721106 QTL721087:QTS721106 RDH721087:RDO721106 RND721087:RNK721106 RWZ721087:RXG721106 SGV721087:SHC721106 SQR721087:SQY721106 TAN721087:TAU721106 TKJ721087:TKQ721106 TUF721087:TUM721106 UEB721087:UEI721106 UNX721087:UOE721106 UXT721087:UYA721106 VHP721087:VHW721106 VRL721087:VRS721106 WBH721087:WBO721106 WLD721087:WLK721106 WUZ721087:WVG721106 H786624:O786643 IN786623:IU786642 SJ786623:SQ786642 ACF786623:ACM786642 AMB786623:AMI786642 AVX786623:AWE786642 BFT786623:BGA786642 BPP786623:BPW786642 BZL786623:BZS786642 CJH786623:CJO786642 CTD786623:CTK786642 DCZ786623:DDG786642 DMV786623:DNC786642 DWR786623:DWY786642 EGN786623:EGU786642 EQJ786623:EQQ786642 FAF786623:FAM786642 FKB786623:FKI786642 FTX786623:FUE786642 GDT786623:GEA786642 GNP786623:GNW786642 GXL786623:GXS786642 HHH786623:HHO786642 HRD786623:HRK786642 IAZ786623:IBG786642 IKV786623:ILC786642 IUR786623:IUY786642 JEN786623:JEU786642 JOJ786623:JOQ786642 JYF786623:JYM786642 KIB786623:KII786642 KRX786623:KSE786642 LBT786623:LCA786642 LLP786623:LLW786642 LVL786623:LVS786642 MFH786623:MFO786642 MPD786623:MPK786642 MYZ786623:MZG786642 NIV786623:NJC786642 NSR786623:NSY786642 OCN786623:OCU786642 OMJ786623:OMQ786642 OWF786623:OWM786642 PGB786623:PGI786642 PPX786623:PQE786642 PZT786623:QAA786642 QJP786623:QJW786642 QTL786623:QTS786642 RDH786623:RDO786642 RND786623:RNK786642 RWZ786623:RXG786642 SGV786623:SHC786642 SQR786623:SQY786642 TAN786623:TAU786642 TKJ786623:TKQ786642 TUF786623:TUM786642 UEB786623:UEI786642 UNX786623:UOE786642 UXT786623:UYA786642 VHP786623:VHW786642 VRL786623:VRS786642 WBH786623:WBO786642 WLD786623:WLK786642 WUZ786623:WVG786642 H852160:O852179 IN852159:IU852178 SJ852159:SQ852178 ACF852159:ACM852178 AMB852159:AMI852178 AVX852159:AWE852178 BFT852159:BGA852178 BPP852159:BPW852178 BZL852159:BZS852178 CJH852159:CJO852178 CTD852159:CTK852178 DCZ852159:DDG852178 DMV852159:DNC852178 DWR852159:DWY852178 EGN852159:EGU852178 EQJ852159:EQQ852178 FAF852159:FAM852178 FKB852159:FKI852178 FTX852159:FUE852178 GDT852159:GEA852178 GNP852159:GNW852178 GXL852159:GXS852178 HHH852159:HHO852178 HRD852159:HRK852178 IAZ852159:IBG852178 IKV852159:ILC852178 IUR852159:IUY852178 JEN852159:JEU852178 JOJ852159:JOQ852178 JYF852159:JYM852178 KIB852159:KII852178 KRX852159:KSE852178 LBT852159:LCA852178 LLP852159:LLW852178 LVL852159:LVS852178 MFH852159:MFO852178 MPD852159:MPK852178 MYZ852159:MZG852178 NIV852159:NJC852178 NSR852159:NSY852178 OCN852159:OCU852178 OMJ852159:OMQ852178 OWF852159:OWM852178 PGB852159:PGI852178 PPX852159:PQE852178 PZT852159:QAA852178 QJP852159:QJW852178 QTL852159:QTS852178 RDH852159:RDO852178 RND852159:RNK852178 RWZ852159:RXG852178 SGV852159:SHC852178 SQR852159:SQY852178 TAN852159:TAU852178 TKJ852159:TKQ852178 TUF852159:TUM852178 UEB852159:UEI852178 UNX852159:UOE852178 UXT852159:UYA852178 VHP852159:VHW852178 VRL852159:VRS852178 WBH852159:WBO852178 WLD852159:WLK852178 WUZ852159:WVG852178 H917696:O917715 IN917695:IU917714 SJ917695:SQ917714 ACF917695:ACM917714 AMB917695:AMI917714 AVX917695:AWE917714 BFT917695:BGA917714 BPP917695:BPW917714 BZL917695:BZS917714 CJH917695:CJO917714 CTD917695:CTK917714 DCZ917695:DDG917714 DMV917695:DNC917714 DWR917695:DWY917714 EGN917695:EGU917714 EQJ917695:EQQ917714 FAF917695:FAM917714 FKB917695:FKI917714 FTX917695:FUE917714 GDT917695:GEA917714 GNP917695:GNW917714 GXL917695:GXS917714 HHH917695:HHO917714 HRD917695:HRK917714 IAZ917695:IBG917714 IKV917695:ILC917714 IUR917695:IUY917714 JEN917695:JEU917714 JOJ917695:JOQ917714 JYF917695:JYM917714 KIB917695:KII917714 KRX917695:KSE917714 LBT917695:LCA917714 LLP917695:LLW917714 LVL917695:LVS917714 MFH917695:MFO917714 MPD917695:MPK917714 MYZ917695:MZG917714 NIV917695:NJC917714 NSR917695:NSY917714 OCN917695:OCU917714 OMJ917695:OMQ917714 OWF917695:OWM917714 PGB917695:PGI917714 PPX917695:PQE917714 PZT917695:QAA917714 QJP917695:QJW917714 QTL917695:QTS917714 RDH917695:RDO917714 RND917695:RNK917714 RWZ917695:RXG917714 SGV917695:SHC917714 SQR917695:SQY917714 TAN917695:TAU917714 TKJ917695:TKQ917714 TUF917695:TUM917714 UEB917695:UEI917714 UNX917695:UOE917714 UXT917695:UYA917714 VHP917695:VHW917714 VRL917695:VRS917714 WBH917695:WBO917714 WLD917695:WLK917714 WUZ917695:WVG917714 H983232:O983251 IN983231:IU983250 SJ983231:SQ983250 ACF983231:ACM983250 AMB983231:AMI983250 AVX983231:AWE983250 BFT983231:BGA983250 BPP983231:BPW983250 BZL983231:BZS983250 CJH983231:CJO983250 CTD983231:CTK983250 DCZ983231:DDG983250 DMV983231:DNC983250 DWR983231:DWY983250 EGN983231:EGU983250 EQJ983231:EQQ983250 FAF983231:FAM983250 FKB983231:FKI983250 FTX983231:FUE983250 GDT983231:GEA983250 GNP983231:GNW983250 GXL983231:GXS983250 HHH983231:HHO983250 HRD983231:HRK983250 IAZ983231:IBG983250 IKV983231:ILC983250 IUR983231:IUY983250 JEN983231:JEU983250 JOJ983231:JOQ983250 JYF983231:JYM983250 KIB983231:KII983250 KRX983231:KSE983250 LBT983231:LCA983250 LLP983231:LLW983250 LVL983231:LVS983250 MFH983231:MFO983250 MPD983231:MPK983250 MYZ983231:MZG983250 NIV983231:NJC983250 NSR983231:NSY983250 OCN983231:OCU983250 OMJ983231:OMQ983250 OWF983231:OWM983250 PGB983231:PGI983250 PPX983231:PQE983250 PZT983231:QAA983250 QJP983231:QJW983250 QTL983231:QTS983250 RDH983231:RDO983250 RND983231:RNK983250 RWZ983231:RXG983250 SGV983231:SHC983250 SQR983231:SQY983250 TAN983231:TAU983250 TKJ983231:TKQ983250 TUF983231:TUM983250 UEB983231:UEI983250 UNX983231:UOE983250 UXT983231:UYA983250 VHP983231:VHW983250 VRL983231:VRS983250 WBH983231:WBO983250 WLD983231:WLK983250 WUZ983231:WVG983250 WBH983254:WBO983273 QJP19:QJW28 QTL19:QTS28 RDH19:RDO28 RND19:RNK28 RWZ19:RXG28 SGV19:SHC28 SQR19:SQY28 TAN19:TAU28 TKJ19:TKQ28 TUF19:TUM28 UEB19:UEI28 UNX19:UOE28 UXT19:UYA28 VHP19:VHW28 VRL19:VRS28 WBH19:WBO28 WLD19:WLK28 WUZ19:WVG28 IN19:IU28 SJ19:SQ28 ACF19:ACM28 AMB19:AMI28 AVX19:AWE28 BFT19:BGA28 BPP19:BPW28 BZL19:BZS28 CJH19:CJO28 CTD19:CTK28 DCZ19:DDG28 DMV19:DNC28 DWR19:DWY28 EGN19:EGU28 EQJ19:EQQ28 FAF19:FAM28 FKB19:FKI28 FTX19:FUE28 GDT19:GEA28 GNP19:GNW28 GXL19:GXS28 HHH19:HHO28 HRD19:HRK28 IAZ19:IBG28 IKV19:ILC28 IUR19:IUY28 JEN19:JEU28 JOJ19:JOQ28 JYF19:JYM28 KIB19:KII28 KRX19:KSE28 LBT19:LCA28 LLP19:LLW28 LVL19:LVS28 MFH19:MFO28 MPD19:MPK28 MYZ19:MZG28 NIV19:NJC28 NSR19:NSY28 OCN19:OCU28 OMJ19:OMQ28 OWF19:OWM28 PGB19:PGI28 PPX19:PQE28 UEB983254:UEI983273 H65529:O65548 IN65528:IU65547 SJ65528:SQ65547 ACF65528:ACM65547 AMB65528:AMI65547 AVX65528:AWE65547 BFT65528:BGA65547 BPP65528:BPW65547 BZL65528:BZS65547 CJH65528:CJO65547 CTD65528:CTK65547 DCZ65528:DDG65547 DMV65528:DNC65547 DWR65528:DWY65547 EGN65528:EGU65547 EQJ65528:EQQ65547 FAF65528:FAM65547 FKB65528:FKI65547 FTX65528:FUE65547 GDT65528:GEA65547 GNP65528:GNW65547 GXL65528:GXS65547 HHH65528:HHO65547 HRD65528:HRK65547 IAZ65528:IBG65547 IKV65528:ILC65547 IUR65528:IUY65547 JEN65528:JEU65547 JOJ65528:JOQ65547 JYF65528:JYM65547 KIB65528:KII65547 KRX65528:KSE65547 LBT65528:LCA65547 LLP65528:LLW65547 LVL65528:LVS65547 MFH65528:MFO65547 MPD65528:MPK65547 MYZ65528:MZG65547 NIV65528:NJC65547 NSR65528:NSY65547 OCN65528:OCU65547 OMJ65528:OMQ65547 OWF65528:OWM65547 PGB65528:PGI65547 PPX65528:PQE65547 PZT65528:QAA65547 QJP65528:QJW65547 QTL65528:QTS65547 RDH65528:RDO65547 RND65528:RNK65547 RWZ65528:RXG65547 SGV65528:SHC65547 SQR65528:SQY65547 TAN65528:TAU65547 TKJ65528:TKQ65547 TUF65528:TUM65547 UEB65528:UEI65547 UNX65528:UOE65547 UXT65528:UYA65547 VHP65528:VHW65547 VRL65528:VRS65547 WBH65528:WBO65547 WLD65528:WLK65547 WUZ65528:WVG65547 H131065:O131084 IN131064:IU131083 SJ131064:SQ131083 ACF131064:ACM131083 AMB131064:AMI131083 AVX131064:AWE131083 BFT131064:BGA131083 BPP131064:BPW131083 BZL131064:BZS131083 CJH131064:CJO131083 CTD131064:CTK131083 DCZ131064:DDG131083 DMV131064:DNC131083 DWR131064:DWY131083 EGN131064:EGU131083 EQJ131064:EQQ131083 FAF131064:FAM131083 FKB131064:FKI131083 FTX131064:FUE131083 GDT131064:GEA131083 GNP131064:GNW131083 GXL131064:GXS131083 HHH131064:HHO131083 HRD131064:HRK131083 IAZ131064:IBG131083 IKV131064:ILC131083 IUR131064:IUY131083 JEN131064:JEU131083 JOJ131064:JOQ131083 JYF131064:JYM131083 KIB131064:KII131083 KRX131064:KSE131083 LBT131064:LCA131083 LLP131064:LLW131083 LVL131064:LVS131083 MFH131064:MFO131083 MPD131064:MPK131083 MYZ131064:MZG131083 NIV131064:NJC131083 NSR131064:NSY131083 OCN131064:OCU131083 OMJ131064:OMQ131083 OWF131064:OWM131083 PGB131064:PGI131083 PPX131064:PQE131083 PZT131064:QAA131083 QJP131064:QJW131083 QTL131064:QTS131083 RDH131064:RDO131083 RND131064:RNK131083 RWZ131064:RXG131083 SGV131064:SHC131083 SQR131064:SQY131083 TAN131064:TAU131083 TKJ131064:TKQ131083 TUF131064:TUM131083 UEB131064:UEI131083 UNX131064:UOE131083 UXT131064:UYA131083 VHP131064:VHW131083 VRL131064:VRS131083 WBH131064:WBO131083 WLD131064:WLK131083 WUZ131064:WVG131083 H196601:O196620 IN196600:IU196619 SJ196600:SQ196619 ACF196600:ACM196619 AMB196600:AMI196619 AVX196600:AWE196619 BFT196600:BGA196619 BPP196600:BPW196619 BZL196600:BZS196619 CJH196600:CJO196619 CTD196600:CTK196619 DCZ196600:DDG196619 DMV196600:DNC196619 DWR196600:DWY196619 EGN196600:EGU196619 EQJ196600:EQQ196619 FAF196600:FAM196619 FKB196600:FKI196619 FTX196600:FUE196619 GDT196600:GEA196619 GNP196600:GNW196619 GXL196600:GXS196619 HHH196600:HHO196619 HRD196600:HRK196619 IAZ196600:IBG196619 IKV196600:ILC196619 IUR196600:IUY196619 JEN196600:JEU196619 JOJ196600:JOQ196619 JYF196600:JYM196619 KIB196600:KII196619 KRX196600:KSE196619 LBT196600:LCA196619 LLP196600:LLW196619 LVL196600:LVS196619 MFH196600:MFO196619 MPD196600:MPK196619 MYZ196600:MZG196619 NIV196600:NJC196619 NSR196600:NSY196619 OCN196600:OCU196619 OMJ196600:OMQ196619 OWF196600:OWM196619 PGB196600:PGI196619 PPX196600:PQE196619 PZT196600:QAA196619 QJP196600:QJW196619 QTL196600:QTS196619 RDH196600:RDO196619 RND196600:RNK196619 RWZ196600:RXG196619 SGV196600:SHC196619 SQR196600:SQY196619 TAN196600:TAU196619 TKJ196600:TKQ196619 TUF196600:TUM196619 UEB196600:UEI196619 UNX196600:UOE196619 UXT196600:UYA196619 VHP196600:VHW196619 VRL196600:VRS196619 WBH196600:WBO196619 WLD196600:WLK196619 WUZ196600:WVG196619 H262137:O262156 IN262136:IU262155 SJ262136:SQ262155 ACF262136:ACM262155 AMB262136:AMI262155 AVX262136:AWE262155 BFT262136:BGA262155 BPP262136:BPW262155 BZL262136:BZS262155 CJH262136:CJO262155 CTD262136:CTK262155 DCZ262136:DDG262155 DMV262136:DNC262155 DWR262136:DWY262155 EGN262136:EGU262155 EQJ262136:EQQ262155 FAF262136:FAM262155 FKB262136:FKI262155 FTX262136:FUE262155 GDT262136:GEA262155 GNP262136:GNW262155 GXL262136:GXS262155 HHH262136:HHO262155 HRD262136:HRK262155 IAZ262136:IBG262155 IKV262136:ILC262155 IUR262136:IUY262155 JEN262136:JEU262155 JOJ262136:JOQ262155 JYF262136:JYM262155 KIB262136:KII262155 KRX262136:KSE262155 LBT262136:LCA262155 LLP262136:LLW262155 LVL262136:LVS262155 MFH262136:MFO262155 MPD262136:MPK262155 MYZ262136:MZG262155 NIV262136:NJC262155 NSR262136:NSY262155 OCN262136:OCU262155 OMJ262136:OMQ262155 OWF262136:OWM262155 PGB262136:PGI262155 PPX262136:PQE262155 PZT262136:QAA262155 QJP262136:QJW262155 QTL262136:QTS262155 RDH262136:RDO262155 RND262136:RNK262155 RWZ262136:RXG262155 SGV262136:SHC262155 SQR262136:SQY262155 TAN262136:TAU262155 TKJ262136:TKQ262155 TUF262136:TUM262155 UEB262136:UEI262155 UNX262136:UOE262155 UXT262136:UYA262155 VHP262136:VHW262155 VRL262136:VRS262155 WBH262136:WBO262155 WLD262136:WLK262155 WUZ262136:WVG262155 H327673:O327692 IN327672:IU327691 SJ327672:SQ327691 ACF327672:ACM327691 AMB327672:AMI327691 AVX327672:AWE327691 BFT327672:BGA327691 BPP327672:BPW327691 BZL327672:BZS327691 CJH327672:CJO327691 CTD327672:CTK327691 DCZ327672:DDG327691 DMV327672:DNC327691 DWR327672:DWY327691 EGN327672:EGU327691 EQJ327672:EQQ327691 FAF327672:FAM327691 FKB327672:FKI327691 FTX327672:FUE327691 GDT327672:GEA327691 GNP327672:GNW327691 GXL327672:GXS327691 HHH327672:HHO327691 HRD327672:HRK327691 IAZ327672:IBG327691 IKV327672:ILC327691 IUR327672:IUY327691 JEN327672:JEU327691 JOJ327672:JOQ327691 JYF327672:JYM327691 KIB327672:KII327691 KRX327672:KSE327691 LBT327672:LCA327691 LLP327672:LLW327691 LVL327672:LVS327691 MFH327672:MFO327691 MPD327672:MPK327691 MYZ327672:MZG327691 NIV327672:NJC327691 NSR327672:NSY327691 OCN327672:OCU327691 OMJ327672:OMQ327691 OWF327672:OWM327691 PGB327672:PGI327691 PPX327672:PQE327691 PZT327672:QAA327691 QJP327672:QJW327691 QTL327672:QTS327691 RDH327672:RDO327691 RND327672:RNK327691 RWZ327672:RXG327691 SGV327672:SHC327691 SQR327672:SQY327691 TAN327672:TAU327691 TKJ327672:TKQ327691 TUF327672:TUM327691 UEB327672:UEI327691 UNX327672:UOE327691 UXT327672:UYA327691 VHP327672:VHW327691 VRL327672:VRS327691 WBH327672:WBO327691 WLD327672:WLK327691 WUZ327672:WVG327691 H393209:O393228 IN393208:IU393227 SJ393208:SQ393227 ACF393208:ACM393227 AMB393208:AMI393227 AVX393208:AWE393227 BFT393208:BGA393227 BPP393208:BPW393227 BZL393208:BZS393227 CJH393208:CJO393227 CTD393208:CTK393227 DCZ393208:DDG393227 DMV393208:DNC393227 DWR393208:DWY393227 EGN393208:EGU393227 EQJ393208:EQQ393227 FAF393208:FAM393227 FKB393208:FKI393227 FTX393208:FUE393227 GDT393208:GEA393227 GNP393208:GNW393227 GXL393208:GXS393227 HHH393208:HHO393227 HRD393208:HRK393227 IAZ393208:IBG393227 IKV393208:ILC393227 IUR393208:IUY393227 JEN393208:JEU393227 JOJ393208:JOQ393227 JYF393208:JYM393227 KIB393208:KII393227 KRX393208:KSE393227 LBT393208:LCA393227 LLP393208:LLW393227 LVL393208:LVS393227 MFH393208:MFO393227 MPD393208:MPK393227 MYZ393208:MZG393227 NIV393208:NJC393227 NSR393208:NSY393227 OCN393208:OCU393227 OMJ393208:OMQ393227 OWF393208:OWM393227 PGB393208:PGI393227 PPX393208:PQE393227 PZT393208:QAA393227 QJP393208:QJW393227 QTL393208:QTS393227 RDH393208:RDO393227 RND393208:RNK393227 RWZ393208:RXG393227 SGV393208:SHC393227 SQR393208:SQY393227 TAN393208:TAU393227 TKJ393208:TKQ393227 TUF393208:TUM393227 UEB393208:UEI393227 UNX393208:UOE393227 UXT393208:UYA393227 VHP393208:VHW393227 VRL393208:VRS393227 WBH393208:WBO393227 WLD393208:WLK393227 WUZ393208:WVG393227 H458745:O458764 IN458744:IU458763 SJ458744:SQ458763 ACF458744:ACM458763 AMB458744:AMI458763 AVX458744:AWE458763 BFT458744:BGA458763 BPP458744:BPW458763 BZL458744:BZS458763 CJH458744:CJO458763 CTD458744:CTK458763 DCZ458744:DDG458763 DMV458744:DNC458763 DWR458744:DWY458763 EGN458744:EGU458763 EQJ458744:EQQ458763 FAF458744:FAM458763 FKB458744:FKI458763 FTX458744:FUE458763 GDT458744:GEA458763 GNP458744:GNW458763 GXL458744:GXS458763 HHH458744:HHO458763 HRD458744:HRK458763 IAZ458744:IBG458763 IKV458744:ILC458763 IUR458744:IUY458763 JEN458744:JEU458763 JOJ458744:JOQ458763 JYF458744:JYM458763 KIB458744:KII458763 KRX458744:KSE458763 LBT458744:LCA458763 LLP458744:LLW458763 LVL458744:LVS458763 MFH458744:MFO458763 MPD458744:MPK458763 MYZ458744:MZG458763 NIV458744:NJC458763 NSR458744:NSY458763 OCN458744:OCU458763 OMJ458744:OMQ458763 OWF458744:OWM458763 PGB458744:PGI458763 PPX458744:PQE458763 PZT458744:QAA458763 QJP458744:QJW458763 QTL458744:QTS458763 RDH458744:RDO458763 RND458744:RNK458763 RWZ458744:RXG458763 SGV458744:SHC458763 SQR458744:SQY458763 TAN458744:TAU458763 TKJ458744:TKQ458763 TUF458744:TUM458763 UEB458744:UEI458763 UNX458744:UOE458763 UXT458744:UYA458763 VHP458744:VHW458763 VRL458744:VRS458763 WBH458744:WBO458763 WLD458744:WLK458763 WUZ458744:WVG458763 H524281:O524300 IN524280:IU524299 SJ524280:SQ524299 ACF524280:ACM524299 AMB524280:AMI524299 AVX524280:AWE524299 BFT524280:BGA524299 BPP524280:BPW524299 BZL524280:BZS524299 CJH524280:CJO524299 CTD524280:CTK524299 DCZ524280:DDG524299 DMV524280:DNC524299 DWR524280:DWY524299 EGN524280:EGU524299 EQJ524280:EQQ524299 FAF524280:FAM524299 FKB524280:FKI524299 FTX524280:FUE524299 GDT524280:GEA524299 GNP524280:GNW524299 GXL524280:GXS524299 HHH524280:HHO524299 HRD524280:HRK524299 IAZ524280:IBG524299 IKV524280:ILC524299 IUR524280:IUY524299 JEN524280:JEU524299 JOJ524280:JOQ524299 JYF524280:JYM524299 KIB524280:KII524299 KRX524280:KSE524299 LBT524280:LCA524299 LLP524280:LLW524299 LVL524280:LVS524299 MFH524280:MFO524299 MPD524280:MPK524299 MYZ524280:MZG524299 NIV524280:NJC524299 NSR524280:NSY524299 OCN524280:OCU524299 OMJ524280:OMQ524299 OWF524280:OWM524299 PGB524280:PGI524299 PPX524280:PQE524299 PZT524280:QAA524299 QJP524280:QJW524299 QTL524280:QTS524299 RDH524280:RDO524299 RND524280:RNK524299 RWZ524280:RXG524299 SGV524280:SHC524299 SQR524280:SQY524299 TAN524280:TAU524299 TKJ524280:TKQ524299 TUF524280:TUM524299 UEB524280:UEI524299 UNX524280:UOE524299 UXT524280:UYA524299 VHP524280:VHW524299 VRL524280:VRS524299 WBH524280:WBO524299 WLD524280:WLK524299 WUZ524280:WVG524299 H589817:O589836 IN589816:IU589835 SJ589816:SQ589835 ACF589816:ACM589835 AMB589816:AMI589835 AVX589816:AWE589835 BFT589816:BGA589835 BPP589816:BPW589835 BZL589816:BZS589835 CJH589816:CJO589835 CTD589816:CTK589835 DCZ589816:DDG589835 DMV589816:DNC589835 DWR589816:DWY589835 EGN589816:EGU589835 EQJ589816:EQQ589835 FAF589816:FAM589835 FKB589816:FKI589835 FTX589816:FUE589835 GDT589816:GEA589835 GNP589816:GNW589835 GXL589816:GXS589835 HHH589816:HHO589835 HRD589816:HRK589835 IAZ589816:IBG589835 IKV589816:ILC589835 IUR589816:IUY589835 JEN589816:JEU589835 JOJ589816:JOQ589835 JYF589816:JYM589835 KIB589816:KII589835 KRX589816:KSE589835 LBT589816:LCA589835 LLP589816:LLW589835 LVL589816:LVS589835 MFH589816:MFO589835 MPD589816:MPK589835 MYZ589816:MZG589835 NIV589816:NJC589835 NSR589816:NSY589835 OCN589816:OCU589835 OMJ589816:OMQ589835 OWF589816:OWM589835 PGB589816:PGI589835 PPX589816:PQE589835 PZT589816:QAA589835 QJP589816:QJW589835 QTL589816:QTS589835 RDH589816:RDO589835 RND589816:RNK589835 RWZ589816:RXG589835 SGV589816:SHC589835 SQR589816:SQY589835 TAN589816:TAU589835 TKJ589816:TKQ589835 TUF589816:TUM589835 UEB589816:UEI589835 UNX589816:UOE589835 UXT589816:UYA589835 VHP589816:VHW589835 VRL589816:VRS589835 WBH589816:WBO589835 WLD589816:WLK589835 WUZ589816:WVG589835 H655353:O655372 IN655352:IU655371 SJ655352:SQ655371 ACF655352:ACM655371 AMB655352:AMI655371 AVX655352:AWE655371 BFT655352:BGA655371 BPP655352:BPW655371 BZL655352:BZS655371 CJH655352:CJO655371 CTD655352:CTK655371 DCZ655352:DDG655371 DMV655352:DNC655371 DWR655352:DWY655371 EGN655352:EGU655371 EQJ655352:EQQ655371 FAF655352:FAM655371 FKB655352:FKI655371 FTX655352:FUE655371 GDT655352:GEA655371 GNP655352:GNW655371 GXL655352:GXS655371 HHH655352:HHO655371 HRD655352:HRK655371 IAZ655352:IBG655371 IKV655352:ILC655371 IUR655352:IUY655371 JEN655352:JEU655371 JOJ655352:JOQ655371 JYF655352:JYM655371 KIB655352:KII655371 KRX655352:KSE655371 LBT655352:LCA655371 LLP655352:LLW655371 LVL655352:LVS655371 MFH655352:MFO655371 MPD655352:MPK655371 MYZ655352:MZG655371 NIV655352:NJC655371 NSR655352:NSY655371 OCN655352:OCU655371 OMJ655352:OMQ655371 OWF655352:OWM655371 PGB655352:PGI655371 PPX655352:PQE655371 PZT655352:QAA655371 QJP655352:QJW655371 QTL655352:QTS655371 RDH655352:RDO655371 RND655352:RNK655371 RWZ655352:RXG655371 SGV655352:SHC655371 SQR655352:SQY655371 TAN655352:TAU655371 TKJ655352:TKQ655371 TUF655352:TUM655371 UEB655352:UEI655371 UNX655352:UOE655371 UXT655352:UYA655371 VHP655352:VHW655371 VRL655352:VRS655371 WBH655352:WBO655371 WLD655352:WLK655371 WUZ655352:WVG655371 H720889:O720908 IN720888:IU720907 SJ720888:SQ720907 ACF720888:ACM720907 AMB720888:AMI720907 AVX720888:AWE720907 BFT720888:BGA720907 BPP720888:BPW720907 BZL720888:BZS720907 CJH720888:CJO720907 CTD720888:CTK720907 DCZ720888:DDG720907 DMV720888:DNC720907 DWR720888:DWY720907 EGN720888:EGU720907 EQJ720888:EQQ720907 FAF720888:FAM720907 FKB720888:FKI720907 FTX720888:FUE720907 GDT720888:GEA720907 GNP720888:GNW720907 GXL720888:GXS720907 HHH720888:HHO720907 HRD720888:HRK720907 IAZ720888:IBG720907 IKV720888:ILC720907 IUR720888:IUY720907 JEN720888:JEU720907 JOJ720888:JOQ720907 JYF720888:JYM720907 KIB720888:KII720907 KRX720888:KSE720907 LBT720888:LCA720907 LLP720888:LLW720907 LVL720888:LVS720907 MFH720888:MFO720907 MPD720888:MPK720907 MYZ720888:MZG720907 NIV720888:NJC720907 NSR720888:NSY720907 OCN720888:OCU720907 OMJ720888:OMQ720907 OWF720888:OWM720907 PGB720888:PGI720907 PPX720888:PQE720907 PZT720888:QAA720907 QJP720888:QJW720907 QTL720888:QTS720907 RDH720888:RDO720907 RND720888:RNK720907 RWZ720888:RXG720907 SGV720888:SHC720907 SQR720888:SQY720907 TAN720888:TAU720907 TKJ720888:TKQ720907 TUF720888:TUM720907 UEB720888:UEI720907 UNX720888:UOE720907 UXT720888:UYA720907 VHP720888:VHW720907 VRL720888:VRS720907 WBH720888:WBO720907 WLD720888:WLK720907 WUZ720888:WVG720907 H786425:O786444 IN786424:IU786443 SJ786424:SQ786443 ACF786424:ACM786443 AMB786424:AMI786443 AVX786424:AWE786443 BFT786424:BGA786443 BPP786424:BPW786443 BZL786424:BZS786443 CJH786424:CJO786443 CTD786424:CTK786443 DCZ786424:DDG786443 DMV786424:DNC786443 DWR786424:DWY786443 EGN786424:EGU786443 EQJ786424:EQQ786443 FAF786424:FAM786443 FKB786424:FKI786443 FTX786424:FUE786443 GDT786424:GEA786443 GNP786424:GNW786443 GXL786424:GXS786443 HHH786424:HHO786443 HRD786424:HRK786443 IAZ786424:IBG786443 IKV786424:ILC786443 IUR786424:IUY786443 JEN786424:JEU786443 JOJ786424:JOQ786443 JYF786424:JYM786443 KIB786424:KII786443 KRX786424:KSE786443 LBT786424:LCA786443 LLP786424:LLW786443 LVL786424:LVS786443 MFH786424:MFO786443 MPD786424:MPK786443 MYZ786424:MZG786443 NIV786424:NJC786443 NSR786424:NSY786443 OCN786424:OCU786443 OMJ786424:OMQ786443 OWF786424:OWM786443 PGB786424:PGI786443 PPX786424:PQE786443 PZT786424:QAA786443 QJP786424:QJW786443 QTL786424:QTS786443 RDH786424:RDO786443 RND786424:RNK786443 RWZ786424:RXG786443 SGV786424:SHC786443 SQR786424:SQY786443 TAN786424:TAU786443 TKJ786424:TKQ786443 TUF786424:TUM786443 UEB786424:UEI786443 UNX786424:UOE786443 UXT786424:UYA786443 VHP786424:VHW786443 VRL786424:VRS786443 WBH786424:WBO786443 WLD786424:WLK786443 WUZ786424:WVG786443 H851961:O851980 IN851960:IU851979 SJ851960:SQ851979 ACF851960:ACM851979 AMB851960:AMI851979 AVX851960:AWE851979 BFT851960:BGA851979 BPP851960:BPW851979 BZL851960:BZS851979 CJH851960:CJO851979 CTD851960:CTK851979 DCZ851960:DDG851979 DMV851960:DNC851979 DWR851960:DWY851979 EGN851960:EGU851979 EQJ851960:EQQ851979 FAF851960:FAM851979 FKB851960:FKI851979 FTX851960:FUE851979 GDT851960:GEA851979 GNP851960:GNW851979 GXL851960:GXS851979 HHH851960:HHO851979 HRD851960:HRK851979 IAZ851960:IBG851979 IKV851960:ILC851979 IUR851960:IUY851979 JEN851960:JEU851979 JOJ851960:JOQ851979 JYF851960:JYM851979 KIB851960:KII851979 KRX851960:KSE851979 LBT851960:LCA851979 LLP851960:LLW851979 LVL851960:LVS851979 MFH851960:MFO851979 MPD851960:MPK851979 MYZ851960:MZG851979 NIV851960:NJC851979 NSR851960:NSY851979 OCN851960:OCU851979 OMJ851960:OMQ851979 OWF851960:OWM851979 PGB851960:PGI851979 PPX851960:PQE851979 PZT851960:QAA851979 QJP851960:QJW851979 QTL851960:QTS851979 RDH851960:RDO851979 RND851960:RNK851979 RWZ851960:RXG851979 SGV851960:SHC851979 SQR851960:SQY851979 TAN851960:TAU851979 TKJ851960:TKQ851979 TUF851960:TUM851979 UEB851960:UEI851979 UNX851960:UOE851979 UXT851960:UYA851979 VHP851960:VHW851979 VRL851960:VRS851979 WBH851960:WBO851979 WLD851960:WLK851979 WUZ851960:WVG851979 H917497:O917516 IN917496:IU917515 SJ917496:SQ917515 ACF917496:ACM917515 AMB917496:AMI917515 AVX917496:AWE917515 BFT917496:BGA917515 BPP917496:BPW917515 BZL917496:BZS917515 CJH917496:CJO917515 CTD917496:CTK917515 DCZ917496:DDG917515 DMV917496:DNC917515 DWR917496:DWY917515 EGN917496:EGU917515 EQJ917496:EQQ917515 FAF917496:FAM917515 FKB917496:FKI917515 FTX917496:FUE917515 GDT917496:GEA917515 GNP917496:GNW917515 GXL917496:GXS917515 HHH917496:HHO917515 HRD917496:HRK917515 IAZ917496:IBG917515 IKV917496:ILC917515 IUR917496:IUY917515 JEN917496:JEU917515 JOJ917496:JOQ917515 JYF917496:JYM917515 KIB917496:KII917515 KRX917496:KSE917515 LBT917496:LCA917515 LLP917496:LLW917515 LVL917496:LVS917515 MFH917496:MFO917515 MPD917496:MPK917515 MYZ917496:MZG917515 NIV917496:NJC917515 NSR917496:NSY917515 OCN917496:OCU917515 OMJ917496:OMQ917515 OWF917496:OWM917515 PGB917496:PGI917515 PPX917496:PQE917515 PZT917496:QAA917515 QJP917496:QJW917515 QTL917496:QTS917515 RDH917496:RDO917515 RND917496:RNK917515 RWZ917496:RXG917515 SGV917496:SHC917515 SQR917496:SQY917515 TAN917496:TAU917515 TKJ917496:TKQ917515 TUF917496:TUM917515 UEB917496:UEI917515 UNX917496:UOE917515 UXT917496:UYA917515 VHP917496:VHW917515 VRL917496:VRS917515 WBH917496:WBO917515 WLD917496:WLK917515 WUZ917496:WVG917515 H983033:O983052 IN983032:IU983051 SJ983032:SQ983051 ACF983032:ACM983051 AMB983032:AMI983051 AVX983032:AWE983051 BFT983032:BGA983051 BPP983032:BPW983051 BZL983032:BZS983051 CJH983032:CJO983051 CTD983032:CTK983051 DCZ983032:DDG983051 DMV983032:DNC983051 DWR983032:DWY983051 EGN983032:EGU983051 EQJ983032:EQQ983051 FAF983032:FAM983051 FKB983032:FKI983051 FTX983032:FUE983051 GDT983032:GEA983051 GNP983032:GNW983051 GXL983032:GXS983051 HHH983032:HHO983051 HRD983032:HRK983051 IAZ983032:IBG983051 IKV983032:ILC983051 IUR983032:IUY983051 JEN983032:JEU983051 JOJ983032:JOQ983051 JYF983032:JYM983051 KIB983032:KII983051 KRX983032:KSE983051 LBT983032:LCA983051 LLP983032:LLW983051 LVL983032:LVS983051 MFH983032:MFO983051 MPD983032:MPK983051 MYZ983032:MZG983051 NIV983032:NJC983051 NSR983032:NSY983051 OCN983032:OCU983051 OMJ983032:OMQ983051 OWF983032:OWM983051 PGB983032:PGI983051 PPX983032:PQE983051 PZT983032:QAA983051 QJP983032:QJW983051 QTL983032:QTS983051 RDH983032:RDO983051 RND983032:RNK983051 RWZ983032:RXG983051 SGV983032:SHC983051 SQR983032:SQY983051 TAN983032:TAU983051 TKJ983032:TKQ983051 TUF983032:TUM983051 UEB983032:UEI983051 UNX983032:UOE983051 UXT983032:UYA983051 VHP983032:VHW983051 VRL983032:VRS983051 WBH983032:WBO983051 WLD983032:WLK983051 WUZ983032:WVG983051 WUZ983254:WVG983273 SJ31:SQ91 ACF31:ACM91 AMB31:AMI91 AVX31:AWE91 BFT31:BGA91 BPP31:BPW91 BZL31:BZS91 CJH31:CJO91 CTD31:CTK91 DCZ31:DDG91 DMV31:DNC91 DWR31:DWY91 EGN31:EGU91 EQJ31:EQQ91 FAF31:FAM91 FKB31:FKI91 FTX31:FUE91 GDT31:GEA91 GNP31:GNW91 GXL31:GXS91 HHH31:HHO91 HRD31:HRK91 IAZ31:IBG91 IKV31:ILC91 IUR31:IUY91 JEN31:JEU91 JOJ31:JOQ91 JYF31:JYM91 KIB31:KII91 KRX31:KSE91 LBT31:LCA91 LLP31:LLW91 LVL31:LVS91 MFH31:MFO91 MPD31:MPK91 MYZ31:MZG91 NIV31:NJC91 NSR31:NSY91 OCN31:OCU91 OMJ31:OMQ91 OWF31:OWM91 PGB31:PGI91 PPX31:PQE91 PZT31:QAA91 QJP31:QJW91 QTL31:QTS91 RDH31:RDO91 RND31:RNK91 RWZ31:RXG91 SGV31:SHC91 SQR31:SQY91 TAN31:TAU91 TKJ31:TKQ91 TUF31:TUM91 UEB31:UEI91 UNX31:UOE91 UXT31:UYA91 VHP31:VHW91 VRL31:VRS91 WBH31:WBO91 WLD31:WLK91 WUZ31:WVG91 ACF216:ACM236 H65552:O65635 IN65551:IU65634 SJ65551:SQ65634 ACF65551:ACM65634 AMB65551:AMI65634 AVX65551:AWE65634 BFT65551:BGA65634 BPP65551:BPW65634 BZL65551:BZS65634 CJH65551:CJO65634 CTD65551:CTK65634 DCZ65551:DDG65634 DMV65551:DNC65634 DWR65551:DWY65634 EGN65551:EGU65634 EQJ65551:EQQ65634 FAF65551:FAM65634 FKB65551:FKI65634 FTX65551:FUE65634 GDT65551:GEA65634 GNP65551:GNW65634 GXL65551:GXS65634 HHH65551:HHO65634 HRD65551:HRK65634 IAZ65551:IBG65634 IKV65551:ILC65634 IUR65551:IUY65634 JEN65551:JEU65634 JOJ65551:JOQ65634 JYF65551:JYM65634 KIB65551:KII65634 KRX65551:KSE65634 LBT65551:LCA65634 LLP65551:LLW65634 LVL65551:LVS65634 MFH65551:MFO65634 MPD65551:MPK65634 MYZ65551:MZG65634 NIV65551:NJC65634 NSR65551:NSY65634 OCN65551:OCU65634 OMJ65551:OMQ65634 OWF65551:OWM65634 PGB65551:PGI65634 PPX65551:PQE65634 PZT65551:QAA65634 QJP65551:QJW65634 QTL65551:QTS65634 RDH65551:RDO65634 RND65551:RNK65634 RWZ65551:RXG65634 SGV65551:SHC65634 SQR65551:SQY65634 TAN65551:TAU65634 TKJ65551:TKQ65634 TUF65551:TUM65634 UEB65551:UEI65634 UNX65551:UOE65634 UXT65551:UYA65634 VHP65551:VHW65634 VRL65551:VRS65634 WBH65551:WBO65634 WLD65551:WLK65634 WUZ65551:WVG65634 H131088:O131171 IN131087:IU131170 SJ131087:SQ131170 ACF131087:ACM131170 AMB131087:AMI131170 AVX131087:AWE131170 BFT131087:BGA131170 BPP131087:BPW131170 BZL131087:BZS131170 CJH131087:CJO131170 CTD131087:CTK131170 DCZ131087:DDG131170 DMV131087:DNC131170 DWR131087:DWY131170 EGN131087:EGU131170 EQJ131087:EQQ131170 FAF131087:FAM131170 FKB131087:FKI131170 FTX131087:FUE131170 GDT131087:GEA131170 GNP131087:GNW131170 GXL131087:GXS131170 HHH131087:HHO131170 HRD131087:HRK131170 IAZ131087:IBG131170 IKV131087:ILC131170 IUR131087:IUY131170 JEN131087:JEU131170 JOJ131087:JOQ131170 JYF131087:JYM131170 KIB131087:KII131170 KRX131087:KSE131170 LBT131087:LCA131170 LLP131087:LLW131170 LVL131087:LVS131170 MFH131087:MFO131170 MPD131087:MPK131170 MYZ131087:MZG131170 NIV131087:NJC131170 NSR131087:NSY131170 OCN131087:OCU131170 OMJ131087:OMQ131170 OWF131087:OWM131170 PGB131087:PGI131170 PPX131087:PQE131170 PZT131087:QAA131170 QJP131087:QJW131170 QTL131087:QTS131170 RDH131087:RDO131170 RND131087:RNK131170 RWZ131087:RXG131170 SGV131087:SHC131170 SQR131087:SQY131170 TAN131087:TAU131170 TKJ131087:TKQ131170 TUF131087:TUM131170 UEB131087:UEI131170 UNX131087:UOE131170 UXT131087:UYA131170 VHP131087:VHW131170 VRL131087:VRS131170 WBH131087:WBO131170 WLD131087:WLK131170 WUZ131087:WVG131170 H196624:O196707 IN196623:IU196706 SJ196623:SQ196706 ACF196623:ACM196706 AMB196623:AMI196706 AVX196623:AWE196706 BFT196623:BGA196706 BPP196623:BPW196706 BZL196623:BZS196706 CJH196623:CJO196706 CTD196623:CTK196706 DCZ196623:DDG196706 DMV196623:DNC196706 DWR196623:DWY196706 EGN196623:EGU196706 EQJ196623:EQQ196706 FAF196623:FAM196706 FKB196623:FKI196706 FTX196623:FUE196706 GDT196623:GEA196706 GNP196623:GNW196706 GXL196623:GXS196706 HHH196623:HHO196706 HRD196623:HRK196706 IAZ196623:IBG196706 IKV196623:ILC196706 IUR196623:IUY196706 JEN196623:JEU196706 JOJ196623:JOQ196706 JYF196623:JYM196706 KIB196623:KII196706 KRX196623:KSE196706 LBT196623:LCA196706 LLP196623:LLW196706 LVL196623:LVS196706 MFH196623:MFO196706 MPD196623:MPK196706 MYZ196623:MZG196706 NIV196623:NJC196706 NSR196623:NSY196706 OCN196623:OCU196706 OMJ196623:OMQ196706 OWF196623:OWM196706 PGB196623:PGI196706 PPX196623:PQE196706 PZT196623:QAA196706 QJP196623:QJW196706 QTL196623:QTS196706 RDH196623:RDO196706 RND196623:RNK196706 RWZ196623:RXG196706 SGV196623:SHC196706 SQR196623:SQY196706 TAN196623:TAU196706 TKJ196623:TKQ196706 TUF196623:TUM196706 UEB196623:UEI196706 UNX196623:UOE196706 UXT196623:UYA196706 VHP196623:VHW196706 VRL196623:VRS196706 WBH196623:WBO196706 WLD196623:WLK196706 WUZ196623:WVG196706 H262160:O262243 IN262159:IU262242 SJ262159:SQ262242 ACF262159:ACM262242 AMB262159:AMI262242 AVX262159:AWE262242 BFT262159:BGA262242 BPP262159:BPW262242 BZL262159:BZS262242 CJH262159:CJO262242 CTD262159:CTK262242 DCZ262159:DDG262242 DMV262159:DNC262242 DWR262159:DWY262242 EGN262159:EGU262242 EQJ262159:EQQ262242 FAF262159:FAM262242 FKB262159:FKI262242 FTX262159:FUE262242 GDT262159:GEA262242 GNP262159:GNW262242 GXL262159:GXS262242 HHH262159:HHO262242 HRD262159:HRK262242 IAZ262159:IBG262242 IKV262159:ILC262242 IUR262159:IUY262242 JEN262159:JEU262242 JOJ262159:JOQ262242 JYF262159:JYM262242 KIB262159:KII262242 KRX262159:KSE262242 LBT262159:LCA262242 LLP262159:LLW262242 LVL262159:LVS262242 MFH262159:MFO262242 MPD262159:MPK262242 MYZ262159:MZG262242 NIV262159:NJC262242 NSR262159:NSY262242 OCN262159:OCU262242 OMJ262159:OMQ262242 OWF262159:OWM262242 PGB262159:PGI262242 PPX262159:PQE262242 PZT262159:QAA262242 QJP262159:QJW262242 QTL262159:QTS262242 RDH262159:RDO262242 RND262159:RNK262242 RWZ262159:RXG262242 SGV262159:SHC262242 SQR262159:SQY262242 TAN262159:TAU262242 TKJ262159:TKQ262242 TUF262159:TUM262242 UEB262159:UEI262242 UNX262159:UOE262242 UXT262159:UYA262242 VHP262159:VHW262242 VRL262159:VRS262242 WBH262159:WBO262242 WLD262159:WLK262242 WUZ262159:WVG262242 H327696:O327779 IN327695:IU327778 SJ327695:SQ327778 ACF327695:ACM327778 AMB327695:AMI327778 AVX327695:AWE327778 BFT327695:BGA327778 BPP327695:BPW327778 BZL327695:BZS327778 CJH327695:CJO327778 CTD327695:CTK327778 DCZ327695:DDG327778 DMV327695:DNC327778 DWR327695:DWY327778 EGN327695:EGU327778 EQJ327695:EQQ327778 FAF327695:FAM327778 FKB327695:FKI327778 FTX327695:FUE327778 GDT327695:GEA327778 GNP327695:GNW327778 GXL327695:GXS327778 HHH327695:HHO327778 HRD327695:HRK327778 IAZ327695:IBG327778 IKV327695:ILC327778 IUR327695:IUY327778 JEN327695:JEU327778 JOJ327695:JOQ327778 JYF327695:JYM327778 KIB327695:KII327778 KRX327695:KSE327778 LBT327695:LCA327778 LLP327695:LLW327778 LVL327695:LVS327778 MFH327695:MFO327778 MPD327695:MPK327778 MYZ327695:MZG327778 NIV327695:NJC327778 NSR327695:NSY327778 OCN327695:OCU327778 OMJ327695:OMQ327778 OWF327695:OWM327778 PGB327695:PGI327778 PPX327695:PQE327778 PZT327695:QAA327778 QJP327695:QJW327778 QTL327695:QTS327778 RDH327695:RDO327778 RND327695:RNK327778 RWZ327695:RXG327778 SGV327695:SHC327778 SQR327695:SQY327778 TAN327695:TAU327778 TKJ327695:TKQ327778 TUF327695:TUM327778 UEB327695:UEI327778 UNX327695:UOE327778 UXT327695:UYA327778 VHP327695:VHW327778 VRL327695:VRS327778 WBH327695:WBO327778 WLD327695:WLK327778 WUZ327695:WVG327778 H393232:O393315 IN393231:IU393314 SJ393231:SQ393314 ACF393231:ACM393314 AMB393231:AMI393314 AVX393231:AWE393314 BFT393231:BGA393314 BPP393231:BPW393314 BZL393231:BZS393314 CJH393231:CJO393314 CTD393231:CTK393314 DCZ393231:DDG393314 DMV393231:DNC393314 DWR393231:DWY393314 EGN393231:EGU393314 EQJ393231:EQQ393314 FAF393231:FAM393314 FKB393231:FKI393314 FTX393231:FUE393314 GDT393231:GEA393314 GNP393231:GNW393314 GXL393231:GXS393314 HHH393231:HHO393314 HRD393231:HRK393314 IAZ393231:IBG393314 IKV393231:ILC393314 IUR393231:IUY393314 JEN393231:JEU393314 JOJ393231:JOQ393314 JYF393231:JYM393314 KIB393231:KII393314 KRX393231:KSE393314 LBT393231:LCA393314 LLP393231:LLW393314 LVL393231:LVS393314 MFH393231:MFO393314 MPD393231:MPK393314 MYZ393231:MZG393314 NIV393231:NJC393314 NSR393231:NSY393314 OCN393231:OCU393314 OMJ393231:OMQ393314 OWF393231:OWM393314 PGB393231:PGI393314 PPX393231:PQE393314 PZT393231:QAA393314 QJP393231:QJW393314 QTL393231:QTS393314 RDH393231:RDO393314 RND393231:RNK393314 RWZ393231:RXG393314 SGV393231:SHC393314 SQR393231:SQY393314 TAN393231:TAU393314 TKJ393231:TKQ393314 TUF393231:TUM393314 UEB393231:UEI393314 UNX393231:UOE393314 UXT393231:UYA393314 VHP393231:VHW393314 VRL393231:VRS393314 WBH393231:WBO393314 WLD393231:WLK393314 WUZ393231:WVG393314 H458768:O458851 IN458767:IU458850 SJ458767:SQ458850 ACF458767:ACM458850 AMB458767:AMI458850 AVX458767:AWE458850 BFT458767:BGA458850 BPP458767:BPW458850 BZL458767:BZS458850 CJH458767:CJO458850 CTD458767:CTK458850 DCZ458767:DDG458850 DMV458767:DNC458850 DWR458767:DWY458850 EGN458767:EGU458850 EQJ458767:EQQ458850 FAF458767:FAM458850 FKB458767:FKI458850 FTX458767:FUE458850 GDT458767:GEA458850 GNP458767:GNW458850 GXL458767:GXS458850 HHH458767:HHO458850 HRD458767:HRK458850 IAZ458767:IBG458850 IKV458767:ILC458850 IUR458767:IUY458850 JEN458767:JEU458850 JOJ458767:JOQ458850 JYF458767:JYM458850 KIB458767:KII458850 KRX458767:KSE458850 LBT458767:LCA458850 LLP458767:LLW458850 LVL458767:LVS458850 MFH458767:MFO458850 MPD458767:MPK458850 MYZ458767:MZG458850 NIV458767:NJC458850 NSR458767:NSY458850 OCN458767:OCU458850 OMJ458767:OMQ458850 OWF458767:OWM458850 PGB458767:PGI458850 PPX458767:PQE458850 PZT458767:QAA458850 QJP458767:QJW458850 QTL458767:QTS458850 RDH458767:RDO458850 RND458767:RNK458850 RWZ458767:RXG458850 SGV458767:SHC458850 SQR458767:SQY458850 TAN458767:TAU458850 TKJ458767:TKQ458850 TUF458767:TUM458850 UEB458767:UEI458850 UNX458767:UOE458850 UXT458767:UYA458850 VHP458767:VHW458850 VRL458767:VRS458850 WBH458767:WBO458850 WLD458767:WLK458850 WUZ458767:WVG458850 H524304:O524387 IN524303:IU524386 SJ524303:SQ524386 ACF524303:ACM524386 AMB524303:AMI524386 AVX524303:AWE524386 BFT524303:BGA524386 BPP524303:BPW524386 BZL524303:BZS524386 CJH524303:CJO524386 CTD524303:CTK524386 DCZ524303:DDG524386 DMV524303:DNC524386 DWR524303:DWY524386 EGN524303:EGU524386 EQJ524303:EQQ524386 FAF524303:FAM524386 FKB524303:FKI524386 FTX524303:FUE524386 GDT524303:GEA524386 GNP524303:GNW524386 GXL524303:GXS524386 HHH524303:HHO524386 HRD524303:HRK524386 IAZ524303:IBG524386 IKV524303:ILC524386 IUR524303:IUY524386 JEN524303:JEU524386 JOJ524303:JOQ524386 JYF524303:JYM524386 KIB524303:KII524386 KRX524303:KSE524386 LBT524303:LCA524386 LLP524303:LLW524386 LVL524303:LVS524386 MFH524303:MFO524386 MPD524303:MPK524386 MYZ524303:MZG524386 NIV524303:NJC524386 NSR524303:NSY524386 OCN524303:OCU524386 OMJ524303:OMQ524386 OWF524303:OWM524386 PGB524303:PGI524386 PPX524303:PQE524386 PZT524303:QAA524386 QJP524303:QJW524386 QTL524303:QTS524386 RDH524303:RDO524386 RND524303:RNK524386 RWZ524303:RXG524386 SGV524303:SHC524386 SQR524303:SQY524386 TAN524303:TAU524386 TKJ524303:TKQ524386 TUF524303:TUM524386 UEB524303:UEI524386 UNX524303:UOE524386 UXT524303:UYA524386 VHP524303:VHW524386 VRL524303:VRS524386 WBH524303:WBO524386 WLD524303:WLK524386 WUZ524303:WVG524386 H589840:O589923 IN589839:IU589922 SJ589839:SQ589922 ACF589839:ACM589922 AMB589839:AMI589922 AVX589839:AWE589922 BFT589839:BGA589922 BPP589839:BPW589922 BZL589839:BZS589922 CJH589839:CJO589922 CTD589839:CTK589922 DCZ589839:DDG589922 DMV589839:DNC589922 DWR589839:DWY589922 EGN589839:EGU589922 EQJ589839:EQQ589922 FAF589839:FAM589922 FKB589839:FKI589922 FTX589839:FUE589922 GDT589839:GEA589922 GNP589839:GNW589922 GXL589839:GXS589922 HHH589839:HHO589922 HRD589839:HRK589922 IAZ589839:IBG589922 IKV589839:ILC589922 IUR589839:IUY589922 JEN589839:JEU589922 JOJ589839:JOQ589922 JYF589839:JYM589922 KIB589839:KII589922 KRX589839:KSE589922 LBT589839:LCA589922 LLP589839:LLW589922 LVL589839:LVS589922 MFH589839:MFO589922 MPD589839:MPK589922 MYZ589839:MZG589922 NIV589839:NJC589922 NSR589839:NSY589922 OCN589839:OCU589922 OMJ589839:OMQ589922 OWF589839:OWM589922 PGB589839:PGI589922 PPX589839:PQE589922 PZT589839:QAA589922 QJP589839:QJW589922 QTL589839:QTS589922 RDH589839:RDO589922 RND589839:RNK589922 RWZ589839:RXG589922 SGV589839:SHC589922 SQR589839:SQY589922 TAN589839:TAU589922 TKJ589839:TKQ589922 TUF589839:TUM589922 UEB589839:UEI589922 UNX589839:UOE589922 UXT589839:UYA589922 VHP589839:VHW589922 VRL589839:VRS589922 WBH589839:WBO589922 WLD589839:WLK589922 WUZ589839:WVG589922 H655376:O655459 IN655375:IU655458 SJ655375:SQ655458 ACF655375:ACM655458 AMB655375:AMI655458 AVX655375:AWE655458 BFT655375:BGA655458 BPP655375:BPW655458 BZL655375:BZS655458 CJH655375:CJO655458 CTD655375:CTK655458 DCZ655375:DDG655458 DMV655375:DNC655458 DWR655375:DWY655458 EGN655375:EGU655458 EQJ655375:EQQ655458 FAF655375:FAM655458 FKB655375:FKI655458 FTX655375:FUE655458 GDT655375:GEA655458 GNP655375:GNW655458 GXL655375:GXS655458 HHH655375:HHO655458 HRD655375:HRK655458 IAZ655375:IBG655458 IKV655375:ILC655458 IUR655375:IUY655458 JEN655375:JEU655458 JOJ655375:JOQ655458 JYF655375:JYM655458 KIB655375:KII655458 KRX655375:KSE655458 LBT655375:LCA655458 LLP655375:LLW655458 LVL655375:LVS655458 MFH655375:MFO655458 MPD655375:MPK655458 MYZ655375:MZG655458 NIV655375:NJC655458 NSR655375:NSY655458 OCN655375:OCU655458 OMJ655375:OMQ655458 OWF655375:OWM655458 PGB655375:PGI655458 PPX655375:PQE655458 PZT655375:QAA655458 QJP655375:QJW655458 QTL655375:QTS655458 RDH655375:RDO655458 RND655375:RNK655458 RWZ655375:RXG655458 SGV655375:SHC655458 SQR655375:SQY655458 TAN655375:TAU655458 TKJ655375:TKQ655458 TUF655375:TUM655458 UEB655375:UEI655458 UNX655375:UOE655458 UXT655375:UYA655458 VHP655375:VHW655458 VRL655375:VRS655458 WBH655375:WBO655458 WLD655375:WLK655458 WUZ655375:WVG655458 H720912:O720995 IN720911:IU720994 SJ720911:SQ720994 ACF720911:ACM720994 AMB720911:AMI720994 AVX720911:AWE720994 BFT720911:BGA720994 BPP720911:BPW720994 BZL720911:BZS720994 CJH720911:CJO720994 CTD720911:CTK720994 DCZ720911:DDG720994 DMV720911:DNC720994 DWR720911:DWY720994 EGN720911:EGU720994 EQJ720911:EQQ720994 FAF720911:FAM720994 FKB720911:FKI720994 FTX720911:FUE720994 GDT720911:GEA720994 GNP720911:GNW720994 GXL720911:GXS720994 HHH720911:HHO720994 HRD720911:HRK720994 IAZ720911:IBG720994 IKV720911:ILC720994 IUR720911:IUY720994 JEN720911:JEU720994 JOJ720911:JOQ720994 JYF720911:JYM720994 KIB720911:KII720994 KRX720911:KSE720994 LBT720911:LCA720994 LLP720911:LLW720994 LVL720911:LVS720994 MFH720911:MFO720994 MPD720911:MPK720994 MYZ720911:MZG720994 NIV720911:NJC720994 NSR720911:NSY720994 OCN720911:OCU720994 OMJ720911:OMQ720994 OWF720911:OWM720994 PGB720911:PGI720994 PPX720911:PQE720994 PZT720911:QAA720994 QJP720911:QJW720994 QTL720911:QTS720994 RDH720911:RDO720994 RND720911:RNK720994 RWZ720911:RXG720994 SGV720911:SHC720994 SQR720911:SQY720994 TAN720911:TAU720994 TKJ720911:TKQ720994 TUF720911:TUM720994 UEB720911:UEI720994 UNX720911:UOE720994 UXT720911:UYA720994 VHP720911:VHW720994 VRL720911:VRS720994 WBH720911:WBO720994 WLD720911:WLK720994 WUZ720911:WVG720994 H786448:O786531 IN786447:IU786530 SJ786447:SQ786530 ACF786447:ACM786530 AMB786447:AMI786530 AVX786447:AWE786530 BFT786447:BGA786530 BPP786447:BPW786530 BZL786447:BZS786530 CJH786447:CJO786530 CTD786447:CTK786530 DCZ786447:DDG786530 DMV786447:DNC786530 DWR786447:DWY786530 EGN786447:EGU786530 EQJ786447:EQQ786530 FAF786447:FAM786530 FKB786447:FKI786530 FTX786447:FUE786530 GDT786447:GEA786530 GNP786447:GNW786530 GXL786447:GXS786530 HHH786447:HHO786530 HRD786447:HRK786530 IAZ786447:IBG786530 IKV786447:ILC786530 IUR786447:IUY786530 JEN786447:JEU786530 JOJ786447:JOQ786530 JYF786447:JYM786530 KIB786447:KII786530 KRX786447:KSE786530 LBT786447:LCA786530 LLP786447:LLW786530 LVL786447:LVS786530 MFH786447:MFO786530 MPD786447:MPK786530 MYZ786447:MZG786530 NIV786447:NJC786530 NSR786447:NSY786530 OCN786447:OCU786530 OMJ786447:OMQ786530 OWF786447:OWM786530 PGB786447:PGI786530 PPX786447:PQE786530 PZT786447:QAA786530 QJP786447:QJW786530 QTL786447:QTS786530 RDH786447:RDO786530 RND786447:RNK786530 RWZ786447:RXG786530 SGV786447:SHC786530 SQR786447:SQY786530 TAN786447:TAU786530 TKJ786447:TKQ786530 TUF786447:TUM786530 UEB786447:UEI786530 UNX786447:UOE786530 UXT786447:UYA786530 VHP786447:VHW786530 VRL786447:VRS786530 WBH786447:WBO786530 WLD786447:WLK786530 WUZ786447:WVG786530 H851984:O852067 IN851983:IU852066 SJ851983:SQ852066 ACF851983:ACM852066 AMB851983:AMI852066 AVX851983:AWE852066 BFT851983:BGA852066 BPP851983:BPW852066 BZL851983:BZS852066 CJH851983:CJO852066 CTD851983:CTK852066 DCZ851983:DDG852066 DMV851983:DNC852066 DWR851983:DWY852066 EGN851983:EGU852066 EQJ851983:EQQ852066 FAF851983:FAM852066 FKB851983:FKI852066 FTX851983:FUE852066 GDT851983:GEA852066 GNP851983:GNW852066 GXL851983:GXS852066 HHH851983:HHO852066 HRD851983:HRK852066 IAZ851983:IBG852066 IKV851983:ILC852066 IUR851983:IUY852066 JEN851983:JEU852066 JOJ851983:JOQ852066 JYF851983:JYM852066 KIB851983:KII852066 KRX851983:KSE852066 LBT851983:LCA852066 LLP851983:LLW852066 LVL851983:LVS852066 MFH851983:MFO852066 MPD851983:MPK852066 MYZ851983:MZG852066 NIV851983:NJC852066 NSR851983:NSY852066 OCN851983:OCU852066 OMJ851983:OMQ852066 OWF851983:OWM852066 PGB851983:PGI852066 PPX851983:PQE852066 PZT851983:QAA852066 QJP851983:QJW852066 QTL851983:QTS852066 RDH851983:RDO852066 RND851983:RNK852066 RWZ851983:RXG852066 SGV851983:SHC852066 SQR851983:SQY852066 TAN851983:TAU852066 TKJ851983:TKQ852066 TUF851983:TUM852066 UEB851983:UEI852066 UNX851983:UOE852066 UXT851983:UYA852066 VHP851983:VHW852066 VRL851983:VRS852066 WBH851983:WBO852066 WLD851983:WLK852066 WUZ851983:WVG852066 H917520:O917603 IN917519:IU917602 SJ917519:SQ917602 ACF917519:ACM917602 AMB917519:AMI917602 AVX917519:AWE917602 BFT917519:BGA917602 BPP917519:BPW917602 BZL917519:BZS917602 CJH917519:CJO917602 CTD917519:CTK917602 DCZ917519:DDG917602 DMV917519:DNC917602 DWR917519:DWY917602 EGN917519:EGU917602 EQJ917519:EQQ917602 FAF917519:FAM917602 FKB917519:FKI917602 FTX917519:FUE917602 GDT917519:GEA917602 GNP917519:GNW917602 GXL917519:GXS917602 HHH917519:HHO917602 HRD917519:HRK917602 IAZ917519:IBG917602 IKV917519:ILC917602 IUR917519:IUY917602 JEN917519:JEU917602 JOJ917519:JOQ917602 JYF917519:JYM917602 KIB917519:KII917602 KRX917519:KSE917602 LBT917519:LCA917602 LLP917519:LLW917602 LVL917519:LVS917602 MFH917519:MFO917602 MPD917519:MPK917602 MYZ917519:MZG917602 NIV917519:NJC917602 NSR917519:NSY917602 OCN917519:OCU917602 OMJ917519:OMQ917602 OWF917519:OWM917602 PGB917519:PGI917602 PPX917519:PQE917602 PZT917519:QAA917602 QJP917519:QJW917602 QTL917519:QTS917602 RDH917519:RDO917602 RND917519:RNK917602 RWZ917519:RXG917602 SGV917519:SHC917602 SQR917519:SQY917602 TAN917519:TAU917602 TKJ917519:TKQ917602 TUF917519:TUM917602 UEB917519:UEI917602 UNX917519:UOE917602 UXT917519:UYA917602 VHP917519:VHW917602 VRL917519:VRS917602 WBH917519:WBO917602 WLD917519:WLK917602 WUZ917519:WVG917602 H983056:O983139 IN983055:IU983138 SJ983055:SQ983138 ACF983055:ACM983138 AMB983055:AMI983138 AVX983055:AWE983138 BFT983055:BGA983138 BPP983055:BPW983138 BZL983055:BZS983138 CJH983055:CJO983138 CTD983055:CTK983138 DCZ983055:DDG983138 DMV983055:DNC983138 DWR983055:DWY983138 EGN983055:EGU983138 EQJ983055:EQQ983138 FAF983055:FAM983138 FKB983055:FKI983138 FTX983055:FUE983138 GDT983055:GEA983138 GNP983055:GNW983138 GXL983055:GXS983138 HHH983055:HHO983138 HRD983055:HRK983138 IAZ983055:IBG983138 IKV983055:ILC983138 IUR983055:IUY983138 JEN983055:JEU983138 JOJ983055:JOQ983138 JYF983055:JYM983138 KIB983055:KII983138 KRX983055:KSE983138 LBT983055:LCA983138 LLP983055:LLW983138 LVL983055:LVS983138 MFH983055:MFO983138 MPD983055:MPK983138 MYZ983055:MZG983138 NIV983055:NJC983138 NSR983055:NSY983138 OCN983055:OCU983138 OMJ983055:OMQ983138 OWF983055:OWM983138 PGB983055:PGI983138 PPX983055:PQE983138 PZT983055:QAA983138 QJP983055:QJW983138 QTL983055:QTS983138 RDH983055:RDO983138 RND983055:RNK983138 RWZ983055:RXG983138 SGV983055:SHC983138 SQR983055:SQY983138 TAN983055:TAU983138 TKJ983055:TKQ983138 TUF983055:TUM983138 UEB983055:UEI983138 UNX983055:UOE983138 UXT983055:UYA983138 VHP983055:VHW983138 VRL983055:VRS983138 WBH983055:WBO983138 WLD983055:WLK983138 WUZ983055:WVG983138 UNX983254:UOE983273 AMB216:AMI236 AVX216:AWE236 BFT216:BGA236 BPP216:BPW236 BZL216:BZS236 CJH216:CJO236 CTD216:CTK236 DCZ216:DDG236 DMV216:DNC236 DWR216:DWY236 EGN216:EGU236 EQJ216:EQQ236 FAF216:FAM236 FKB216:FKI236 FTX216:FUE236 GDT216:GEA236 GNP216:GNW236 GXL216:GXS236 HHH216:HHO236 HRD216:HRK236 IAZ216:IBG236 IKV216:ILC236 IUR216:IUY236 JEN216:JEU236 JOJ216:JOQ236 JYF216:JYM236 KIB216:KII236 KRX216:KSE236 LBT216:LCA236 LLP216:LLW236 LVL216:LVS236 MFH216:MFO236 MPD216:MPK236 MYZ216:MZG236 NIV216:NJC236 NSR216:NSY236 OCN216:OCU236 OMJ216:OMQ236 OWF216:OWM236 PGB216:PGI236 PPX216:PQE236 PZT216:QAA236 QJP216:QJW236 QTL216:QTS236 RDH216:RDO236 RND216:RNK236 RWZ216:RXG236 SGV216:SHC236 SQR216:SQY236 TAN216:TAU236 TKJ216:TKQ236 TUF216:TUM236 UEB216:UEI236 UNX216:UOE236 UXT216:UYA236 VHP216:VHW236 VRL216:VRS236 WBH216:WBO236 WLD216:WLK236 WUZ216:WVG236 IN216:IU236 SJ216:SQ236 IN31:IU91 H65751:O65770 IN65750:IU65769 SJ65750:SQ65769 ACF65750:ACM65769 AMB65750:AMI65769 AVX65750:AWE65769 BFT65750:BGA65769 BPP65750:BPW65769 BZL65750:BZS65769 CJH65750:CJO65769 CTD65750:CTK65769 DCZ65750:DDG65769 DMV65750:DNC65769 DWR65750:DWY65769 EGN65750:EGU65769 EQJ65750:EQQ65769 FAF65750:FAM65769 FKB65750:FKI65769 FTX65750:FUE65769 GDT65750:GEA65769 GNP65750:GNW65769 GXL65750:GXS65769 HHH65750:HHO65769 HRD65750:HRK65769 IAZ65750:IBG65769 IKV65750:ILC65769 IUR65750:IUY65769 JEN65750:JEU65769 JOJ65750:JOQ65769 JYF65750:JYM65769 KIB65750:KII65769 KRX65750:KSE65769 LBT65750:LCA65769 LLP65750:LLW65769 LVL65750:LVS65769 MFH65750:MFO65769 MPD65750:MPK65769 MYZ65750:MZG65769 NIV65750:NJC65769 NSR65750:NSY65769 OCN65750:OCU65769 OMJ65750:OMQ65769 OWF65750:OWM65769 PGB65750:PGI65769 PPX65750:PQE65769 PZT65750:QAA65769 QJP65750:QJW65769 QTL65750:QTS65769 RDH65750:RDO65769 RND65750:RNK65769 RWZ65750:RXG65769 SGV65750:SHC65769 SQR65750:SQY65769 TAN65750:TAU65769 TKJ65750:TKQ65769 TUF65750:TUM65769 UEB65750:UEI65769 UNX65750:UOE65769 UXT65750:UYA65769 VHP65750:VHW65769 VRL65750:VRS65769 WBH65750:WBO65769 WLD65750:WLK65769 WUZ65750:WVG65769 H131287:O131306 IN131286:IU131305 SJ131286:SQ131305 ACF131286:ACM131305 AMB131286:AMI131305 AVX131286:AWE131305 BFT131286:BGA131305 BPP131286:BPW131305 BZL131286:BZS131305 CJH131286:CJO131305 CTD131286:CTK131305 DCZ131286:DDG131305 DMV131286:DNC131305 DWR131286:DWY131305 EGN131286:EGU131305 EQJ131286:EQQ131305 FAF131286:FAM131305 FKB131286:FKI131305 FTX131286:FUE131305 GDT131286:GEA131305 GNP131286:GNW131305 GXL131286:GXS131305 HHH131286:HHO131305 HRD131286:HRK131305 IAZ131286:IBG131305 IKV131286:ILC131305 IUR131286:IUY131305 JEN131286:JEU131305 JOJ131286:JOQ131305 JYF131286:JYM131305 KIB131286:KII131305 KRX131286:KSE131305 LBT131286:LCA131305 LLP131286:LLW131305 LVL131286:LVS131305 MFH131286:MFO131305 MPD131286:MPK131305 MYZ131286:MZG131305 NIV131286:NJC131305 NSR131286:NSY131305 OCN131286:OCU131305 OMJ131286:OMQ131305 OWF131286:OWM131305 PGB131286:PGI131305 PPX131286:PQE131305 PZT131286:QAA131305 QJP131286:QJW131305 QTL131286:QTS131305 RDH131286:RDO131305 RND131286:RNK131305 RWZ131286:RXG131305 SGV131286:SHC131305 SQR131286:SQY131305 TAN131286:TAU131305 TKJ131286:TKQ131305 TUF131286:TUM131305 UEB131286:UEI131305 UNX131286:UOE131305 UXT131286:UYA131305 VHP131286:VHW131305 VRL131286:VRS131305 WBH131286:WBO131305 WLD131286:WLK131305 WUZ131286:WVG131305 H196823:O196842 IN196822:IU196841 SJ196822:SQ196841 ACF196822:ACM196841 AMB196822:AMI196841 AVX196822:AWE196841 BFT196822:BGA196841 BPP196822:BPW196841 BZL196822:BZS196841 CJH196822:CJO196841 CTD196822:CTK196841 DCZ196822:DDG196841 DMV196822:DNC196841 DWR196822:DWY196841 EGN196822:EGU196841 EQJ196822:EQQ196841 FAF196822:FAM196841 FKB196822:FKI196841 FTX196822:FUE196841 GDT196822:GEA196841 GNP196822:GNW196841 GXL196822:GXS196841 HHH196822:HHO196841 HRD196822:HRK196841 IAZ196822:IBG196841 IKV196822:ILC196841 IUR196822:IUY196841 JEN196822:JEU196841 JOJ196822:JOQ196841 JYF196822:JYM196841 KIB196822:KII196841 KRX196822:KSE196841 LBT196822:LCA196841 LLP196822:LLW196841 LVL196822:LVS196841 MFH196822:MFO196841 MPD196822:MPK196841 MYZ196822:MZG196841 NIV196822:NJC196841 NSR196822:NSY196841 OCN196822:OCU196841 OMJ196822:OMQ196841 OWF196822:OWM196841 PGB196822:PGI196841 PPX196822:PQE196841 PZT196822:QAA196841 QJP196822:QJW196841 QTL196822:QTS196841 RDH196822:RDO196841 RND196822:RNK196841 RWZ196822:RXG196841 SGV196822:SHC196841 SQR196822:SQY196841 TAN196822:TAU196841 TKJ196822:TKQ196841 TUF196822:TUM196841 UEB196822:UEI196841 UNX196822:UOE196841 UXT196822:UYA196841 VHP196822:VHW196841 VRL196822:VRS196841 WBH196822:WBO196841 WLD196822:WLK196841 WUZ196822:WVG196841 H262359:O262378 IN262358:IU262377 SJ262358:SQ262377 ACF262358:ACM262377 AMB262358:AMI262377 AVX262358:AWE262377 BFT262358:BGA262377 BPP262358:BPW262377 BZL262358:BZS262377 CJH262358:CJO262377 CTD262358:CTK262377 DCZ262358:DDG262377 DMV262358:DNC262377 DWR262358:DWY262377 EGN262358:EGU262377 EQJ262358:EQQ262377 FAF262358:FAM262377 FKB262358:FKI262377 FTX262358:FUE262377 GDT262358:GEA262377 GNP262358:GNW262377 GXL262358:GXS262377 HHH262358:HHO262377 HRD262358:HRK262377 IAZ262358:IBG262377 IKV262358:ILC262377 IUR262358:IUY262377 JEN262358:JEU262377 JOJ262358:JOQ262377 JYF262358:JYM262377 KIB262358:KII262377 KRX262358:KSE262377 LBT262358:LCA262377 LLP262358:LLW262377 LVL262358:LVS262377 MFH262358:MFO262377 MPD262358:MPK262377 MYZ262358:MZG262377 NIV262358:NJC262377 NSR262358:NSY262377 OCN262358:OCU262377 OMJ262358:OMQ262377 OWF262358:OWM262377 PGB262358:PGI262377 PPX262358:PQE262377 PZT262358:QAA262377 QJP262358:QJW262377 QTL262358:QTS262377 RDH262358:RDO262377 RND262358:RNK262377 RWZ262358:RXG262377 SGV262358:SHC262377 SQR262358:SQY262377 TAN262358:TAU262377 TKJ262358:TKQ262377 TUF262358:TUM262377 UEB262358:UEI262377 UNX262358:UOE262377 UXT262358:UYA262377 VHP262358:VHW262377 VRL262358:VRS262377 WBH262358:WBO262377 WLD262358:WLK262377 WUZ262358:WVG262377 H327895:O327914 IN327894:IU327913 SJ327894:SQ327913 ACF327894:ACM327913 AMB327894:AMI327913 AVX327894:AWE327913 BFT327894:BGA327913 BPP327894:BPW327913 BZL327894:BZS327913 CJH327894:CJO327913 CTD327894:CTK327913 DCZ327894:DDG327913 DMV327894:DNC327913 DWR327894:DWY327913 EGN327894:EGU327913 EQJ327894:EQQ327913 FAF327894:FAM327913 FKB327894:FKI327913 FTX327894:FUE327913 GDT327894:GEA327913 GNP327894:GNW327913 GXL327894:GXS327913 HHH327894:HHO327913 HRD327894:HRK327913 IAZ327894:IBG327913 IKV327894:ILC327913 IUR327894:IUY327913 JEN327894:JEU327913 JOJ327894:JOQ327913 JYF327894:JYM327913 KIB327894:KII327913 KRX327894:KSE327913 LBT327894:LCA327913 LLP327894:LLW327913 LVL327894:LVS327913 MFH327894:MFO327913 MPD327894:MPK327913 MYZ327894:MZG327913 NIV327894:NJC327913 NSR327894:NSY327913 OCN327894:OCU327913 OMJ327894:OMQ327913 OWF327894:OWM327913 PGB327894:PGI327913 PPX327894:PQE327913 PZT327894:QAA327913 QJP327894:QJW327913 QTL327894:QTS327913 RDH327894:RDO327913 RND327894:RNK327913 RWZ327894:RXG327913 SGV327894:SHC327913 SQR327894:SQY327913 TAN327894:TAU327913 TKJ327894:TKQ327913 TUF327894:TUM327913 UEB327894:UEI327913 UNX327894:UOE327913 UXT327894:UYA327913 VHP327894:VHW327913 VRL327894:VRS327913 WBH327894:WBO327913 WLD327894:WLK327913 WUZ327894:WVG327913 H393431:O393450 IN393430:IU393449 SJ393430:SQ393449 ACF393430:ACM393449 AMB393430:AMI393449 AVX393430:AWE393449 BFT393430:BGA393449 BPP393430:BPW393449 BZL393430:BZS393449 CJH393430:CJO393449 CTD393430:CTK393449 DCZ393430:DDG393449 DMV393430:DNC393449 DWR393430:DWY393449 EGN393430:EGU393449 EQJ393430:EQQ393449 FAF393430:FAM393449 FKB393430:FKI393449 FTX393430:FUE393449 GDT393430:GEA393449 GNP393430:GNW393449 GXL393430:GXS393449 HHH393430:HHO393449 HRD393430:HRK393449 IAZ393430:IBG393449 IKV393430:ILC393449 IUR393430:IUY393449 JEN393430:JEU393449 JOJ393430:JOQ393449 JYF393430:JYM393449 KIB393430:KII393449 KRX393430:KSE393449 LBT393430:LCA393449 LLP393430:LLW393449 LVL393430:LVS393449 MFH393430:MFO393449 MPD393430:MPK393449 MYZ393430:MZG393449 NIV393430:NJC393449 NSR393430:NSY393449 OCN393430:OCU393449 OMJ393430:OMQ393449 OWF393430:OWM393449 PGB393430:PGI393449 PPX393430:PQE393449 PZT393430:QAA393449 QJP393430:QJW393449 QTL393430:QTS393449 RDH393430:RDO393449 RND393430:RNK393449 RWZ393430:RXG393449 SGV393430:SHC393449 SQR393430:SQY393449 TAN393430:TAU393449 TKJ393430:TKQ393449 TUF393430:TUM393449 UEB393430:UEI393449 UNX393430:UOE393449 UXT393430:UYA393449 VHP393430:VHW393449 VRL393430:VRS393449 WBH393430:WBO393449 WLD393430:WLK393449 WUZ393430:WVG393449 H458967:O458986 IN458966:IU458985 SJ458966:SQ458985 ACF458966:ACM458985 AMB458966:AMI458985 AVX458966:AWE458985 BFT458966:BGA458985 BPP458966:BPW458985 BZL458966:BZS458985 CJH458966:CJO458985 CTD458966:CTK458985 DCZ458966:DDG458985 DMV458966:DNC458985 DWR458966:DWY458985 EGN458966:EGU458985 EQJ458966:EQQ458985 FAF458966:FAM458985 FKB458966:FKI458985 FTX458966:FUE458985 GDT458966:GEA458985 GNP458966:GNW458985 GXL458966:GXS458985 HHH458966:HHO458985 HRD458966:HRK458985 IAZ458966:IBG458985 IKV458966:ILC458985 IUR458966:IUY458985 JEN458966:JEU458985 JOJ458966:JOQ458985 JYF458966:JYM458985 KIB458966:KII458985 KRX458966:KSE458985 LBT458966:LCA458985 LLP458966:LLW458985 LVL458966:LVS458985 MFH458966:MFO458985 MPD458966:MPK458985 MYZ458966:MZG458985 NIV458966:NJC458985 NSR458966:NSY458985 OCN458966:OCU458985 OMJ458966:OMQ458985 OWF458966:OWM458985 PGB458966:PGI458985 PPX458966:PQE458985 PZT458966:QAA458985 QJP458966:QJW458985 QTL458966:QTS458985 RDH458966:RDO458985 RND458966:RNK458985 RWZ458966:RXG458985 SGV458966:SHC458985 SQR458966:SQY458985 TAN458966:TAU458985 TKJ458966:TKQ458985 TUF458966:TUM458985 UEB458966:UEI458985 UNX458966:UOE458985 UXT458966:UYA458985 VHP458966:VHW458985 VRL458966:VRS458985 WBH458966:WBO458985 WLD458966:WLK458985 WUZ458966:WVG458985 H524503:O524522 IN524502:IU524521 SJ524502:SQ524521 ACF524502:ACM524521 AMB524502:AMI524521 AVX524502:AWE524521 BFT524502:BGA524521 BPP524502:BPW524521 BZL524502:BZS524521 CJH524502:CJO524521 CTD524502:CTK524521 DCZ524502:DDG524521 DMV524502:DNC524521 DWR524502:DWY524521 EGN524502:EGU524521 EQJ524502:EQQ524521 FAF524502:FAM524521 FKB524502:FKI524521 FTX524502:FUE524521 GDT524502:GEA524521 GNP524502:GNW524521 GXL524502:GXS524521 HHH524502:HHO524521 HRD524502:HRK524521 IAZ524502:IBG524521 IKV524502:ILC524521 IUR524502:IUY524521 JEN524502:JEU524521 JOJ524502:JOQ524521 JYF524502:JYM524521 KIB524502:KII524521 KRX524502:KSE524521 LBT524502:LCA524521 LLP524502:LLW524521 LVL524502:LVS524521 MFH524502:MFO524521 MPD524502:MPK524521 MYZ524502:MZG524521 NIV524502:NJC524521 NSR524502:NSY524521 OCN524502:OCU524521 OMJ524502:OMQ524521 OWF524502:OWM524521 PGB524502:PGI524521 PPX524502:PQE524521 PZT524502:QAA524521 QJP524502:QJW524521 QTL524502:QTS524521 RDH524502:RDO524521 RND524502:RNK524521 RWZ524502:RXG524521 SGV524502:SHC524521 SQR524502:SQY524521 TAN524502:TAU524521 TKJ524502:TKQ524521 TUF524502:TUM524521 UEB524502:UEI524521 UNX524502:UOE524521 UXT524502:UYA524521 VHP524502:VHW524521 VRL524502:VRS524521 WBH524502:WBO524521 WLD524502:WLK524521 WUZ524502:WVG524521 H590039:O590058 IN590038:IU590057 SJ590038:SQ590057 ACF590038:ACM590057 AMB590038:AMI590057 AVX590038:AWE590057 BFT590038:BGA590057 BPP590038:BPW590057 BZL590038:BZS590057 CJH590038:CJO590057 CTD590038:CTK590057 DCZ590038:DDG590057 DMV590038:DNC590057 DWR590038:DWY590057 EGN590038:EGU590057 EQJ590038:EQQ590057 FAF590038:FAM590057 FKB590038:FKI590057 FTX590038:FUE590057 GDT590038:GEA590057 GNP590038:GNW590057 GXL590038:GXS590057 HHH590038:HHO590057 HRD590038:HRK590057 IAZ590038:IBG590057 IKV590038:ILC590057 IUR590038:IUY590057 JEN590038:JEU590057 JOJ590038:JOQ590057 JYF590038:JYM590057 KIB590038:KII590057 KRX590038:KSE590057 LBT590038:LCA590057 LLP590038:LLW590057 LVL590038:LVS590057 MFH590038:MFO590057 MPD590038:MPK590057 MYZ590038:MZG590057 NIV590038:NJC590057 NSR590038:NSY590057 OCN590038:OCU590057 OMJ590038:OMQ590057 OWF590038:OWM590057 PGB590038:PGI590057 PPX590038:PQE590057 PZT590038:QAA590057 QJP590038:QJW590057 QTL590038:QTS590057 RDH590038:RDO590057 RND590038:RNK590057 RWZ590038:RXG590057 SGV590038:SHC590057 SQR590038:SQY590057 TAN590038:TAU590057 TKJ590038:TKQ590057 TUF590038:TUM590057 UEB590038:UEI590057 UNX590038:UOE590057 UXT590038:UYA590057 VHP590038:VHW590057 VRL590038:VRS590057 WBH590038:WBO590057 WLD590038:WLK590057 WUZ590038:WVG590057 H655575:O655594 IN655574:IU655593 SJ655574:SQ655593 ACF655574:ACM655593 AMB655574:AMI655593 AVX655574:AWE655593 BFT655574:BGA655593 BPP655574:BPW655593 BZL655574:BZS655593 CJH655574:CJO655593 CTD655574:CTK655593 DCZ655574:DDG655593 DMV655574:DNC655593 DWR655574:DWY655593 EGN655574:EGU655593 EQJ655574:EQQ655593 FAF655574:FAM655593 FKB655574:FKI655593 FTX655574:FUE655593 GDT655574:GEA655593 GNP655574:GNW655593 GXL655574:GXS655593 HHH655574:HHO655593 HRD655574:HRK655593 IAZ655574:IBG655593 IKV655574:ILC655593 IUR655574:IUY655593 JEN655574:JEU655593 JOJ655574:JOQ655593 JYF655574:JYM655593 KIB655574:KII655593 KRX655574:KSE655593 LBT655574:LCA655593 LLP655574:LLW655593 LVL655574:LVS655593 MFH655574:MFO655593 MPD655574:MPK655593 MYZ655574:MZG655593 NIV655574:NJC655593 NSR655574:NSY655593 OCN655574:OCU655593 OMJ655574:OMQ655593 OWF655574:OWM655593 PGB655574:PGI655593 PPX655574:PQE655593 PZT655574:QAA655593 QJP655574:QJW655593 QTL655574:QTS655593 RDH655574:RDO655593 RND655574:RNK655593 RWZ655574:RXG655593 SGV655574:SHC655593 SQR655574:SQY655593 TAN655574:TAU655593 TKJ655574:TKQ655593 TUF655574:TUM655593 UEB655574:UEI655593 UNX655574:UOE655593 UXT655574:UYA655593 VHP655574:VHW655593 VRL655574:VRS655593 WBH655574:WBO655593 WLD655574:WLK655593 WUZ655574:WVG655593 H721111:O721130 IN721110:IU721129 SJ721110:SQ721129 ACF721110:ACM721129 AMB721110:AMI721129 AVX721110:AWE721129 BFT721110:BGA721129 BPP721110:BPW721129 BZL721110:BZS721129 CJH721110:CJO721129 CTD721110:CTK721129 DCZ721110:DDG721129 DMV721110:DNC721129 DWR721110:DWY721129 EGN721110:EGU721129 EQJ721110:EQQ721129 FAF721110:FAM721129 FKB721110:FKI721129 FTX721110:FUE721129 GDT721110:GEA721129 GNP721110:GNW721129 GXL721110:GXS721129 HHH721110:HHO721129 HRD721110:HRK721129 IAZ721110:IBG721129 IKV721110:ILC721129 IUR721110:IUY721129 JEN721110:JEU721129 JOJ721110:JOQ721129 JYF721110:JYM721129 KIB721110:KII721129 KRX721110:KSE721129 LBT721110:LCA721129 LLP721110:LLW721129 LVL721110:LVS721129 MFH721110:MFO721129 MPD721110:MPK721129 MYZ721110:MZG721129 NIV721110:NJC721129 NSR721110:NSY721129 OCN721110:OCU721129 OMJ721110:OMQ721129 OWF721110:OWM721129 PGB721110:PGI721129 PPX721110:PQE721129 PZT721110:QAA721129 QJP721110:QJW721129 QTL721110:QTS721129 RDH721110:RDO721129 RND721110:RNK721129 RWZ721110:RXG721129 SGV721110:SHC721129 SQR721110:SQY721129 TAN721110:TAU721129 TKJ721110:TKQ721129 TUF721110:TUM721129 UEB721110:UEI721129 UNX721110:UOE721129 UXT721110:UYA721129 VHP721110:VHW721129 VRL721110:VRS721129 WBH721110:WBO721129 WLD721110:WLK721129 WUZ721110:WVG721129 H786647:O786666 IN786646:IU786665 SJ786646:SQ786665 ACF786646:ACM786665 AMB786646:AMI786665 AVX786646:AWE786665 BFT786646:BGA786665 BPP786646:BPW786665 BZL786646:BZS786665 CJH786646:CJO786665 CTD786646:CTK786665 DCZ786646:DDG786665 DMV786646:DNC786665 DWR786646:DWY786665 EGN786646:EGU786665 EQJ786646:EQQ786665 FAF786646:FAM786665 FKB786646:FKI786665 FTX786646:FUE786665 GDT786646:GEA786665 GNP786646:GNW786665 GXL786646:GXS786665 HHH786646:HHO786665 HRD786646:HRK786665 IAZ786646:IBG786665 IKV786646:ILC786665 IUR786646:IUY786665 JEN786646:JEU786665 JOJ786646:JOQ786665 JYF786646:JYM786665 KIB786646:KII786665 KRX786646:KSE786665 LBT786646:LCA786665 LLP786646:LLW786665 LVL786646:LVS786665 MFH786646:MFO786665 MPD786646:MPK786665 MYZ786646:MZG786665 NIV786646:NJC786665 NSR786646:NSY786665 OCN786646:OCU786665 OMJ786646:OMQ786665 OWF786646:OWM786665 PGB786646:PGI786665 PPX786646:PQE786665 PZT786646:QAA786665 QJP786646:QJW786665 QTL786646:QTS786665 RDH786646:RDO786665 RND786646:RNK786665 RWZ786646:RXG786665 SGV786646:SHC786665 SQR786646:SQY786665 TAN786646:TAU786665 TKJ786646:TKQ786665 TUF786646:TUM786665 UEB786646:UEI786665 UNX786646:UOE786665 UXT786646:UYA786665 VHP786646:VHW786665 VRL786646:VRS786665 WBH786646:WBO786665 WLD786646:WLK786665 WUZ786646:WVG786665 H852183:O852202 IN852182:IU852201 SJ852182:SQ852201 ACF852182:ACM852201 AMB852182:AMI852201 AVX852182:AWE852201 BFT852182:BGA852201 BPP852182:BPW852201 BZL852182:BZS852201 CJH852182:CJO852201 CTD852182:CTK852201 DCZ852182:DDG852201 DMV852182:DNC852201 DWR852182:DWY852201 EGN852182:EGU852201 EQJ852182:EQQ852201 FAF852182:FAM852201 FKB852182:FKI852201 FTX852182:FUE852201 GDT852182:GEA852201 GNP852182:GNW852201 GXL852182:GXS852201 HHH852182:HHO852201 HRD852182:HRK852201 IAZ852182:IBG852201 IKV852182:ILC852201 IUR852182:IUY852201 JEN852182:JEU852201 JOJ852182:JOQ852201 JYF852182:JYM852201 KIB852182:KII852201 KRX852182:KSE852201 LBT852182:LCA852201 LLP852182:LLW852201 LVL852182:LVS852201 MFH852182:MFO852201 MPD852182:MPK852201 MYZ852182:MZG852201 NIV852182:NJC852201 NSR852182:NSY852201 OCN852182:OCU852201 OMJ852182:OMQ852201 OWF852182:OWM852201 PGB852182:PGI852201 PPX852182:PQE852201 PZT852182:QAA852201 QJP852182:QJW852201 QTL852182:QTS852201 RDH852182:RDO852201 RND852182:RNK852201 RWZ852182:RXG852201 SGV852182:SHC852201 SQR852182:SQY852201 TAN852182:TAU852201 TKJ852182:TKQ852201 TUF852182:TUM852201 UEB852182:UEI852201 UNX852182:UOE852201 UXT852182:UYA852201 VHP852182:VHW852201 VRL852182:VRS852201 WBH852182:WBO852201 WLD852182:WLK852201 WUZ852182:WVG852201 H917719:O917738 IN917718:IU917737 SJ917718:SQ917737 ACF917718:ACM917737 AMB917718:AMI917737 AVX917718:AWE917737 BFT917718:BGA917737 BPP917718:BPW917737 BZL917718:BZS917737 CJH917718:CJO917737 CTD917718:CTK917737 DCZ917718:DDG917737 DMV917718:DNC917737 DWR917718:DWY917737 EGN917718:EGU917737 EQJ917718:EQQ917737 FAF917718:FAM917737 FKB917718:FKI917737 FTX917718:FUE917737 GDT917718:GEA917737 GNP917718:GNW917737 GXL917718:GXS917737 HHH917718:HHO917737 HRD917718:HRK917737 IAZ917718:IBG917737 IKV917718:ILC917737 IUR917718:IUY917737 JEN917718:JEU917737 JOJ917718:JOQ917737 JYF917718:JYM917737 KIB917718:KII917737 KRX917718:KSE917737 LBT917718:LCA917737 LLP917718:LLW917737 LVL917718:LVS917737 MFH917718:MFO917737 MPD917718:MPK917737 MYZ917718:MZG917737 NIV917718:NJC917737 NSR917718:NSY917737 OCN917718:OCU917737 OMJ917718:OMQ917737 OWF917718:OWM917737 PGB917718:PGI917737 PPX917718:PQE917737 PZT917718:QAA917737 QJP917718:QJW917737 QTL917718:QTS917737 RDH917718:RDO917737 RND917718:RNK917737 RWZ917718:RXG917737 SGV917718:SHC917737 SQR917718:SQY917737 TAN917718:TAU917737 TKJ917718:TKQ917737 TUF917718:TUM917737 UEB917718:UEI917737 UNX917718:UOE917737 UXT917718:UYA917737 VHP917718:VHW917737 VRL917718:VRS917737 WBH917718:WBO917737 WLD917718:WLK917737 WUZ917718:WVG917737 H983255:O983274 IN983254:IU983273 SJ983254:SQ983273 ACF983254:ACM983273 AMB983254:AMI983273 AVX983254:AWE983273 BFT983254:BGA983273 BPP983254:BPW983273 BZL983254:BZS983273 CJH983254:CJO983273 CTD983254:CTK983273 DCZ983254:DDG983273 DMV983254:DNC983273 DWR983254:DWY983273 EGN983254:EGU983273 EQJ983254:EQQ983273 FAF983254:FAM983273 FKB983254:FKI983273 FTX983254:FUE983273 GDT983254:GEA983273 GNP983254:GNW983273 GXL983254:GXS983273 HHH983254:HHO983273 HRD983254:HRK983273 IAZ983254:IBG983273 IKV983254:ILC983273 IUR983254:IUY983273 JEN983254:JEU983273 JOJ983254:JOQ983273 JYF983254:JYM983273 KIB983254:KII983273 KRX983254:KSE983273 LBT983254:LCA983273 LLP983254:LLW983273 LVL983254:LVS983273 MFH983254:MFO983273 MPD983254:MPK983273 MYZ983254:MZG983273 NIV983254:NJC983273 NSR983254:NSY983273 OCN983254:OCU983273 OMJ983254:OMQ983273 OWF983254:OWM983273 PGB983254:PGI983273 PPX983254:PQE983273 PZT983254:QAA983273 QJP983254:QJW983273 QTL983254:QTS983273 RDH983254:RDO983273 RND983254:RNK983273 RWZ983254:RXG983273 SGV983254:SHC983273 SQR983254:SQY983273 TAN983254:TAU983273 TKJ983254:TKQ983273 TUF983254:TUM983273 PZT19:QAA28">
      <formula1>0</formula1>
      <formula2>1</formula2>
    </dataValidation>
    <dataValidation type="custom" allowBlank="1" showInputMessage="1" showErrorMessage="1" errorTitle="Invalid Entry" error="You may only enter a number" sqref="UNT983032:UNW983051 ALX216:AMA236 AVT216:AVW236 BFP216:BFS236 BPL216:BPO236 BZH216:BZK236 CJD216:CJG236 CSZ216:CTC236 DCV216:DCY236 DMR216:DMU236 DWN216:DWQ236 EGJ216:EGM236 EQF216:EQI236 FAB216:FAE236 FJX216:FKA236 FTT216:FTW236 GDP216:GDS236 GNL216:GNO236 GXH216:GXK236 HHD216:HHG236 HQZ216:HRC236 IAV216:IAY236 IKR216:IKU236 IUN216:IUQ236 JEJ216:JEM236 JOF216:JOI236 JYB216:JYE236 KHX216:KIA236 KRT216:KRW236 LBP216:LBS236 LLL216:LLO236 LVH216:LVK236 MFD216:MFG236 MOZ216:MPC236 MYV216:MYY236 NIR216:NIU236 NSN216:NSQ236 OCJ216:OCM236 OMF216:OMI236 OWB216:OWE236 PFX216:PGA236 PPT216:PPW236 PZP216:PZS236 QJL216:QJO236 QTH216:QTK236 RDD216:RDG236 RMZ216:RNC236 RWV216:RWY236 SGR216:SGU236 SQN216:SQQ236 TAJ216:TAM236 TKF216:TKI236 TUB216:TUE236 UDX216:UEA236 UNT216:UNW236 UXP216:UXS236 VHL216:VHO236 VRH216:VRK236 WBD216:WBG236 WKZ216:WLC236 WUV216:WUY236 IJ216:IM236 SF216:SI236 IJ31:IM91 D65751:G65770 IJ65750:IM65769 SF65750:SI65769 ACB65750:ACE65769 ALX65750:AMA65769 AVT65750:AVW65769 BFP65750:BFS65769 BPL65750:BPO65769 BZH65750:BZK65769 CJD65750:CJG65769 CSZ65750:CTC65769 DCV65750:DCY65769 DMR65750:DMU65769 DWN65750:DWQ65769 EGJ65750:EGM65769 EQF65750:EQI65769 FAB65750:FAE65769 FJX65750:FKA65769 FTT65750:FTW65769 GDP65750:GDS65769 GNL65750:GNO65769 GXH65750:GXK65769 HHD65750:HHG65769 HQZ65750:HRC65769 IAV65750:IAY65769 IKR65750:IKU65769 IUN65750:IUQ65769 JEJ65750:JEM65769 JOF65750:JOI65769 JYB65750:JYE65769 KHX65750:KIA65769 KRT65750:KRW65769 LBP65750:LBS65769 LLL65750:LLO65769 LVH65750:LVK65769 MFD65750:MFG65769 MOZ65750:MPC65769 MYV65750:MYY65769 NIR65750:NIU65769 NSN65750:NSQ65769 OCJ65750:OCM65769 OMF65750:OMI65769 OWB65750:OWE65769 PFX65750:PGA65769 PPT65750:PPW65769 PZP65750:PZS65769 QJL65750:QJO65769 QTH65750:QTK65769 RDD65750:RDG65769 RMZ65750:RNC65769 RWV65750:RWY65769 SGR65750:SGU65769 SQN65750:SQQ65769 TAJ65750:TAM65769 TKF65750:TKI65769 TUB65750:TUE65769 UDX65750:UEA65769 UNT65750:UNW65769 UXP65750:UXS65769 VHL65750:VHO65769 VRH65750:VRK65769 WBD65750:WBG65769 WKZ65750:WLC65769 WUV65750:WUY65769 D131287:G131306 IJ131286:IM131305 SF131286:SI131305 ACB131286:ACE131305 ALX131286:AMA131305 AVT131286:AVW131305 BFP131286:BFS131305 BPL131286:BPO131305 BZH131286:BZK131305 CJD131286:CJG131305 CSZ131286:CTC131305 DCV131286:DCY131305 DMR131286:DMU131305 DWN131286:DWQ131305 EGJ131286:EGM131305 EQF131286:EQI131305 FAB131286:FAE131305 FJX131286:FKA131305 FTT131286:FTW131305 GDP131286:GDS131305 GNL131286:GNO131305 GXH131286:GXK131305 HHD131286:HHG131305 HQZ131286:HRC131305 IAV131286:IAY131305 IKR131286:IKU131305 IUN131286:IUQ131305 JEJ131286:JEM131305 JOF131286:JOI131305 JYB131286:JYE131305 KHX131286:KIA131305 KRT131286:KRW131305 LBP131286:LBS131305 LLL131286:LLO131305 LVH131286:LVK131305 MFD131286:MFG131305 MOZ131286:MPC131305 MYV131286:MYY131305 NIR131286:NIU131305 NSN131286:NSQ131305 OCJ131286:OCM131305 OMF131286:OMI131305 OWB131286:OWE131305 PFX131286:PGA131305 PPT131286:PPW131305 PZP131286:PZS131305 QJL131286:QJO131305 QTH131286:QTK131305 RDD131286:RDG131305 RMZ131286:RNC131305 RWV131286:RWY131305 SGR131286:SGU131305 SQN131286:SQQ131305 TAJ131286:TAM131305 TKF131286:TKI131305 TUB131286:TUE131305 UDX131286:UEA131305 UNT131286:UNW131305 UXP131286:UXS131305 VHL131286:VHO131305 VRH131286:VRK131305 WBD131286:WBG131305 WKZ131286:WLC131305 WUV131286:WUY131305 D196823:G196842 IJ196822:IM196841 SF196822:SI196841 ACB196822:ACE196841 ALX196822:AMA196841 AVT196822:AVW196841 BFP196822:BFS196841 BPL196822:BPO196841 BZH196822:BZK196841 CJD196822:CJG196841 CSZ196822:CTC196841 DCV196822:DCY196841 DMR196822:DMU196841 DWN196822:DWQ196841 EGJ196822:EGM196841 EQF196822:EQI196841 FAB196822:FAE196841 FJX196822:FKA196841 FTT196822:FTW196841 GDP196822:GDS196841 GNL196822:GNO196841 GXH196822:GXK196841 HHD196822:HHG196841 HQZ196822:HRC196841 IAV196822:IAY196841 IKR196822:IKU196841 IUN196822:IUQ196841 JEJ196822:JEM196841 JOF196822:JOI196841 JYB196822:JYE196841 KHX196822:KIA196841 KRT196822:KRW196841 LBP196822:LBS196841 LLL196822:LLO196841 LVH196822:LVK196841 MFD196822:MFG196841 MOZ196822:MPC196841 MYV196822:MYY196841 NIR196822:NIU196841 NSN196822:NSQ196841 OCJ196822:OCM196841 OMF196822:OMI196841 OWB196822:OWE196841 PFX196822:PGA196841 PPT196822:PPW196841 PZP196822:PZS196841 QJL196822:QJO196841 QTH196822:QTK196841 RDD196822:RDG196841 RMZ196822:RNC196841 RWV196822:RWY196841 SGR196822:SGU196841 SQN196822:SQQ196841 TAJ196822:TAM196841 TKF196822:TKI196841 TUB196822:TUE196841 UDX196822:UEA196841 UNT196822:UNW196841 UXP196822:UXS196841 VHL196822:VHO196841 VRH196822:VRK196841 WBD196822:WBG196841 WKZ196822:WLC196841 WUV196822:WUY196841 D262359:G262378 IJ262358:IM262377 SF262358:SI262377 ACB262358:ACE262377 ALX262358:AMA262377 AVT262358:AVW262377 BFP262358:BFS262377 BPL262358:BPO262377 BZH262358:BZK262377 CJD262358:CJG262377 CSZ262358:CTC262377 DCV262358:DCY262377 DMR262358:DMU262377 DWN262358:DWQ262377 EGJ262358:EGM262377 EQF262358:EQI262377 FAB262358:FAE262377 FJX262358:FKA262377 FTT262358:FTW262377 GDP262358:GDS262377 GNL262358:GNO262377 GXH262358:GXK262377 HHD262358:HHG262377 HQZ262358:HRC262377 IAV262358:IAY262377 IKR262358:IKU262377 IUN262358:IUQ262377 JEJ262358:JEM262377 JOF262358:JOI262377 JYB262358:JYE262377 KHX262358:KIA262377 KRT262358:KRW262377 LBP262358:LBS262377 LLL262358:LLO262377 LVH262358:LVK262377 MFD262358:MFG262377 MOZ262358:MPC262377 MYV262358:MYY262377 NIR262358:NIU262377 NSN262358:NSQ262377 OCJ262358:OCM262377 OMF262358:OMI262377 OWB262358:OWE262377 PFX262358:PGA262377 PPT262358:PPW262377 PZP262358:PZS262377 QJL262358:QJO262377 QTH262358:QTK262377 RDD262358:RDG262377 RMZ262358:RNC262377 RWV262358:RWY262377 SGR262358:SGU262377 SQN262358:SQQ262377 TAJ262358:TAM262377 TKF262358:TKI262377 TUB262358:TUE262377 UDX262358:UEA262377 UNT262358:UNW262377 UXP262358:UXS262377 VHL262358:VHO262377 VRH262358:VRK262377 WBD262358:WBG262377 WKZ262358:WLC262377 WUV262358:WUY262377 D327895:G327914 IJ327894:IM327913 SF327894:SI327913 ACB327894:ACE327913 ALX327894:AMA327913 AVT327894:AVW327913 BFP327894:BFS327913 BPL327894:BPO327913 BZH327894:BZK327913 CJD327894:CJG327913 CSZ327894:CTC327913 DCV327894:DCY327913 DMR327894:DMU327913 DWN327894:DWQ327913 EGJ327894:EGM327913 EQF327894:EQI327913 FAB327894:FAE327913 FJX327894:FKA327913 FTT327894:FTW327913 GDP327894:GDS327913 GNL327894:GNO327913 GXH327894:GXK327913 HHD327894:HHG327913 HQZ327894:HRC327913 IAV327894:IAY327913 IKR327894:IKU327913 IUN327894:IUQ327913 JEJ327894:JEM327913 JOF327894:JOI327913 JYB327894:JYE327913 KHX327894:KIA327913 KRT327894:KRW327913 LBP327894:LBS327913 LLL327894:LLO327913 LVH327894:LVK327913 MFD327894:MFG327913 MOZ327894:MPC327913 MYV327894:MYY327913 NIR327894:NIU327913 NSN327894:NSQ327913 OCJ327894:OCM327913 OMF327894:OMI327913 OWB327894:OWE327913 PFX327894:PGA327913 PPT327894:PPW327913 PZP327894:PZS327913 QJL327894:QJO327913 QTH327894:QTK327913 RDD327894:RDG327913 RMZ327894:RNC327913 RWV327894:RWY327913 SGR327894:SGU327913 SQN327894:SQQ327913 TAJ327894:TAM327913 TKF327894:TKI327913 TUB327894:TUE327913 UDX327894:UEA327913 UNT327894:UNW327913 UXP327894:UXS327913 VHL327894:VHO327913 VRH327894:VRK327913 WBD327894:WBG327913 WKZ327894:WLC327913 WUV327894:WUY327913 D393431:G393450 IJ393430:IM393449 SF393430:SI393449 ACB393430:ACE393449 ALX393430:AMA393449 AVT393430:AVW393449 BFP393430:BFS393449 BPL393430:BPO393449 BZH393430:BZK393449 CJD393430:CJG393449 CSZ393430:CTC393449 DCV393430:DCY393449 DMR393430:DMU393449 DWN393430:DWQ393449 EGJ393430:EGM393449 EQF393430:EQI393449 FAB393430:FAE393449 FJX393430:FKA393449 FTT393430:FTW393449 GDP393430:GDS393449 GNL393430:GNO393449 GXH393430:GXK393449 HHD393430:HHG393449 HQZ393430:HRC393449 IAV393430:IAY393449 IKR393430:IKU393449 IUN393430:IUQ393449 JEJ393430:JEM393449 JOF393430:JOI393449 JYB393430:JYE393449 KHX393430:KIA393449 KRT393430:KRW393449 LBP393430:LBS393449 LLL393430:LLO393449 LVH393430:LVK393449 MFD393430:MFG393449 MOZ393430:MPC393449 MYV393430:MYY393449 NIR393430:NIU393449 NSN393430:NSQ393449 OCJ393430:OCM393449 OMF393430:OMI393449 OWB393430:OWE393449 PFX393430:PGA393449 PPT393430:PPW393449 PZP393430:PZS393449 QJL393430:QJO393449 QTH393430:QTK393449 RDD393430:RDG393449 RMZ393430:RNC393449 RWV393430:RWY393449 SGR393430:SGU393449 SQN393430:SQQ393449 TAJ393430:TAM393449 TKF393430:TKI393449 TUB393430:TUE393449 UDX393430:UEA393449 UNT393430:UNW393449 UXP393430:UXS393449 VHL393430:VHO393449 VRH393430:VRK393449 WBD393430:WBG393449 WKZ393430:WLC393449 WUV393430:WUY393449 D458967:G458986 IJ458966:IM458985 SF458966:SI458985 ACB458966:ACE458985 ALX458966:AMA458985 AVT458966:AVW458985 BFP458966:BFS458985 BPL458966:BPO458985 BZH458966:BZK458985 CJD458966:CJG458985 CSZ458966:CTC458985 DCV458966:DCY458985 DMR458966:DMU458985 DWN458966:DWQ458985 EGJ458966:EGM458985 EQF458966:EQI458985 FAB458966:FAE458985 FJX458966:FKA458985 FTT458966:FTW458985 GDP458966:GDS458985 GNL458966:GNO458985 GXH458966:GXK458985 HHD458966:HHG458985 HQZ458966:HRC458985 IAV458966:IAY458985 IKR458966:IKU458985 IUN458966:IUQ458985 JEJ458966:JEM458985 JOF458966:JOI458985 JYB458966:JYE458985 KHX458966:KIA458985 KRT458966:KRW458985 LBP458966:LBS458985 LLL458966:LLO458985 LVH458966:LVK458985 MFD458966:MFG458985 MOZ458966:MPC458985 MYV458966:MYY458985 NIR458966:NIU458985 NSN458966:NSQ458985 OCJ458966:OCM458985 OMF458966:OMI458985 OWB458966:OWE458985 PFX458966:PGA458985 PPT458966:PPW458985 PZP458966:PZS458985 QJL458966:QJO458985 QTH458966:QTK458985 RDD458966:RDG458985 RMZ458966:RNC458985 RWV458966:RWY458985 SGR458966:SGU458985 SQN458966:SQQ458985 TAJ458966:TAM458985 TKF458966:TKI458985 TUB458966:TUE458985 UDX458966:UEA458985 UNT458966:UNW458985 UXP458966:UXS458985 VHL458966:VHO458985 VRH458966:VRK458985 WBD458966:WBG458985 WKZ458966:WLC458985 WUV458966:WUY458985 D524503:G524522 IJ524502:IM524521 SF524502:SI524521 ACB524502:ACE524521 ALX524502:AMA524521 AVT524502:AVW524521 BFP524502:BFS524521 BPL524502:BPO524521 BZH524502:BZK524521 CJD524502:CJG524521 CSZ524502:CTC524521 DCV524502:DCY524521 DMR524502:DMU524521 DWN524502:DWQ524521 EGJ524502:EGM524521 EQF524502:EQI524521 FAB524502:FAE524521 FJX524502:FKA524521 FTT524502:FTW524521 GDP524502:GDS524521 GNL524502:GNO524521 GXH524502:GXK524521 HHD524502:HHG524521 HQZ524502:HRC524521 IAV524502:IAY524521 IKR524502:IKU524521 IUN524502:IUQ524521 JEJ524502:JEM524521 JOF524502:JOI524521 JYB524502:JYE524521 KHX524502:KIA524521 KRT524502:KRW524521 LBP524502:LBS524521 LLL524502:LLO524521 LVH524502:LVK524521 MFD524502:MFG524521 MOZ524502:MPC524521 MYV524502:MYY524521 NIR524502:NIU524521 NSN524502:NSQ524521 OCJ524502:OCM524521 OMF524502:OMI524521 OWB524502:OWE524521 PFX524502:PGA524521 PPT524502:PPW524521 PZP524502:PZS524521 QJL524502:QJO524521 QTH524502:QTK524521 RDD524502:RDG524521 RMZ524502:RNC524521 RWV524502:RWY524521 SGR524502:SGU524521 SQN524502:SQQ524521 TAJ524502:TAM524521 TKF524502:TKI524521 TUB524502:TUE524521 UDX524502:UEA524521 UNT524502:UNW524521 UXP524502:UXS524521 VHL524502:VHO524521 VRH524502:VRK524521 WBD524502:WBG524521 WKZ524502:WLC524521 WUV524502:WUY524521 D590039:G590058 IJ590038:IM590057 SF590038:SI590057 ACB590038:ACE590057 ALX590038:AMA590057 AVT590038:AVW590057 BFP590038:BFS590057 BPL590038:BPO590057 BZH590038:BZK590057 CJD590038:CJG590057 CSZ590038:CTC590057 DCV590038:DCY590057 DMR590038:DMU590057 DWN590038:DWQ590057 EGJ590038:EGM590057 EQF590038:EQI590057 FAB590038:FAE590057 FJX590038:FKA590057 FTT590038:FTW590057 GDP590038:GDS590057 GNL590038:GNO590057 GXH590038:GXK590057 HHD590038:HHG590057 HQZ590038:HRC590057 IAV590038:IAY590057 IKR590038:IKU590057 IUN590038:IUQ590057 JEJ590038:JEM590057 JOF590038:JOI590057 JYB590038:JYE590057 KHX590038:KIA590057 KRT590038:KRW590057 LBP590038:LBS590057 LLL590038:LLO590057 LVH590038:LVK590057 MFD590038:MFG590057 MOZ590038:MPC590057 MYV590038:MYY590057 NIR590038:NIU590057 NSN590038:NSQ590057 OCJ590038:OCM590057 OMF590038:OMI590057 OWB590038:OWE590057 PFX590038:PGA590057 PPT590038:PPW590057 PZP590038:PZS590057 QJL590038:QJO590057 QTH590038:QTK590057 RDD590038:RDG590057 RMZ590038:RNC590057 RWV590038:RWY590057 SGR590038:SGU590057 SQN590038:SQQ590057 TAJ590038:TAM590057 TKF590038:TKI590057 TUB590038:TUE590057 UDX590038:UEA590057 UNT590038:UNW590057 UXP590038:UXS590057 VHL590038:VHO590057 VRH590038:VRK590057 WBD590038:WBG590057 WKZ590038:WLC590057 WUV590038:WUY590057 D655575:G655594 IJ655574:IM655593 SF655574:SI655593 ACB655574:ACE655593 ALX655574:AMA655593 AVT655574:AVW655593 BFP655574:BFS655593 BPL655574:BPO655593 BZH655574:BZK655593 CJD655574:CJG655593 CSZ655574:CTC655593 DCV655574:DCY655593 DMR655574:DMU655593 DWN655574:DWQ655593 EGJ655574:EGM655593 EQF655574:EQI655593 FAB655574:FAE655593 FJX655574:FKA655593 FTT655574:FTW655593 GDP655574:GDS655593 GNL655574:GNO655593 GXH655574:GXK655593 HHD655574:HHG655593 HQZ655574:HRC655593 IAV655574:IAY655593 IKR655574:IKU655593 IUN655574:IUQ655593 JEJ655574:JEM655593 JOF655574:JOI655593 JYB655574:JYE655593 KHX655574:KIA655593 KRT655574:KRW655593 LBP655574:LBS655593 LLL655574:LLO655593 LVH655574:LVK655593 MFD655574:MFG655593 MOZ655574:MPC655593 MYV655574:MYY655593 NIR655574:NIU655593 NSN655574:NSQ655593 OCJ655574:OCM655593 OMF655574:OMI655593 OWB655574:OWE655593 PFX655574:PGA655593 PPT655574:PPW655593 PZP655574:PZS655593 QJL655574:QJO655593 QTH655574:QTK655593 RDD655574:RDG655593 RMZ655574:RNC655593 RWV655574:RWY655593 SGR655574:SGU655593 SQN655574:SQQ655593 TAJ655574:TAM655593 TKF655574:TKI655593 TUB655574:TUE655593 UDX655574:UEA655593 UNT655574:UNW655593 UXP655574:UXS655593 VHL655574:VHO655593 VRH655574:VRK655593 WBD655574:WBG655593 WKZ655574:WLC655593 WUV655574:WUY655593 D721111:G721130 IJ721110:IM721129 SF721110:SI721129 ACB721110:ACE721129 ALX721110:AMA721129 AVT721110:AVW721129 BFP721110:BFS721129 BPL721110:BPO721129 BZH721110:BZK721129 CJD721110:CJG721129 CSZ721110:CTC721129 DCV721110:DCY721129 DMR721110:DMU721129 DWN721110:DWQ721129 EGJ721110:EGM721129 EQF721110:EQI721129 FAB721110:FAE721129 FJX721110:FKA721129 FTT721110:FTW721129 GDP721110:GDS721129 GNL721110:GNO721129 GXH721110:GXK721129 HHD721110:HHG721129 HQZ721110:HRC721129 IAV721110:IAY721129 IKR721110:IKU721129 IUN721110:IUQ721129 JEJ721110:JEM721129 JOF721110:JOI721129 JYB721110:JYE721129 KHX721110:KIA721129 KRT721110:KRW721129 LBP721110:LBS721129 LLL721110:LLO721129 LVH721110:LVK721129 MFD721110:MFG721129 MOZ721110:MPC721129 MYV721110:MYY721129 NIR721110:NIU721129 NSN721110:NSQ721129 OCJ721110:OCM721129 OMF721110:OMI721129 OWB721110:OWE721129 PFX721110:PGA721129 PPT721110:PPW721129 PZP721110:PZS721129 QJL721110:QJO721129 QTH721110:QTK721129 RDD721110:RDG721129 RMZ721110:RNC721129 RWV721110:RWY721129 SGR721110:SGU721129 SQN721110:SQQ721129 TAJ721110:TAM721129 TKF721110:TKI721129 TUB721110:TUE721129 UDX721110:UEA721129 UNT721110:UNW721129 UXP721110:UXS721129 VHL721110:VHO721129 VRH721110:VRK721129 WBD721110:WBG721129 WKZ721110:WLC721129 WUV721110:WUY721129 D786647:G786666 IJ786646:IM786665 SF786646:SI786665 ACB786646:ACE786665 ALX786646:AMA786665 AVT786646:AVW786665 BFP786646:BFS786665 BPL786646:BPO786665 BZH786646:BZK786665 CJD786646:CJG786665 CSZ786646:CTC786665 DCV786646:DCY786665 DMR786646:DMU786665 DWN786646:DWQ786665 EGJ786646:EGM786665 EQF786646:EQI786665 FAB786646:FAE786665 FJX786646:FKA786665 FTT786646:FTW786665 GDP786646:GDS786665 GNL786646:GNO786665 GXH786646:GXK786665 HHD786646:HHG786665 HQZ786646:HRC786665 IAV786646:IAY786665 IKR786646:IKU786665 IUN786646:IUQ786665 JEJ786646:JEM786665 JOF786646:JOI786665 JYB786646:JYE786665 KHX786646:KIA786665 KRT786646:KRW786665 LBP786646:LBS786665 LLL786646:LLO786665 LVH786646:LVK786665 MFD786646:MFG786665 MOZ786646:MPC786665 MYV786646:MYY786665 NIR786646:NIU786665 NSN786646:NSQ786665 OCJ786646:OCM786665 OMF786646:OMI786665 OWB786646:OWE786665 PFX786646:PGA786665 PPT786646:PPW786665 PZP786646:PZS786665 QJL786646:QJO786665 QTH786646:QTK786665 RDD786646:RDG786665 RMZ786646:RNC786665 RWV786646:RWY786665 SGR786646:SGU786665 SQN786646:SQQ786665 TAJ786646:TAM786665 TKF786646:TKI786665 TUB786646:TUE786665 UDX786646:UEA786665 UNT786646:UNW786665 UXP786646:UXS786665 VHL786646:VHO786665 VRH786646:VRK786665 WBD786646:WBG786665 WKZ786646:WLC786665 WUV786646:WUY786665 D852183:G852202 IJ852182:IM852201 SF852182:SI852201 ACB852182:ACE852201 ALX852182:AMA852201 AVT852182:AVW852201 BFP852182:BFS852201 BPL852182:BPO852201 BZH852182:BZK852201 CJD852182:CJG852201 CSZ852182:CTC852201 DCV852182:DCY852201 DMR852182:DMU852201 DWN852182:DWQ852201 EGJ852182:EGM852201 EQF852182:EQI852201 FAB852182:FAE852201 FJX852182:FKA852201 FTT852182:FTW852201 GDP852182:GDS852201 GNL852182:GNO852201 GXH852182:GXK852201 HHD852182:HHG852201 HQZ852182:HRC852201 IAV852182:IAY852201 IKR852182:IKU852201 IUN852182:IUQ852201 JEJ852182:JEM852201 JOF852182:JOI852201 JYB852182:JYE852201 KHX852182:KIA852201 KRT852182:KRW852201 LBP852182:LBS852201 LLL852182:LLO852201 LVH852182:LVK852201 MFD852182:MFG852201 MOZ852182:MPC852201 MYV852182:MYY852201 NIR852182:NIU852201 NSN852182:NSQ852201 OCJ852182:OCM852201 OMF852182:OMI852201 OWB852182:OWE852201 PFX852182:PGA852201 PPT852182:PPW852201 PZP852182:PZS852201 QJL852182:QJO852201 QTH852182:QTK852201 RDD852182:RDG852201 RMZ852182:RNC852201 RWV852182:RWY852201 SGR852182:SGU852201 SQN852182:SQQ852201 TAJ852182:TAM852201 TKF852182:TKI852201 TUB852182:TUE852201 UDX852182:UEA852201 UNT852182:UNW852201 UXP852182:UXS852201 VHL852182:VHO852201 VRH852182:VRK852201 WBD852182:WBG852201 WKZ852182:WLC852201 WUV852182:WUY852201 D917719:G917738 IJ917718:IM917737 SF917718:SI917737 ACB917718:ACE917737 ALX917718:AMA917737 AVT917718:AVW917737 BFP917718:BFS917737 BPL917718:BPO917737 BZH917718:BZK917737 CJD917718:CJG917737 CSZ917718:CTC917737 DCV917718:DCY917737 DMR917718:DMU917737 DWN917718:DWQ917737 EGJ917718:EGM917737 EQF917718:EQI917737 FAB917718:FAE917737 FJX917718:FKA917737 FTT917718:FTW917737 GDP917718:GDS917737 GNL917718:GNO917737 GXH917718:GXK917737 HHD917718:HHG917737 HQZ917718:HRC917737 IAV917718:IAY917737 IKR917718:IKU917737 IUN917718:IUQ917737 JEJ917718:JEM917737 JOF917718:JOI917737 JYB917718:JYE917737 KHX917718:KIA917737 KRT917718:KRW917737 LBP917718:LBS917737 LLL917718:LLO917737 LVH917718:LVK917737 MFD917718:MFG917737 MOZ917718:MPC917737 MYV917718:MYY917737 NIR917718:NIU917737 NSN917718:NSQ917737 OCJ917718:OCM917737 OMF917718:OMI917737 OWB917718:OWE917737 PFX917718:PGA917737 PPT917718:PPW917737 PZP917718:PZS917737 QJL917718:QJO917737 QTH917718:QTK917737 RDD917718:RDG917737 RMZ917718:RNC917737 RWV917718:RWY917737 SGR917718:SGU917737 SQN917718:SQQ917737 TAJ917718:TAM917737 TKF917718:TKI917737 TUB917718:TUE917737 UDX917718:UEA917737 UNT917718:UNW917737 UXP917718:UXS917737 VHL917718:VHO917737 VRH917718:VRK917737 WBD917718:WBG917737 WKZ917718:WLC917737 WUV917718:WUY917737 D983255:G983274 IJ983254:IM983273 SF983254:SI983273 ACB983254:ACE983273 ALX983254:AMA983273 AVT983254:AVW983273 BFP983254:BFS983273 BPL983254:BPO983273 BZH983254:BZK983273 CJD983254:CJG983273 CSZ983254:CTC983273 DCV983254:DCY983273 DMR983254:DMU983273 DWN983254:DWQ983273 EGJ983254:EGM983273 EQF983254:EQI983273 FAB983254:FAE983273 FJX983254:FKA983273 FTT983254:FTW983273 GDP983254:GDS983273 GNL983254:GNO983273 GXH983254:GXK983273 HHD983254:HHG983273 HQZ983254:HRC983273 IAV983254:IAY983273 IKR983254:IKU983273 IUN983254:IUQ983273 JEJ983254:JEM983273 JOF983254:JOI983273 JYB983254:JYE983273 KHX983254:KIA983273 KRT983254:KRW983273 LBP983254:LBS983273 LLL983254:LLO983273 LVH983254:LVK983273 MFD983254:MFG983273 MOZ983254:MPC983273 MYV983254:MYY983273 NIR983254:NIU983273 NSN983254:NSQ983273 OCJ983254:OCM983273 OMF983254:OMI983273 OWB983254:OWE983273 PFX983254:PGA983273 PPT983254:PPW983273 PZP983254:PZS983273 QJL983254:QJO983273 QTH983254:QTK983273 RDD983254:RDG983273 RMZ983254:RNC983273 RWV983254:RWY983273 SGR983254:SGU983273 SQN983254:SQQ983273 TAJ983254:TAM983273 TKF983254:TKI983273 TUB983254:TUE983273 UDX983254:UEA983273 UNT983254:UNW983273 UXP983254:UXS983273 VHL983254:VHO983273 VRH983254:VRK983273 WBD983254:WBG983273 WKZ983254:WLC983273 WUV983254:WUY983273 UXP983032:UXS983051 IJ193:IM212 SF193:SI212 ACB193:ACE212 ALX193:AMA212 AVT193:AVW212 BFP193:BFS212 BPL193:BPO212 BZH193:BZK212 CJD193:CJG212 CSZ193:CTC212 DCV193:DCY212 DMR193:DMU212 DWN193:DWQ212 EGJ193:EGM212 EQF193:EQI212 FAB193:FAE212 FJX193:FKA212 FTT193:FTW212 GDP193:GDS212 GNL193:GNO212 GXH193:GXK212 HHD193:HHG212 HQZ193:HRC212 IAV193:IAY212 IKR193:IKU212 IUN193:IUQ212 JEJ193:JEM212 JOF193:JOI212 JYB193:JYE212 KHX193:KIA212 KRT193:KRW212 LBP193:LBS212 LLL193:LLO212 LVH193:LVK212 MFD193:MFG212 MOZ193:MPC212 MYV193:MYY212 NIR193:NIU212 NSN193:NSQ212 OCJ193:OCM212 OMF193:OMI212 OWB193:OWE212 PFX193:PGA212 PPT193:PPW212 PZP193:PZS212 QJL193:QJO212 QTH193:QTK212 RDD193:RDG212 RMZ193:RNC212 RWV193:RWY212 SGR193:SGU212 SQN193:SQQ212 TAJ193:TAM212 TKF193:TKI212 TUB193:TUE212 UDX193:UEA212 UNT193:UNW212 UXP193:UXS212 VHL193:VHO212 VRH193:VRK212 WBD193:WBG212 WKZ193:WLC212 WUV193:WUY212 D65728:G65747 IJ65727:IM65746 SF65727:SI65746 ACB65727:ACE65746 ALX65727:AMA65746 AVT65727:AVW65746 BFP65727:BFS65746 BPL65727:BPO65746 BZH65727:BZK65746 CJD65727:CJG65746 CSZ65727:CTC65746 DCV65727:DCY65746 DMR65727:DMU65746 DWN65727:DWQ65746 EGJ65727:EGM65746 EQF65727:EQI65746 FAB65727:FAE65746 FJX65727:FKA65746 FTT65727:FTW65746 GDP65727:GDS65746 GNL65727:GNO65746 GXH65727:GXK65746 HHD65727:HHG65746 HQZ65727:HRC65746 IAV65727:IAY65746 IKR65727:IKU65746 IUN65727:IUQ65746 JEJ65727:JEM65746 JOF65727:JOI65746 JYB65727:JYE65746 KHX65727:KIA65746 KRT65727:KRW65746 LBP65727:LBS65746 LLL65727:LLO65746 LVH65727:LVK65746 MFD65727:MFG65746 MOZ65727:MPC65746 MYV65727:MYY65746 NIR65727:NIU65746 NSN65727:NSQ65746 OCJ65727:OCM65746 OMF65727:OMI65746 OWB65727:OWE65746 PFX65727:PGA65746 PPT65727:PPW65746 PZP65727:PZS65746 QJL65727:QJO65746 QTH65727:QTK65746 RDD65727:RDG65746 RMZ65727:RNC65746 RWV65727:RWY65746 SGR65727:SGU65746 SQN65727:SQQ65746 TAJ65727:TAM65746 TKF65727:TKI65746 TUB65727:TUE65746 UDX65727:UEA65746 UNT65727:UNW65746 UXP65727:UXS65746 VHL65727:VHO65746 VRH65727:VRK65746 WBD65727:WBG65746 WKZ65727:WLC65746 WUV65727:WUY65746 D131264:G131283 IJ131263:IM131282 SF131263:SI131282 ACB131263:ACE131282 ALX131263:AMA131282 AVT131263:AVW131282 BFP131263:BFS131282 BPL131263:BPO131282 BZH131263:BZK131282 CJD131263:CJG131282 CSZ131263:CTC131282 DCV131263:DCY131282 DMR131263:DMU131282 DWN131263:DWQ131282 EGJ131263:EGM131282 EQF131263:EQI131282 FAB131263:FAE131282 FJX131263:FKA131282 FTT131263:FTW131282 GDP131263:GDS131282 GNL131263:GNO131282 GXH131263:GXK131282 HHD131263:HHG131282 HQZ131263:HRC131282 IAV131263:IAY131282 IKR131263:IKU131282 IUN131263:IUQ131282 JEJ131263:JEM131282 JOF131263:JOI131282 JYB131263:JYE131282 KHX131263:KIA131282 KRT131263:KRW131282 LBP131263:LBS131282 LLL131263:LLO131282 LVH131263:LVK131282 MFD131263:MFG131282 MOZ131263:MPC131282 MYV131263:MYY131282 NIR131263:NIU131282 NSN131263:NSQ131282 OCJ131263:OCM131282 OMF131263:OMI131282 OWB131263:OWE131282 PFX131263:PGA131282 PPT131263:PPW131282 PZP131263:PZS131282 QJL131263:QJO131282 QTH131263:QTK131282 RDD131263:RDG131282 RMZ131263:RNC131282 RWV131263:RWY131282 SGR131263:SGU131282 SQN131263:SQQ131282 TAJ131263:TAM131282 TKF131263:TKI131282 TUB131263:TUE131282 UDX131263:UEA131282 UNT131263:UNW131282 UXP131263:UXS131282 VHL131263:VHO131282 VRH131263:VRK131282 WBD131263:WBG131282 WKZ131263:WLC131282 WUV131263:WUY131282 D196800:G196819 IJ196799:IM196818 SF196799:SI196818 ACB196799:ACE196818 ALX196799:AMA196818 AVT196799:AVW196818 BFP196799:BFS196818 BPL196799:BPO196818 BZH196799:BZK196818 CJD196799:CJG196818 CSZ196799:CTC196818 DCV196799:DCY196818 DMR196799:DMU196818 DWN196799:DWQ196818 EGJ196799:EGM196818 EQF196799:EQI196818 FAB196799:FAE196818 FJX196799:FKA196818 FTT196799:FTW196818 GDP196799:GDS196818 GNL196799:GNO196818 GXH196799:GXK196818 HHD196799:HHG196818 HQZ196799:HRC196818 IAV196799:IAY196818 IKR196799:IKU196818 IUN196799:IUQ196818 JEJ196799:JEM196818 JOF196799:JOI196818 JYB196799:JYE196818 KHX196799:KIA196818 KRT196799:KRW196818 LBP196799:LBS196818 LLL196799:LLO196818 LVH196799:LVK196818 MFD196799:MFG196818 MOZ196799:MPC196818 MYV196799:MYY196818 NIR196799:NIU196818 NSN196799:NSQ196818 OCJ196799:OCM196818 OMF196799:OMI196818 OWB196799:OWE196818 PFX196799:PGA196818 PPT196799:PPW196818 PZP196799:PZS196818 QJL196799:QJO196818 QTH196799:QTK196818 RDD196799:RDG196818 RMZ196799:RNC196818 RWV196799:RWY196818 SGR196799:SGU196818 SQN196799:SQQ196818 TAJ196799:TAM196818 TKF196799:TKI196818 TUB196799:TUE196818 UDX196799:UEA196818 UNT196799:UNW196818 UXP196799:UXS196818 VHL196799:VHO196818 VRH196799:VRK196818 WBD196799:WBG196818 WKZ196799:WLC196818 WUV196799:WUY196818 D262336:G262355 IJ262335:IM262354 SF262335:SI262354 ACB262335:ACE262354 ALX262335:AMA262354 AVT262335:AVW262354 BFP262335:BFS262354 BPL262335:BPO262354 BZH262335:BZK262354 CJD262335:CJG262354 CSZ262335:CTC262354 DCV262335:DCY262354 DMR262335:DMU262354 DWN262335:DWQ262354 EGJ262335:EGM262354 EQF262335:EQI262354 FAB262335:FAE262354 FJX262335:FKA262354 FTT262335:FTW262354 GDP262335:GDS262354 GNL262335:GNO262354 GXH262335:GXK262354 HHD262335:HHG262354 HQZ262335:HRC262354 IAV262335:IAY262354 IKR262335:IKU262354 IUN262335:IUQ262354 JEJ262335:JEM262354 JOF262335:JOI262354 JYB262335:JYE262354 KHX262335:KIA262354 KRT262335:KRW262354 LBP262335:LBS262354 LLL262335:LLO262354 LVH262335:LVK262354 MFD262335:MFG262354 MOZ262335:MPC262354 MYV262335:MYY262354 NIR262335:NIU262354 NSN262335:NSQ262354 OCJ262335:OCM262354 OMF262335:OMI262354 OWB262335:OWE262354 PFX262335:PGA262354 PPT262335:PPW262354 PZP262335:PZS262354 QJL262335:QJO262354 QTH262335:QTK262354 RDD262335:RDG262354 RMZ262335:RNC262354 RWV262335:RWY262354 SGR262335:SGU262354 SQN262335:SQQ262354 TAJ262335:TAM262354 TKF262335:TKI262354 TUB262335:TUE262354 UDX262335:UEA262354 UNT262335:UNW262354 UXP262335:UXS262354 VHL262335:VHO262354 VRH262335:VRK262354 WBD262335:WBG262354 WKZ262335:WLC262354 WUV262335:WUY262354 D327872:G327891 IJ327871:IM327890 SF327871:SI327890 ACB327871:ACE327890 ALX327871:AMA327890 AVT327871:AVW327890 BFP327871:BFS327890 BPL327871:BPO327890 BZH327871:BZK327890 CJD327871:CJG327890 CSZ327871:CTC327890 DCV327871:DCY327890 DMR327871:DMU327890 DWN327871:DWQ327890 EGJ327871:EGM327890 EQF327871:EQI327890 FAB327871:FAE327890 FJX327871:FKA327890 FTT327871:FTW327890 GDP327871:GDS327890 GNL327871:GNO327890 GXH327871:GXK327890 HHD327871:HHG327890 HQZ327871:HRC327890 IAV327871:IAY327890 IKR327871:IKU327890 IUN327871:IUQ327890 JEJ327871:JEM327890 JOF327871:JOI327890 JYB327871:JYE327890 KHX327871:KIA327890 KRT327871:KRW327890 LBP327871:LBS327890 LLL327871:LLO327890 LVH327871:LVK327890 MFD327871:MFG327890 MOZ327871:MPC327890 MYV327871:MYY327890 NIR327871:NIU327890 NSN327871:NSQ327890 OCJ327871:OCM327890 OMF327871:OMI327890 OWB327871:OWE327890 PFX327871:PGA327890 PPT327871:PPW327890 PZP327871:PZS327890 QJL327871:QJO327890 QTH327871:QTK327890 RDD327871:RDG327890 RMZ327871:RNC327890 RWV327871:RWY327890 SGR327871:SGU327890 SQN327871:SQQ327890 TAJ327871:TAM327890 TKF327871:TKI327890 TUB327871:TUE327890 UDX327871:UEA327890 UNT327871:UNW327890 UXP327871:UXS327890 VHL327871:VHO327890 VRH327871:VRK327890 WBD327871:WBG327890 WKZ327871:WLC327890 WUV327871:WUY327890 D393408:G393427 IJ393407:IM393426 SF393407:SI393426 ACB393407:ACE393426 ALX393407:AMA393426 AVT393407:AVW393426 BFP393407:BFS393426 BPL393407:BPO393426 BZH393407:BZK393426 CJD393407:CJG393426 CSZ393407:CTC393426 DCV393407:DCY393426 DMR393407:DMU393426 DWN393407:DWQ393426 EGJ393407:EGM393426 EQF393407:EQI393426 FAB393407:FAE393426 FJX393407:FKA393426 FTT393407:FTW393426 GDP393407:GDS393426 GNL393407:GNO393426 GXH393407:GXK393426 HHD393407:HHG393426 HQZ393407:HRC393426 IAV393407:IAY393426 IKR393407:IKU393426 IUN393407:IUQ393426 JEJ393407:JEM393426 JOF393407:JOI393426 JYB393407:JYE393426 KHX393407:KIA393426 KRT393407:KRW393426 LBP393407:LBS393426 LLL393407:LLO393426 LVH393407:LVK393426 MFD393407:MFG393426 MOZ393407:MPC393426 MYV393407:MYY393426 NIR393407:NIU393426 NSN393407:NSQ393426 OCJ393407:OCM393426 OMF393407:OMI393426 OWB393407:OWE393426 PFX393407:PGA393426 PPT393407:PPW393426 PZP393407:PZS393426 QJL393407:QJO393426 QTH393407:QTK393426 RDD393407:RDG393426 RMZ393407:RNC393426 RWV393407:RWY393426 SGR393407:SGU393426 SQN393407:SQQ393426 TAJ393407:TAM393426 TKF393407:TKI393426 TUB393407:TUE393426 UDX393407:UEA393426 UNT393407:UNW393426 UXP393407:UXS393426 VHL393407:VHO393426 VRH393407:VRK393426 WBD393407:WBG393426 WKZ393407:WLC393426 WUV393407:WUY393426 D458944:G458963 IJ458943:IM458962 SF458943:SI458962 ACB458943:ACE458962 ALX458943:AMA458962 AVT458943:AVW458962 BFP458943:BFS458962 BPL458943:BPO458962 BZH458943:BZK458962 CJD458943:CJG458962 CSZ458943:CTC458962 DCV458943:DCY458962 DMR458943:DMU458962 DWN458943:DWQ458962 EGJ458943:EGM458962 EQF458943:EQI458962 FAB458943:FAE458962 FJX458943:FKA458962 FTT458943:FTW458962 GDP458943:GDS458962 GNL458943:GNO458962 GXH458943:GXK458962 HHD458943:HHG458962 HQZ458943:HRC458962 IAV458943:IAY458962 IKR458943:IKU458962 IUN458943:IUQ458962 JEJ458943:JEM458962 JOF458943:JOI458962 JYB458943:JYE458962 KHX458943:KIA458962 KRT458943:KRW458962 LBP458943:LBS458962 LLL458943:LLO458962 LVH458943:LVK458962 MFD458943:MFG458962 MOZ458943:MPC458962 MYV458943:MYY458962 NIR458943:NIU458962 NSN458943:NSQ458962 OCJ458943:OCM458962 OMF458943:OMI458962 OWB458943:OWE458962 PFX458943:PGA458962 PPT458943:PPW458962 PZP458943:PZS458962 QJL458943:QJO458962 QTH458943:QTK458962 RDD458943:RDG458962 RMZ458943:RNC458962 RWV458943:RWY458962 SGR458943:SGU458962 SQN458943:SQQ458962 TAJ458943:TAM458962 TKF458943:TKI458962 TUB458943:TUE458962 UDX458943:UEA458962 UNT458943:UNW458962 UXP458943:UXS458962 VHL458943:VHO458962 VRH458943:VRK458962 WBD458943:WBG458962 WKZ458943:WLC458962 WUV458943:WUY458962 D524480:G524499 IJ524479:IM524498 SF524479:SI524498 ACB524479:ACE524498 ALX524479:AMA524498 AVT524479:AVW524498 BFP524479:BFS524498 BPL524479:BPO524498 BZH524479:BZK524498 CJD524479:CJG524498 CSZ524479:CTC524498 DCV524479:DCY524498 DMR524479:DMU524498 DWN524479:DWQ524498 EGJ524479:EGM524498 EQF524479:EQI524498 FAB524479:FAE524498 FJX524479:FKA524498 FTT524479:FTW524498 GDP524479:GDS524498 GNL524479:GNO524498 GXH524479:GXK524498 HHD524479:HHG524498 HQZ524479:HRC524498 IAV524479:IAY524498 IKR524479:IKU524498 IUN524479:IUQ524498 JEJ524479:JEM524498 JOF524479:JOI524498 JYB524479:JYE524498 KHX524479:KIA524498 KRT524479:KRW524498 LBP524479:LBS524498 LLL524479:LLO524498 LVH524479:LVK524498 MFD524479:MFG524498 MOZ524479:MPC524498 MYV524479:MYY524498 NIR524479:NIU524498 NSN524479:NSQ524498 OCJ524479:OCM524498 OMF524479:OMI524498 OWB524479:OWE524498 PFX524479:PGA524498 PPT524479:PPW524498 PZP524479:PZS524498 QJL524479:QJO524498 QTH524479:QTK524498 RDD524479:RDG524498 RMZ524479:RNC524498 RWV524479:RWY524498 SGR524479:SGU524498 SQN524479:SQQ524498 TAJ524479:TAM524498 TKF524479:TKI524498 TUB524479:TUE524498 UDX524479:UEA524498 UNT524479:UNW524498 UXP524479:UXS524498 VHL524479:VHO524498 VRH524479:VRK524498 WBD524479:WBG524498 WKZ524479:WLC524498 WUV524479:WUY524498 D590016:G590035 IJ590015:IM590034 SF590015:SI590034 ACB590015:ACE590034 ALX590015:AMA590034 AVT590015:AVW590034 BFP590015:BFS590034 BPL590015:BPO590034 BZH590015:BZK590034 CJD590015:CJG590034 CSZ590015:CTC590034 DCV590015:DCY590034 DMR590015:DMU590034 DWN590015:DWQ590034 EGJ590015:EGM590034 EQF590015:EQI590034 FAB590015:FAE590034 FJX590015:FKA590034 FTT590015:FTW590034 GDP590015:GDS590034 GNL590015:GNO590034 GXH590015:GXK590034 HHD590015:HHG590034 HQZ590015:HRC590034 IAV590015:IAY590034 IKR590015:IKU590034 IUN590015:IUQ590034 JEJ590015:JEM590034 JOF590015:JOI590034 JYB590015:JYE590034 KHX590015:KIA590034 KRT590015:KRW590034 LBP590015:LBS590034 LLL590015:LLO590034 LVH590015:LVK590034 MFD590015:MFG590034 MOZ590015:MPC590034 MYV590015:MYY590034 NIR590015:NIU590034 NSN590015:NSQ590034 OCJ590015:OCM590034 OMF590015:OMI590034 OWB590015:OWE590034 PFX590015:PGA590034 PPT590015:PPW590034 PZP590015:PZS590034 QJL590015:QJO590034 QTH590015:QTK590034 RDD590015:RDG590034 RMZ590015:RNC590034 RWV590015:RWY590034 SGR590015:SGU590034 SQN590015:SQQ590034 TAJ590015:TAM590034 TKF590015:TKI590034 TUB590015:TUE590034 UDX590015:UEA590034 UNT590015:UNW590034 UXP590015:UXS590034 VHL590015:VHO590034 VRH590015:VRK590034 WBD590015:WBG590034 WKZ590015:WLC590034 WUV590015:WUY590034 D655552:G655571 IJ655551:IM655570 SF655551:SI655570 ACB655551:ACE655570 ALX655551:AMA655570 AVT655551:AVW655570 BFP655551:BFS655570 BPL655551:BPO655570 BZH655551:BZK655570 CJD655551:CJG655570 CSZ655551:CTC655570 DCV655551:DCY655570 DMR655551:DMU655570 DWN655551:DWQ655570 EGJ655551:EGM655570 EQF655551:EQI655570 FAB655551:FAE655570 FJX655551:FKA655570 FTT655551:FTW655570 GDP655551:GDS655570 GNL655551:GNO655570 GXH655551:GXK655570 HHD655551:HHG655570 HQZ655551:HRC655570 IAV655551:IAY655570 IKR655551:IKU655570 IUN655551:IUQ655570 JEJ655551:JEM655570 JOF655551:JOI655570 JYB655551:JYE655570 KHX655551:KIA655570 KRT655551:KRW655570 LBP655551:LBS655570 LLL655551:LLO655570 LVH655551:LVK655570 MFD655551:MFG655570 MOZ655551:MPC655570 MYV655551:MYY655570 NIR655551:NIU655570 NSN655551:NSQ655570 OCJ655551:OCM655570 OMF655551:OMI655570 OWB655551:OWE655570 PFX655551:PGA655570 PPT655551:PPW655570 PZP655551:PZS655570 QJL655551:QJO655570 QTH655551:QTK655570 RDD655551:RDG655570 RMZ655551:RNC655570 RWV655551:RWY655570 SGR655551:SGU655570 SQN655551:SQQ655570 TAJ655551:TAM655570 TKF655551:TKI655570 TUB655551:TUE655570 UDX655551:UEA655570 UNT655551:UNW655570 UXP655551:UXS655570 VHL655551:VHO655570 VRH655551:VRK655570 WBD655551:WBG655570 WKZ655551:WLC655570 WUV655551:WUY655570 D721088:G721107 IJ721087:IM721106 SF721087:SI721106 ACB721087:ACE721106 ALX721087:AMA721106 AVT721087:AVW721106 BFP721087:BFS721106 BPL721087:BPO721106 BZH721087:BZK721106 CJD721087:CJG721106 CSZ721087:CTC721106 DCV721087:DCY721106 DMR721087:DMU721106 DWN721087:DWQ721106 EGJ721087:EGM721106 EQF721087:EQI721106 FAB721087:FAE721106 FJX721087:FKA721106 FTT721087:FTW721106 GDP721087:GDS721106 GNL721087:GNO721106 GXH721087:GXK721106 HHD721087:HHG721106 HQZ721087:HRC721106 IAV721087:IAY721106 IKR721087:IKU721106 IUN721087:IUQ721106 JEJ721087:JEM721106 JOF721087:JOI721106 JYB721087:JYE721106 KHX721087:KIA721106 KRT721087:KRW721106 LBP721087:LBS721106 LLL721087:LLO721106 LVH721087:LVK721106 MFD721087:MFG721106 MOZ721087:MPC721106 MYV721087:MYY721106 NIR721087:NIU721106 NSN721087:NSQ721106 OCJ721087:OCM721106 OMF721087:OMI721106 OWB721087:OWE721106 PFX721087:PGA721106 PPT721087:PPW721106 PZP721087:PZS721106 QJL721087:QJO721106 QTH721087:QTK721106 RDD721087:RDG721106 RMZ721087:RNC721106 RWV721087:RWY721106 SGR721087:SGU721106 SQN721087:SQQ721106 TAJ721087:TAM721106 TKF721087:TKI721106 TUB721087:TUE721106 UDX721087:UEA721106 UNT721087:UNW721106 UXP721087:UXS721106 VHL721087:VHO721106 VRH721087:VRK721106 WBD721087:WBG721106 WKZ721087:WLC721106 WUV721087:WUY721106 D786624:G786643 IJ786623:IM786642 SF786623:SI786642 ACB786623:ACE786642 ALX786623:AMA786642 AVT786623:AVW786642 BFP786623:BFS786642 BPL786623:BPO786642 BZH786623:BZK786642 CJD786623:CJG786642 CSZ786623:CTC786642 DCV786623:DCY786642 DMR786623:DMU786642 DWN786623:DWQ786642 EGJ786623:EGM786642 EQF786623:EQI786642 FAB786623:FAE786642 FJX786623:FKA786642 FTT786623:FTW786642 GDP786623:GDS786642 GNL786623:GNO786642 GXH786623:GXK786642 HHD786623:HHG786642 HQZ786623:HRC786642 IAV786623:IAY786642 IKR786623:IKU786642 IUN786623:IUQ786642 JEJ786623:JEM786642 JOF786623:JOI786642 JYB786623:JYE786642 KHX786623:KIA786642 KRT786623:KRW786642 LBP786623:LBS786642 LLL786623:LLO786642 LVH786623:LVK786642 MFD786623:MFG786642 MOZ786623:MPC786642 MYV786623:MYY786642 NIR786623:NIU786642 NSN786623:NSQ786642 OCJ786623:OCM786642 OMF786623:OMI786642 OWB786623:OWE786642 PFX786623:PGA786642 PPT786623:PPW786642 PZP786623:PZS786642 QJL786623:QJO786642 QTH786623:QTK786642 RDD786623:RDG786642 RMZ786623:RNC786642 RWV786623:RWY786642 SGR786623:SGU786642 SQN786623:SQQ786642 TAJ786623:TAM786642 TKF786623:TKI786642 TUB786623:TUE786642 UDX786623:UEA786642 UNT786623:UNW786642 UXP786623:UXS786642 VHL786623:VHO786642 VRH786623:VRK786642 WBD786623:WBG786642 WKZ786623:WLC786642 WUV786623:WUY786642 D852160:G852179 IJ852159:IM852178 SF852159:SI852178 ACB852159:ACE852178 ALX852159:AMA852178 AVT852159:AVW852178 BFP852159:BFS852178 BPL852159:BPO852178 BZH852159:BZK852178 CJD852159:CJG852178 CSZ852159:CTC852178 DCV852159:DCY852178 DMR852159:DMU852178 DWN852159:DWQ852178 EGJ852159:EGM852178 EQF852159:EQI852178 FAB852159:FAE852178 FJX852159:FKA852178 FTT852159:FTW852178 GDP852159:GDS852178 GNL852159:GNO852178 GXH852159:GXK852178 HHD852159:HHG852178 HQZ852159:HRC852178 IAV852159:IAY852178 IKR852159:IKU852178 IUN852159:IUQ852178 JEJ852159:JEM852178 JOF852159:JOI852178 JYB852159:JYE852178 KHX852159:KIA852178 KRT852159:KRW852178 LBP852159:LBS852178 LLL852159:LLO852178 LVH852159:LVK852178 MFD852159:MFG852178 MOZ852159:MPC852178 MYV852159:MYY852178 NIR852159:NIU852178 NSN852159:NSQ852178 OCJ852159:OCM852178 OMF852159:OMI852178 OWB852159:OWE852178 PFX852159:PGA852178 PPT852159:PPW852178 PZP852159:PZS852178 QJL852159:QJO852178 QTH852159:QTK852178 RDD852159:RDG852178 RMZ852159:RNC852178 RWV852159:RWY852178 SGR852159:SGU852178 SQN852159:SQQ852178 TAJ852159:TAM852178 TKF852159:TKI852178 TUB852159:TUE852178 UDX852159:UEA852178 UNT852159:UNW852178 UXP852159:UXS852178 VHL852159:VHO852178 VRH852159:VRK852178 WBD852159:WBG852178 WKZ852159:WLC852178 WUV852159:WUY852178 D917696:G917715 IJ917695:IM917714 SF917695:SI917714 ACB917695:ACE917714 ALX917695:AMA917714 AVT917695:AVW917714 BFP917695:BFS917714 BPL917695:BPO917714 BZH917695:BZK917714 CJD917695:CJG917714 CSZ917695:CTC917714 DCV917695:DCY917714 DMR917695:DMU917714 DWN917695:DWQ917714 EGJ917695:EGM917714 EQF917695:EQI917714 FAB917695:FAE917714 FJX917695:FKA917714 FTT917695:FTW917714 GDP917695:GDS917714 GNL917695:GNO917714 GXH917695:GXK917714 HHD917695:HHG917714 HQZ917695:HRC917714 IAV917695:IAY917714 IKR917695:IKU917714 IUN917695:IUQ917714 JEJ917695:JEM917714 JOF917695:JOI917714 JYB917695:JYE917714 KHX917695:KIA917714 KRT917695:KRW917714 LBP917695:LBS917714 LLL917695:LLO917714 LVH917695:LVK917714 MFD917695:MFG917714 MOZ917695:MPC917714 MYV917695:MYY917714 NIR917695:NIU917714 NSN917695:NSQ917714 OCJ917695:OCM917714 OMF917695:OMI917714 OWB917695:OWE917714 PFX917695:PGA917714 PPT917695:PPW917714 PZP917695:PZS917714 QJL917695:QJO917714 QTH917695:QTK917714 RDD917695:RDG917714 RMZ917695:RNC917714 RWV917695:RWY917714 SGR917695:SGU917714 SQN917695:SQQ917714 TAJ917695:TAM917714 TKF917695:TKI917714 TUB917695:TUE917714 UDX917695:UEA917714 UNT917695:UNW917714 UXP917695:UXS917714 VHL917695:VHO917714 VRH917695:VRK917714 WBD917695:WBG917714 WKZ917695:WLC917714 WUV917695:WUY917714 D983232:G983251 IJ983231:IM983250 SF983231:SI983250 ACB983231:ACE983250 ALX983231:AMA983250 AVT983231:AVW983250 BFP983231:BFS983250 BPL983231:BPO983250 BZH983231:BZK983250 CJD983231:CJG983250 CSZ983231:CTC983250 DCV983231:DCY983250 DMR983231:DMU983250 DWN983231:DWQ983250 EGJ983231:EGM983250 EQF983231:EQI983250 FAB983231:FAE983250 FJX983231:FKA983250 FTT983231:FTW983250 GDP983231:GDS983250 GNL983231:GNO983250 GXH983231:GXK983250 HHD983231:HHG983250 HQZ983231:HRC983250 IAV983231:IAY983250 IKR983231:IKU983250 IUN983231:IUQ983250 JEJ983231:JEM983250 JOF983231:JOI983250 JYB983231:JYE983250 KHX983231:KIA983250 KRT983231:KRW983250 LBP983231:LBS983250 LLL983231:LLO983250 LVH983231:LVK983250 MFD983231:MFG983250 MOZ983231:MPC983250 MYV983231:MYY983250 NIR983231:NIU983250 NSN983231:NSQ983250 OCJ983231:OCM983250 OMF983231:OMI983250 OWB983231:OWE983250 PFX983231:PGA983250 PPT983231:PPW983250 PZP983231:PZS983250 QJL983231:QJO983250 QTH983231:QTK983250 RDD983231:RDG983250 RMZ983231:RNC983250 RWV983231:RWY983250 SGR983231:SGU983250 SQN983231:SQQ983250 TAJ983231:TAM983250 TKF983231:TKI983250 TUB983231:TUE983250 UDX983231:UEA983250 UNT983231:UNW983250 UXP983231:UXS983250 VHL983231:VHO983250 VRH983231:VRK983250 WBD983231:WBG983250 WKZ983231:WLC983250 WUV983231:WUY983250 VHL983032:VHO983051 IJ170:IM189 SF170:SI189 ACB170:ACE189 ALX170:AMA189 AVT170:AVW189 BFP170:BFS189 BPL170:BPO189 BZH170:BZK189 CJD170:CJG189 CSZ170:CTC189 DCV170:DCY189 DMR170:DMU189 DWN170:DWQ189 EGJ170:EGM189 EQF170:EQI189 FAB170:FAE189 FJX170:FKA189 FTT170:FTW189 GDP170:GDS189 GNL170:GNO189 GXH170:GXK189 HHD170:HHG189 HQZ170:HRC189 IAV170:IAY189 IKR170:IKU189 IUN170:IUQ189 JEJ170:JEM189 JOF170:JOI189 JYB170:JYE189 KHX170:KIA189 KRT170:KRW189 LBP170:LBS189 LLL170:LLO189 LVH170:LVK189 MFD170:MFG189 MOZ170:MPC189 MYV170:MYY189 NIR170:NIU189 NSN170:NSQ189 OCJ170:OCM189 OMF170:OMI189 OWB170:OWE189 PFX170:PGA189 PPT170:PPW189 PZP170:PZS189 QJL170:QJO189 QTH170:QTK189 RDD170:RDG189 RMZ170:RNC189 RWV170:RWY189 SGR170:SGU189 SQN170:SQQ189 TAJ170:TAM189 TKF170:TKI189 TUB170:TUE189 UDX170:UEA189 UNT170:UNW189 UXP170:UXS189 VHL170:VHO189 VRH170:VRK189 WBD170:WBG189 WKZ170:WLC189 WUV170:WUY189 D65705:G65724 IJ65704:IM65723 SF65704:SI65723 ACB65704:ACE65723 ALX65704:AMA65723 AVT65704:AVW65723 BFP65704:BFS65723 BPL65704:BPO65723 BZH65704:BZK65723 CJD65704:CJG65723 CSZ65704:CTC65723 DCV65704:DCY65723 DMR65704:DMU65723 DWN65704:DWQ65723 EGJ65704:EGM65723 EQF65704:EQI65723 FAB65704:FAE65723 FJX65704:FKA65723 FTT65704:FTW65723 GDP65704:GDS65723 GNL65704:GNO65723 GXH65704:GXK65723 HHD65704:HHG65723 HQZ65704:HRC65723 IAV65704:IAY65723 IKR65704:IKU65723 IUN65704:IUQ65723 JEJ65704:JEM65723 JOF65704:JOI65723 JYB65704:JYE65723 KHX65704:KIA65723 KRT65704:KRW65723 LBP65704:LBS65723 LLL65704:LLO65723 LVH65704:LVK65723 MFD65704:MFG65723 MOZ65704:MPC65723 MYV65704:MYY65723 NIR65704:NIU65723 NSN65704:NSQ65723 OCJ65704:OCM65723 OMF65704:OMI65723 OWB65704:OWE65723 PFX65704:PGA65723 PPT65704:PPW65723 PZP65704:PZS65723 QJL65704:QJO65723 QTH65704:QTK65723 RDD65704:RDG65723 RMZ65704:RNC65723 RWV65704:RWY65723 SGR65704:SGU65723 SQN65704:SQQ65723 TAJ65704:TAM65723 TKF65704:TKI65723 TUB65704:TUE65723 UDX65704:UEA65723 UNT65704:UNW65723 UXP65704:UXS65723 VHL65704:VHO65723 VRH65704:VRK65723 WBD65704:WBG65723 WKZ65704:WLC65723 WUV65704:WUY65723 D131241:G131260 IJ131240:IM131259 SF131240:SI131259 ACB131240:ACE131259 ALX131240:AMA131259 AVT131240:AVW131259 BFP131240:BFS131259 BPL131240:BPO131259 BZH131240:BZK131259 CJD131240:CJG131259 CSZ131240:CTC131259 DCV131240:DCY131259 DMR131240:DMU131259 DWN131240:DWQ131259 EGJ131240:EGM131259 EQF131240:EQI131259 FAB131240:FAE131259 FJX131240:FKA131259 FTT131240:FTW131259 GDP131240:GDS131259 GNL131240:GNO131259 GXH131240:GXK131259 HHD131240:HHG131259 HQZ131240:HRC131259 IAV131240:IAY131259 IKR131240:IKU131259 IUN131240:IUQ131259 JEJ131240:JEM131259 JOF131240:JOI131259 JYB131240:JYE131259 KHX131240:KIA131259 KRT131240:KRW131259 LBP131240:LBS131259 LLL131240:LLO131259 LVH131240:LVK131259 MFD131240:MFG131259 MOZ131240:MPC131259 MYV131240:MYY131259 NIR131240:NIU131259 NSN131240:NSQ131259 OCJ131240:OCM131259 OMF131240:OMI131259 OWB131240:OWE131259 PFX131240:PGA131259 PPT131240:PPW131259 PZP131240:PZS131259 QJL131240:QJO131259 QTH131240:QTK131259 RDD131240:RDG131259 RMZ131240:RNC131259 RWV131240:RWY131259 SGR131240:SGU131259 SQN131240:SQQ131259 TAJ131240:TAM131259 TKF131240:TKI131259 TUB131240:TUE131259 UDX131240:UEA131259 UNT131240:UNW131259 UXP131240:UXS131259 VHL131240:VHO131259 VRH131240:VRK131259 WBD131240:WBG131259 WKZ131240:WLC131259 WUV131240:WUY131259 D196777:G196796 IJ196776:IM196795 SF196776:SI196795 ACB196776:ACE196795 ALX196776:AMA196795 AVT196776:AVW196795 BFP196776:BFS196795 BPL196776:BPO196795 BZH196776:BZK196795 CJD196776:CJG196795 CSZ196776:CTC196795 DCV196776:DCY196795 DMR196776:DMU196795 DWN196776:DWQ196795 EGJ196776:EGM196795 EQF196776:EQI196795 FAB196776:FAE196795 FJX196776:FKA196795 FTT196776:FTW196795 GDP196776:GDS196795 GNL196776:GNO196795 GXH196776:GXK196795 HHD196776:HHG196795 HQZ196776:HRC196795 IAV196776:IAY196795 IKR196776:IKU196795 IUN196776:IUQ196795 JEJ196776:JEM196795 JOF196776:JOI196795 JYB196776:JYE196795 KHX196776:KIA196795 KRT196776:KRW196795 LBP196776:LBS196795 LLL196776:LLO196795 LVH196776:LVK196795 MFD196776:MFG196795 MOZ196776:MPC196795 MYV196776:MYY196795 NIR196776:NIU196795 NSN196776:NSQ196795 OCJ196776:OCM196795 OMF196776:OMI196795 OWB196776:OWE196795 PFX196776:PGA196795 PPT196776:PPW196795 PZP196776:PZS196795 QJL196776:QJO196795 QTH196776:QTK196795 RDD196776:RDG196795 RMZ196776:RNC196795 RWV196776:RWY196795 SGR196776:SGU196795 SQN196776:SQQ196795 TAJ196776:TAM196795 TKF196776:TKI196795 TUB196776:TUE196795 UDX196776:UEA196795 UNT196776:UNW196795 UXP196776:UXS196795 VHL196776:VHO196795 VRH196776:VRK196795 WBD196776:WBG196795 WKZ196776:WLC196795 WUV196776:WUY196795 D262313:G262332 IJ262312:IM262331 SF262312:SI262331 ACB262312:ACE262331 ALX262312:AMA262331 AVT262312:AVW262331 BFP262312:BFS262331 BPL262312:BPO262331 BZH262312:BZK262331 CJD262312:CJG262331 CSZ262312:CTC262331 DCV262312:DCY262331 DMR262312:DMU262331 DWN262312:DWQ262331 EGJ262312:EGM262331 EQF262312:EQI262331 FAB262312:FAE262331 FJX262312:FKA262331 FTT262312:FTW262331 GDP262312:GDS262331 GNL262312:GNO262331 GXH262312:GXK262331 HHD262312:HHG262331 HQZ262312:HRC262331 IAV262312:IAY262331 IKR262312:IKU262331 IUN262312:IUQ262331 JEJ262312:JEM262331 JOF262312:JOI262331 JYB262312:JYE262331 KHX262312:KIA262331 KRT262312:KRW262331 LBP262312:LBS262331 LLL262312:LLO262331 LVH262312:LVK262331 MFD262312:MFG262331 MOZ262312:MPC262331 MYV262312:MYY262331 NIR262312:NIU262331 NSN262312:NSQ262331 OCJ262312:OCM262331 OMF262312:OMI262331 OWB262312:OWE262331 PFX262312:PGA262331 PPT262312:PPW262331 PZP262312:PZS262331 QJL262312:QJO262331 QTH262312:QTK262331 RDD262312:RDG262331 RMZ262312:RNC262331 RWV262312:RWY262331 SGR262312:SGU262331 SQN262312:SQQ262331 TAJ262312:TAM262331 TKF262312:TKI262331 TUB262312:TUE262331 UDX262312:UEA262331 UNT262312:UNW262331 UXP262312:UXS262331 VHL262312:VHO262331 VRH262312:VRK262331 WBD262312:WBG262331 WKZ262312:WLC262331 WUV262312:WUY262331 D327849:G327868 IJ327848:IM327867 SF327848:SI327867 ACB327848:ACE327867 ALX327848:AMA327867 AVT327848:AVW327867 BFP327848:BFS327867 BPL327848:BPO327867 BZH327848:BZK327867 CJD327848:CJG327867 CSZ327848:CTC327867 DCV327848:DCY327867 DMR327848:DMU327867 DWN327848:DWQ327867 EGJ327848:EGM327867 EQF327848:EQI327867 FAB327848:FAE327867 FJX327848:FKA327867 FTT327848:FTW327867 GDP327848:GDS327867 GNL327848:GNO327867 GXH327848:GXK327867 HHD327848:HHG327867 HQZ327848:HRC327867 IAV327848:IAY327867 IKR327848:IKU327867 IUN327848:IUQ327867 JEJ327848:JEM327867 JOF327848:JOI327867 JYB327848:JYE327867 KHX327848:KIA327867 KRT327848:KRW327867 LBP327848:LBS327867 LLL327848:LLO327867 LVH327848:LVK327867 MFD327848:MFG327867 MOZ327848:MPC327867 MYV327848:MYY327867 NIR327848:NIU327867 NSN327848:NSQ327867 OCJ327848:OCM327867 OMF327848:OMI327867 OWB327848:OWE327867 PFX327848:PGA327867 PPT327848:PPW327867 PZP327848:PZS327867 QJL327848:QJO327867 QTH327848:QTK327867 RDD327848:RDG327867 RMZ327848:RNC327867 RWV327848:RWY327867 SGR327848:SGU327867 SQN327848:SQQ327867 TAJ327848:TAM327867 TKF327848:TKI327867 TUB327848:TUE327867 UDX327848:UEA327867 UNT327848:UNW327867 UXP327848:UXS327867 VHL327848:VHO327867 VRH327848:VRK327867 WBD327848:WBG327867 WKZ327848:WLC327867 WUV327848:WUY327867 D393385:G393404 IJ393384:IM393403 SF393384:SI393403 ACB393384:ACE393403 ALX393384:AMA393403 AVT393384:AVW393403 BFP393384:BFS393403 BPL393384:BPO393403 BZH393384:BZK393403 CJD393384:CJG393403 CSZ393384:CTC393403 DCV393384:DCY393403 DMR393384:DMU393403 DWN393384:DWQ393403 EGJ393384:EGM393403 EQF393384:EQI393403 FAB393384:FAE393403 FJX393384:FKA393403 FTT393384:FTW393403 GDP393384:GDS393403 GNL393384:GNO393403 GXH393384:GXK393403 HHD393384:HHG393403 HQZ393384:HRC393403 IAV393384:IAY393403 IKR393384:IKU393403 IUN393384:IUQ393403 JEJ393384:JEM393403 JOF393384:JOI393403 JYB393384:JYE393403 KHX393384:KIA393403 KRT393384:KRW393403 LBP393384:LBS393403 LLL393384:LLO393403 LVH393384:LVK393403 MFD393384:MFG393403 MOZ393384:MPC393403 MYV393384:MYY393403 NIR393384:NIU393403 NSN393384:NSQ393403 OCJ393384:OCM393403 OMF393384:OMI393403 OWB393384:OWE393403 PFX393384:PGA393403 PPT393384:PPW393403 PZP393384:PZS393403 QJL393384:QJO393403 QTH393384:QTK393403 RDD393384:RDG393403 RMZ393384:RNC393403 RWV393384:RWY393403 SGR393384:SGU393403 SQN393384:SQQ393403 TAJ393384:TAM393403 TKF393384:TKI393403 TUB393384:TUE393403 UDX393384:UEA393403 UNT393384:UNW393403 UXP393384:UXS393403 VHL393384:VHO393403 VRH393384:VRK393403 WBD393384:WBG393403 WKZ393384:WLC393403 WUV393384:WUY393403 D458921:G458940 IJ458920:IM458939 SF458920:SI458939 ACB458920:ACE458939 ALX458920:AMA458939 AVT458920:AVW458939 BFP458920:BFS458939 BPL458920:BPO458939 BZH458920:BZK458939 CJD458920:CJG458939 CSZ458920:CTC458939 DCV458920:DCY458939 DMR458920:DMU458939 DWN458920:DWQ458939 EGJ458920:EGM458939 EQF458920:EQI458939 FAB458920:FAE458939 FJX458920:FKA458939 FTT458920:FTW458939 GDP458920:GDS458939 GNL458920:GNO458939 GXH458920:GXK458939 HHD458920:HHG458939 HQZ458920:HRC458939 IAV458920:IAY458939 IKR458920:IKU458939 IUN458920:IUQ458939 JEJ458920:JEM458939 JOF458920:JOI458939 JYB458920:JYE458939 KHX458920:KIA458939 KRT458920:KRW458939 LBP458920:LBS458939 LLL458920:LLO458939 LVH458920:LVK458939 MFD458920:MFG458939 MOZ458920:MPC458939 MYV458920:MYY458939 NIR458920:NIU458939 NSN458920:NSQ458939 OCJ458920:OCM458939 OMF458920:OMI458939 OWB458920:OWE458939 PFX458920:PGA458939 PPT458920:PPW458939 PZP458920:PZS458939 QJL458920:QJO458939 QTH458920:QTK458939 RDD458920:RDG458939 RMZ458920:RNC458939 RWV458920:RWY458939 SGR458920:SGU458939 SQN458920:SQQ458939 TAJ458920:TAM458939 TKF458920:TKI458939 TUB458920:TUE458939 UDX458920:UEA458939 UNT458920:UNW458939 UXP458920:UXS458939 VHL458920:VHO458939 VRH458920:VRK458939 WBD458920:WBG458939 WKZ458920:WLC458939 WUV458920:WUY458939 D524457:G524476 IJ524456:IM524475 SF524456:SI524475 ACB524456:ACE524475 ALX524456:AMA524475 AVT524456:AVW524475 BFP524456:BFS524475 BPL524456:BPO524475 BZH524456:BZK524475 CJD524456:CJG524475 CSZ524456:CTC524475 DCV524456:DCY524475 DMR524456:DMU524475 DWN524456:DWQ524475 EGJ524456:EGM524475 EQF524456:EQI524475 FAB524456:FAE524475 FJX524456:FKA524475 FTT524456:FTW524475 GDP524456:GDS524475 GNL524456:GNO524475 GXH524456:GXK524475 HHD524456:HHG524475 HQZ524456:HRC524475 IAV524456:IAY524475 IKR524456:IKU524475 IUN524456:IUQ524475 JEJ524456:JEM524475 JOF524456:JOI524475 JYB524456:JYE524475 KHX524456:KIA524475 KRT524456:KRW524475 LBP524456:LBS524475 LLL524456:LLO524475 LVH524456:LVK524475 MFD524456:MFG524475 MOZ524456:MPC524475 MYV524456:MYY524475 NIR524456:NIU524475 NSN524456:NSQ524475 OCJ524456:OCM524475 OMF524456:OMI524475 OWB524456:OWE524475 PFX524456:PGA524475 PPT524456:PPW524475 PZP524456:PZS524475 QJL524456:QJO524475 QTH524456:QTK524475 RDD524456:RDG524475 RMZ524456:RNC524475 RWV524456:RWY524475 SGR524456:SGU524475 SQN524456:SQQ524475 TAJ524456:TAM524475 TKF524456:TKI524475 TUB524456:TUE524475 UDX524456:UEA524475 UNT524456:UNW524475 UXP524456:UXS524475 VHL524456:VHO524475 VRH524456:VRK524475 WBD524456:WBG524475 WKZ524456:WLC524475 WUV524456:WUY524475 D589993:G590012 IJ589992:IM590011 SF589992:SI590011 ACB589992:ACE590011 ALX589992:AMA590011 AVT589992:AVW590011 BFP589992:BFS590011 BPL589992:BPO590011 BZH589992:BZK590011 CJD589992:CJG590011 CSZ589992:CTC590011 DCV589992:DCY590011 DMR589992:DMU590011 DWN589992:DWQ590011 EGJ589992:EGM590011 EQF589992:EQI590011 FAB589992:FAE590011 FJX589992:FKA590011 FTT589992:FTW590011 GDP589992:GDS590011 GNL589992:GNO590011 GXH589992:GXK590011 HHD589992:HHG590011 HQZ589992:HRC590011 IAV589992:IAY590011 IKR589992:IKU590011 IUN589992:IUQ590011 JEJ589992:JEM590011 JOF589992:JOI590011 JYB589992:JYE590011 KHX589992:KIA590011 KRT589992:KRW590011 LBP589992:LBS590011 LLL589992:LLO590011 LVH589992:LVK590011 MFD589992:MFG590011 MOZ589992:MPC590011 MYV589992:MYY590011 NIR589992:NIU590011 NSN589992:NSQ590011 OCJ589992:OCM590011 OMF589992:OMI590011 OWB589992:OWE590011 PFX589992:PGA590011 PPT589992:PPW590011 PZP589992:PZS590011 QJL589992:QJO590011 QTH589992:QTK590011 RDD589992:RDG590011 RMZ589992:RNC590011 RWV589992:RWY590011 SGR589992:SGU590011 SQN589992:SQQ590011 TAJ589992:TAM590011 TKF589992:TKI590011 TUB589992:TUE590011 UDX589992:UEA590011 UNT589992:UNW590011 UXP589992:UXS590011 VHL589992:VHO590011 VRH589992:VRK590011 WBD589992:WBG590011 WKZ589992:WLC590011 WUV589992:WUY590011 D655529:G655548 IJ655528:IM655547 SF655528:SI655547 ACB655528:ACE655547 ALX655528:AMA655547 AVT655528:AVW655547 BFP655528:BFS655547 BPL655528:BPO655547 BZH655528:BZK655547 CJD655528:CJG655547 CSZ655528:CTC655547 DCV655528:DCY655547 DMR655528:DMU655547 DWN655528:DWQ655547 EGJ655528:EGM655547 EQF655528:EQI655547 FAB655528:FAE655547 FJX655528:FKA655547 FTT655528:FTW655547 GDP655528:GDS655547 GNL655528:GNO655547 GXH655528:GXK655547 HHD655528:HHG655547 HQZ655528:HRC655547 IAV655528:IAY655547 IKR655528:IKU655547 IUN655528:IUQ655547 JEJ655528:JEM655547 JOF655528:JOI655547 JYB655528:JYE655547 KHX655528:KIA655547 KRT655528:KRW655547 LBP655528:LBS655547 LLL655528:LLO655547 LVH655528:LVK655547 MFD655528:MFG655547 MOZ655528:MPC655547 MYV655528:MYY655547 NIR655528:NIU655547 NSN655528:NSQ655547 OCJ655528:OCM655547 OMF655528:OMI655547 OWB655528:OWE655547 PFX655528:PGA655547 PPT655528:PPW655547 PZP655528:PZS655547 QJL655528:QJO655547 QTH655528:QTK655547 RDD655528:RDG655547 RMZ655528:RNC655547 RWV655528:RWY655547 SGR655528:SGU655547 SQN655528:SQQ655547 TAJ655528:TAM655547 TKF655528:TKI655547 TUB655528:TUE655547 UDX655528:UEA655547 UNT655528:UNW655547 UXP655528:UXS655547 VHL655528:VHO655547 VRH655528:VRK655547 WBD655528:WBG655547 WKZ655528:WLC655547 WUV655528:WUY655547 D721065:G721084 IJ721064:IM721083 SF721064:SI721083 ACB721064:ACE721083 ALX721064:AMA721083 AVT721064:AVW721083 BFP721064:BFS721083 BPL721064:BPO721083 BZH721064:BZK721083 CJD721064:CJG721083 CSZ721064:CTC721083 DCV721064:DCY721083 DMR721064:DMU721083 DWN721064:DWQ721083 EGJ721064:EGM721083 EQF721064:EQI721083 FAB721064:FAE721083 FJX721064:FKA721083 FTT721064:FTW721083 GDP721064:GDS721083 GNL721064:GNO721083 GXH721064:GXK721083 HHD721064:HHG721083 HQZ721064:HRC721083 IAV721064:IAY721083 IKR721064:IKU721083 IUN721064:IUQ721083 JEJ721064:JEM721083 JOF721064:JOI721083 JYB721064:JYE721083 KHX721064:KIA721083 KRT721064:KRW721083 LBP721064:LBS721083 LLL721064:LLO721083 LVH721064:LVK721083 MFD721064:MFG721083 MOZ721064:MPC721083 MYV721064:MYY721083 NIR721064:NIU721083 NSN721064:NSQ721083 OCJ721064:OCM721083 OMF721064:OMI721083 OWB721064:OWE721083 PFX721064:PGA721083 PPT721064:PPW721083 PZP721064:PZS721083 QJL721064:QJO721083 QTH721064:QTK721083 RDD721064:RDG721083 RMZ721064:RNC721083 RWV721064:RWY721083 SGR721064:SGU721083 SQN721064:SQQ721083 TAJ721064:TAM721083 TKF721064:TKI721083 TUB721064:TUE721083 UDX721064:UEA721083 UNT721064:UNW721083 UXP721064:UXS721083 VHL721064:VHO721083 VRH721064:VRK721083 WBD721064:WBG721083 WKZ721064:WLC721083 WUV721064:WUY721083 D786601:G786620 IJ786600:IM786619 SF786600:SI786619 ACB786600:ACE786619 ALX786600:AMA786619 AVT786600:AVW786619 BFP786600:BFS786619 BPL786600:BPO786619 BZH786600:BZK786619 CJD786600:CJG786619 CSZ786600:CTC786619 DCV786600:DCY786619 DMR786600:DMU786619 DWN786600:DWQ786619 EGJ786600:EGM786619 EQF786600:EQI786619 FAB786600:FAE786619 FJX786600:FKA786619 FTT786600:FTW786619 GDP786600:GDS786619 GNL786600:GNO786619 GXH786600:GXK786619 HHD786600:HHG786619 HQZ786600:HRC786619 IAV786600:IAY786619 IKR786600:IKU786619 IUN786600:IUQ786619 JEJ786600:JEM786619 JOF786600:JOI786619 JYB786600:JYE786619 KHX786600:KIA786619 KRT786600:KRW786619 LBP786600:LBS786619 LLL786600:LLO786619 LVH786600:LVK786619 MFD786600:MFG786619 MOZ786600:MPC786619 MYV786600:MYY786619 NIR786600:NIU786619 NSN786600:NSQ786619 OCJ786600:OCM786619 OMF786600:OMI786619 OWB786600:OWE786619 PFX786600:PGA786619 PPT786600:PPW786619 PZP786600:PZS786619 QJL786600:QJO786619 QTH786600:QTK786619 RDD786600:RDG786619 RMZ786600:RNC786619 RWV786600:RWY786619 SGR786600:SGU786619 SQN786600:SQQ786619 TAJ786600:TAM786619 TKF786600:TKI786619 TUB786600:TUE786619 UDX786600:UEA786619 UNT786600:UNW786619 UXP786600:UXS786619 VHL786600:VHO786619 VRH786600:VRK786619 WBD786600:WBG786619 WKZ786600:WLC786619 WUV786600:WUY786619 D852137:G852156 IJ852136:IM852155 SF852136:SI852155 ACB852136:ACE852155 ALX852136:AMA852155 AVT852136:AVW852155 BFP852136:BFS852155 BPL852136:BPO852155 BZH852136:BZK852155 CJD852136:CJG852155 CSZ852136:CTC852155 DCV852136:DCY852155 DMR852136:DMU852155 DWN852136:DWQ852155 EGJ852136:EGM852155 EQF852136:EQI852155 FAB852136:FAE852155 FJX852136:FKA852155 FTT852136:FTW852155 GDP852136:GDS852155 GNL852136:GNO852155 GXH852136:GXK852155 HHD852136:HHG852155 HQZ852136:HRC852155 IAV852136:IAY852155 IKR852136:IKU852155 IUN852136:IUQ852155 JEJ852136:JEM852155 JOF852136:JOI852155 JYB852136:JYE852155 KHX852136:KIA852155 KRT852136:KRW852155 LBP852136:LBS852155 LLL852136:LLO852155 LVH852136:LVK852155 MFD852136:MFG852155 MOZ852136:MPC852155 MYV852136:MYY852155 NIR852136:NIU852155 NSN852136:NSQ852155 OCJ852136:OCM852155 OMF852136:OMI852155 OWB852136:OWE852155 PFX852136:PGA852155 PPT852136:PPW852155 PZP852136:PZS852155 QJL852136:QJO852155 QTH852136:QTK852155 RDD852136:RDG852155 RMZ852136:RNC852155 RWV852136:RWY852155 SGR852136:SGU852155 SQN852136:SQQ852155 TAJ852136:TAM852155 TKF852136:TKI852155 TUB852136:TUE852155 UDX852136:UEA852155 UNT852136:UNW852155 UXP852136:UXS852155 VHL852136:VHO852155 VRH852136:VRK852155 WBD852136:WBG852155 WKZ852136:WLC852155 WUV852136:WUY852155 D917673:G917692 IJ917672:IM917691 SF917672:SI917691 ACB917672:ACE917691 ALX917672:AMA917691 AVT917672:AVW917691 BFP917672:BFS917691 BPL917672:BPO917691 BZH917672:BZK917691 CJD917672:CJG917691 CSZ917672:CTC917691 DCV917672:DCY917691 DMR917672:DMU917691 DWN917672:DWQ917691 EGJ917672:EGM917691 EQF917672:EQI917691 FAB917672:FAE917691 FJX917672:FKA917691 FTT917672:FTW917691 GDP917672:GDS917691 GNL917672:GNO917691 GXH917672:GXK917691 HHD917672:HHG917691 HQZ917672:HRC917691 IAV917672:IAY917691 IKR917672:IKU917691 IUN917672:IUQ917691 JEJ917672:JEM917691 JOF917672:JOI917691 JYB917672:JYE917691 KHX917672:KIA917691 KRT917672:KRW917691 LBP917672:LBS917691 LLL917672:LLO917691 LVH917672:LVK917691 MFD917672:MFG917691 MOZ917672:MPC917691 MYV917672:MYY917691 NIR917672:NIU917691 NSN917672:NSQ917691 OCJ917672:OCM917691 OMF917672:OMI917691 OWB917672:OWE917691 PFX917672:PGA917691 PPT917672:PPW917691 PZP917672:PZS917691 QJL917672:QJO917691 QTH917672:QTK917691 RDD917672:RDG917691 RMZ917672:RNC917691 RWV917672:RWY917691 SGR917672:SGU917691 SQN917672:SQQ917691 TAJ917672:TAM917691 TKF917672:TKI917691 TUB917672:TUE917691 UDX917672:UEA917691 UNT917672:UNW917691 UXP917672:UXS917691 VHL917672:VHO917691 VRH917672:VRK917691 WBD917672:WBG917691 WKZ917672:WLC917691 WUV917672:WUY917691 D983209:G983228 IJ983208:IM983227 SF983208:SI983227 ACB983208:ACE983227 ALX983208:AMA983227 AVT983208:AVW983227 BFP983208:BFS983227 BPL983208:BPO983227 BZH983208:BZK983227 CJD983208:CJG983227 CSZ983208:CTC983227 DCV983208:DCY983227 DMR983208:DMU983227 DWN983208:DWQ983227 EGJ983208:EGM983227 EQF983208:EQI983227 FAB983208:FAE983227 FJX983208:FKA983227 FTT983208:FTW983227 GDP983208:GDS983227 GNL983208:GNO983227 GXH983208:GXK983227 HHD983208:HHG983227 HQZ983208:HRC983227 IAV983208:IAY983227 IKR983208:IKU983227 IUN983208:IUQ983227 JEJ983208:JEM983227 JOF983208:JOI983227 JYB983208:JYE983227 KHX983208:KIA983227 KRT983208:KRW983227 LBP983208:LBS983227 LLL983208:LLO983227 LVH983208:LVK983227 MFD983208:MFG983227 MOZ983208:MPC983227 MYV983208:MYY983227 NIR983208:NIU983227 NSN983208:NSQ983227 OCJ983208:OCM983227 OMF983208:OMI983227 OWB983208:OWE983227 PFX983208:PGA983227 PPT983208:PPW983227 PZP983208:PZS983227 QJL983208:QJO983227 QTH983208:QTK983227 RDD983208:RDG983227 RMZ983208:RNC983227 RWV983208:RWY983227 SGR983208:SGU983227 SQN983208:SQQ983227 TAJ983208:TAM983227 TKF983208:TKI983227 TUB983208:TUE983227 UDX983208:UEA983227 UNT983208:UNW983227 UXP983208:UXS983227 VHL983208:VHO983227 VRH983208:VRK983227 WBD983208:WBG983227 WKZ983208:WLC983227 WUV983208:WUY983227 VRH983032:VRK983051 IJ147:IM166 SF147:SI166 ACB147:ACE166 ALX147:AMA166 AVT147:AVW166 BFP147:BFS166 BPL147:BPO166 BZH147:BZK166 CJD147:CJG166 CSZ147:CTC166 DCV147:DCY166 DMR147:DMU166 DWN147:DWQ166 EGJ147:EGM166 EQF147:EQI166 FAB147:FAE166 FJX147:FKA166 FTT147:FTW166 GDP147:GDS166 GNL147:GNO166 GXH147:GXK166 HHD147:HHG166 HQZ147:HRC166 IAV147:IAY166 IKR147:IKU166 IUN147:IUQ166 JEJ147:JEM166 JOF147:JOI166 JYB147:JYE166 KHX147:KIA166 KRT147:KRW166 LBP147:LBS166 LLL147:LLO166 LVH147:LVK166 MFD147:MFG166 MOZ147:MPC166 MYV147:MYY166 NIR147:NIU166 NSN147:NSQ166 OCJ147:OCM166 OMF147:OMI166 OWB147:OWE166 PFX147:PGA166 PPT147:PPW166 PZP147:PZS166 QJL147:QJO166 QTH147:QTK166 RDD147:RDG166 RMZ147:RNC166 RWV147:RWY166 SGR147:SGU166 SQN147:SQQ166 TAJ147:TAM166 TKF147:TKI166 TUB147:TUE166 UDX147:UEA166 UNT147:UNW166 UXP147:UXS166 VHL147:VHO166 VRH147:VRK166 WBD147:WBG166 WKZ147:WLC166 WUV147:WUY166 D65682:G65701 IJ65681:IM65700 SF65681:SI65700 ACB65681:ACE65700 ALX65681:AMA65700 AVT65681:AVW65700 BFP65681:BFS65700 BPL65681:BPO65700 BZH65681:BZK65700 CJD65681:CJG65700 CSZ65681:CTC65700 DCV65681:DCY65700 DMR65681:DMU65700 DWN65681:DWQ65700 EGJ65681:EGM65700 EQF65681:EQI65700 FAB65681:FAE65700 FJX65681:FKA65700 FTT65681:FTW65700 GDP65681:GDS65700 GNL65681:GNO65700 GXH65681:GXK65700 HHD65681:HHG65700 HQZ65681:HRC65700 IAV65681:IAY65700 IKR65681:IKU65700 IUN65681:IUQ65700 JEJ65681:JEM65700 JOF65681:JOI65700 JYB65681:JYE65700 KHX65681:KIA65700 KRT65681:KRW65700 LBP65681:LBS65700 LLL65681:LLO65700 LVH65681:LVK65700 MFD65681:MFG65700 MOZ65681:MPC65700 MYV65681:MYY65700 NIR65681:NIU65700 NSN65681:NSQ65700 OCJ65681:OCM65700 OMF65681:OMI65700 OWB65681:OWE65700 PFX65681:PGA65700 PPT65681:PPW65700 PZP65681:PZS65700 QJL65681:QJO65700 QTH65681:QTK65700 RDD65681:RDG65700 RMZ65681:RNC65700 RWV65681:RWY65700 SGR65681:SGU65700 SQN65681:SQQ65700 TAJ65681:TAM65700 TKF65681:TKI65700 TUB65681:TUE65700 UDX65681:UEA65700 UNT65681:UNW65700 UXP65681:UXS65700 VHL65681:VHO65700 VRH65681:VRK65700 WBD65681:WBG65700 WKZ65681:WLC65700 WUV65681:WUY65700 D131218:G131237 IJ131217:IM131236 SF131217:SI131236 ACB131217:ACE131236 ALX131217:AMA131236 AVT131217:AVW131236 BFP131217:BFS131236 BPL131217:BPO131236 BZH131217:BZK131236 CJD131217:CJG131236 CSZ131217:CTC131236 DCV131217:DCY131236 DMR131217:DMU131236 DWN131217:DWQ131236 EGJ131217:EGM131236 EQF131217:EQI131236 FAB131217:FAE131236 FJX131217:FKA131236 FTT131217:FTW131236 GDP131217:GDS131236 GNL131217:GNO131236 GXH131217:GXK131236 HHD131217:HHG131236 HQZ131217:HRC131236 IAV131217:IAY131236 IKR131217:IKU131236 IUN131217:IUQ131236 JEJ131217:JEM131236 JOF131217:JOI131236 JYB131217:JYE131236 KHX131217:KIA131236 KRT131217:KRW131236 LBP131217:LBS131236 LLL131217:LLO131236 LVH131217:LVK131236 MFD131217:MFG131236 MOZ131217:MPC131236 MYV131217:MYY131236 NIR131217:NIU131236 NSN131217:NSQ131236 OCJ131217:OCM131236 OMF131217:OMI131236 OWB131217:OWE131236 PFX131217:PGA131236 PPT131217:PPW131236 PZP131217:PZS131236 QJL131217:QJO131236 QTH131217:QTK131236 RDD131217:RDG131236 RMZ131217:RNC131236 RWV131217:RWY131236 SGR131217:SGU131236 SQN131217:SQQ131236 TAJ131217:TAM131236 TKF131217:TKI131236 TUB131217:TUE131236 UDX131217:UEA131236 UNT131217:UNW131236 UXP131217:UXS131236 VHL131217:VHO131236 VRH131217:VRK131236 WBD131217:WBG131236 WKZ131217:WLC131236 WUV131217:WUY131236 D196754:G196773 IJ196753:IM196772 SF196753:SI196772 ACB196753:ACE196772 ALX196753:AMA196772 AVT196753:AVW196772 BFP196753:BFS196772 BPL196753:BPO196772 BZH196753:BZK196772 CJD196753:CJG196772 CSZ196753:CTC196772 DCV196753:DCY196772 DMR196753:DMU196772 DWN196753:DWQ196772 EGJ196753:EGM196772 EQF196753:EQI196772 FAB196753:FAE196772 FJX196753:FKA196772 FTT196753:FTW196772 GDP196753:GDS196772 GNL196753:GNO196772 GXH196753:GXK196772 HHD196753:HHG196772 HQZ196753:HRC196772 IAV196753:IAY196772 IKR196753:IKU196772 IUN196753:IUQ196772 JEJ196753:JEM196772 JOF196753:JOI196772 JYB196753:JYE196772 KHX196753:KIA196772 KRT196753:KRW196772 LBP196753:LBS196772 LLL196753:LLO196772 LVH196753:LVK196772 MFD196753:MFG196772 MOZ196753:MPC196772 MYV196753:MYY196772 NIR196753:NIU196772 NSN196753:NSQ196772 OCJ196753:OCM196772 OMF196753:OMI196772 OWB196753:OWE196772 PFX196753:PGA196772 PPT196753:PPW196772 PZP196753:PZS196772 QJL196753:QJO196772 QTH196753:QTK196772 RDD196753:RDG196772 RMZ196753:RNC196772 RWV196753:RWY196772 SGR196753:SGU196772 SQN196753:SQQ196772 TAJ196753:TAM196772 TKF196753:TKI196772 TUB196753:TUE196772 UDX196753:UEA196772 UNT196753:UNW196772 UXP196753:UXS196772 VHL196753:VHO196772 VRH196753:VRK196772 WBD196753:WBG196772 WKZ196753:WLC196772 WUV196753:WUY196772 D262290:G262309 IJ262289:IM262308 SF262289:SI262308 ACB262289:ACE262308 ALX262289:AMA262308 AVT262289:AVW262308 BFP262289:BFS262308 BPL262289:BPO262308 BZH262289:BZK262308 CJD262289:CJG262308 CSZ262289:CTC262308 DCV262289:DCY262308 DMR262289:DMU262308 DWN262289:DWQ262308 EGJ262289:EGM262308 EQF262289:EQI262308 FAB262289:FAE262308 FJX262289:FKA262308 FTT262289:FTW262308 GDP262289:GDS262308 GNL262289:GNO262308 GXH262289:GXK262308 HHD262289:HHG262308 HQZ262289:HRC262308 IAV262289:IAY262308 IKR262289:IKU262308 IUN262289:IUQ262308 JEJ262289:JEM262308 JOF262289:JOI262308 JYB262289:JYE262308 KHX262289:KIA262308 KRT262289:KRW262308 LBP262289:LBS262308 LLL262289:LLO262308 LVH262289:LVK262308 MFD262289:MFG262308 MOZ262289:MPC262308 MYV262289:MYY262308 NIR262289:NIU262308 NSN262289:NSQ262308 OCJ262289:OCM262308 OMF262289:OMI262308 OWB262289:OWE262308 PFX262289:PGA262308 PPT262289:PPW262308 PZP262289:PZS262308 QJL262289:QJO262308 QTH262289:QTK262308 RDD262289:RDG262308 RMZ262289:RNC262308 RWV262289:RWY262308 SGR262289:SGU262308 SQN262289:SQQ262308 TAJ262289:TAM262308 TKF262289:TKI262308 TUB262289:TUE262308 UDX262289:UEA262308 UNT262289:UNW262308 UXP262289:UXS262308 VHL262289:VHO262308 VRH262289:VRK262308 WBD262289:WBG262308 WKZ262289:WLC262308 WUV262289:WUY262308 D327826:G327845 IJ327825:IM327844 SF327825:SI327844 ACB327825:ACE327844 ALX327825:AMA327844 AVT327825:AVW327844 BFP327825:BFS327844 BPL327825:BPO327844 BZH327825:BZK327844 CJD327825:CJG327844 CSZ327825:CTC327844 DCV327825:DCY327844 DMR327825:DMU327844 DWN327825:DWQ327844 EGJ327825:EGM327844 EQF327825:EQI327844 FAB327825:FAE327844 FJX327825:FKA327844 FTT327825:FTW327844 GDP327825:GDS327844 GNL327825:GNO327844 GXH327825:GXK327844 HHD327825:HHG327844 HQZ327825:HRC327844 IAV327825:IAY327844 IKR327825:IKU327844 IUN327825:IUQ327844 JEJ327825:JEM327844 JOF327825:JOI327844 JYB327825:JYE327844 KHX327825:KIA327844 KRT327825:KRW327844 LBP327825:LBS327844 LLL327825:LLO327844 LVH327825:LVK327844 MFD327825:MFG327844 MOZ327825:MPC327844 MYV327825:MYY327844 NIR327825:NIU327844 NSN327825:NSQ327844 OCJ327825:OCM327844 OMF327825:OMI327844 OWB327825:OWE327844 PFX327825:PGA327844 PPT327825:PPW327844 PZP327825:PZS327844 QJL327825:QJO327844 QTH327825:QTK327844 RDD327825:RDG327844 RMZ327825:RNC327844 RWV327825:RWY327844 SGR327825:SGU327844 SQN327825:SQQ327844 TAJ327825:TAM327844 TKF327825:TKI327844 TUB327825:TUE327844 UDX327825:UEA327844 UNT327825:UNW327844 UXP327825:UXS327844 VHL327825:VHO327844 VRH327825:VRK327844 WBD327825:WBG327844 WKZ327825:WLC327844 WUV327825:WUY327844 D393362:G393381 IJ393361:IM393380 SF393361:SI393380 ACB393361:ACE393380 ALX393361:AMA393380 AVT393361:AVW393380 BFP393361:BFS393380 BPL393361:BPO393380 BZH393361:BZK393380 CJD393361:CJG393380 CSZ393361:CTC393380 DCV393361:DCY393380 DMR393361:DMU393380 DWN393361:DWQ393380 EGJ393361:EGM393380 EQF393361:EQI393380 FAB393361:FAE393380 FJX393361:FKA393380 FTT393361:FTW393380 GDP393361:GDS393380 GNL393361:GNO393380 GXH393361:GXK393380 HHD393361:HHG393380 HQZ393361:HRC393380 IAV393361:IAY393380 IKR393361:IKU393380 IUN393361:IUQ393380 JEJ393361:JEM393380 JOF393361:JOI393380 JYB393361:JYE393380 KHX393361:KIA393380 KRT393361:KRW393380 LBP393361:LBS393380 LLL393361:LLO393380 LVH393361:LVK393380 MFD393361:MFG393380 MOZ393361:MPC393380 MYV393361:MYY393380 NIR393361:NIU393380 NSN393361:NSQ393380 OCJ393361:OCM393380 OMF393361:OMI393380 OWB393361:OWE393380 PFX393361:PGA393380 PPT393361:PPW393380 PZP393361:PZS393380 QJL393361:QJO393380 QTH393361:QTK393380 RDD393361:RDG393380 RMZ393361:RNC393380 RWV393361:RWY393380 SGR393361:SGU393380 SQN393361:SQQ393380 TAJ393361:TAM393380 TKF393361:TKI393380 TUB393361:TUE393380 UDX393361:UEA393380 UNT393361:UNW393380 UXP393361:UXS393380 VHL393361:VHO393380 VRH393361:VRK393380 WBD393361:WBG393380 WKZ393361:WLC393380 WUV393361:WUY393380 D458898:G458917 IJ458897:IM458916 SF458897:SI458916 ACB458897:ACE458916 ALX458897:AMA458916 AVT458897:AVW458916 BFP458897:BFS458916 BPL458897:BPO458916 BZH458897:BZK458916 CJD458897:CJG458916 CSZ458897:CTC458916 DCV458897:DCY458916 DMR458897:DMU458916 DWN458897:DWQ458916 EGJ458897:EGM458916 EQF458897:EQI458916 FAB458897:FAE458916 FJX458897:FKA458916 FTT458897:FTW458916 GDP458897:GDS458916 GNL458897:GNO458916 GXH458897:GXK458916 HHD458897:HHG458916 HQZ458897:HRC458916 IAV458897:IAY458916 IKR458897:IKU458916 IUN458897:IUQ458916 JEJ458897:JEM458916 JOF458897:JOI458916 JYB458897:JYE458916 KHX458897:KIA458916 KRT458897:KRW458916 LBP458897:LBS458916 LLL458897:LLO458916 LVH458897:LVK458916 MFD458897:MFG458916 MOZ458897:MPC458916 MYV458897:MYY458916 NIR458897:NIU458916 NSN458897:NSQ458916 OCJ458897:OCM458916 OMF458897:OMI458916 OWB458897:OWE458916 PFX458897:PGA458916 PPT458897:PPW458916 PZP458897:PZS458916 QJL458897:QJO458916 QTH458897:QTK458916 RDD458897:RDG458916 RMZ458897:RNC458916 RWV458897:RWY458916 SGR458897:SGU458916 SQN458897:SQQ458916 TAJ458897:TAM458916 TKF458897:TKI458916 TUB458897:TUE458916 UDX458897:UEA458916 UNT458897:UNW458916 UXP458897:UXS458916 VHL458897:VHO458916 VRH458897:VRK458916 WBD458897:WBG458916 WKZ458897:WLC458916 WUV458897:WUY458916 D524434:G524453 IJ524433:IM524452 SF524433:SI524452 ACB524433:ACE524452 ALX524433:AMA524452 AVT524433:AVW524452 BFP524433:BFS524452 BPL524433:BPO524452 BZH524433:BZK524452 CJD524433:CJG524452 CSZ524433:CTC524452 DCV524433:DCY524452 DMR524433:DMU524452 DWN524433:DWQ524452 EGJ524433:EGM524452 EQF524433:EQI524452 FAB524433:FAE524452 FJX524433:FKA524452 FTT524433:FTW524452 GDP524433:GDS524452 GNL524433:GNO524452 GXH524433:GXK524452 HHD524433:HHG524452 HQZ524433:HRC524452 IAV524433:IAY524452 IKR524433:IKU524452 IUN524433:IUQ524452 JEJ524433:JEM524452 JOF524433:JOI524452 JYB524433:JYE524452 KHX524433:KIA524452 KRT524433:KRW524452 LBP524433:LBS524452 LLL524433:LLO524452 LVH524433:LVK524452 MFD524433:MFG524452 MOZ524433:MPC524452 MYV524433:MYY524452 NIR524433:NIU524452 NSN524433:NSQ524452 OCJ524433:OCM524452 OMF524433:OMI524452 OWB524433:OWE524452 PFX524433:PGA524452 PPT524433:PPW524452 PZP524433:PZS524452 QJL524433:QJO524452 QTH524433:QTK524452 RDD524433:RDG524452 RMZ524433:RNC524452 RWV524433:RWY524452 SGR524433:SGU524452 SQN524433:SQQ524452 TAJ524433:TAM524452 TKF524433:TKI524452 TUB524433:TUE524452 UDX524433:UEA524452 UNT524433:UNW524452 UXP524433:UXS524452 VHL524433:VHO524452 VRH524433:VRK524452 WBD524433:WBG524452 WKZ524433:WLC524452 WUV524433:WUY524452 D589970:G589989 IJ589969:IM589988 SF589969:SI589988 ACB589969:ACE589988 ALX589969:AMA589988 AVT589969:AVW589988 BFP589969:BFS589988 BPL589969:BPO589988 BZH589969:BZK589988 CJD589969:CJG589988 CSZ589969:CTC589988 DCV589969:DCY589988 DMR589969:DMU589988 DWN589969:DWQ589988 EGJ589969:EGM589988 EQF589969:EQI589988 FAB589969:FAE589988 FJX589969:FKA589988 FTT589969:FTW589988 GDP589969:GDS589988 GNL589969:GNO589988 GXH589969:GXK589988 HHD589969:HHG589988 HQZ589969:HRC589988 IAV589969:IAY589988 IKR589969:IKU589988 IUN589969:IUQ589988 JEJ589969:JEM589988 JOF589969:JOI589988 JYB589969:JYE589988 KHX589969:KIA589988 KRT589969:KRW589988 LBP589969:LBS589988 LLL589969:LLO589988 LVH589969:LVK589988 MFD589969:MFG589988 MOZ589969:MPC589988 MYV589969:MYY589988 NIR589969:NIU589988 NSN589969:NSQ589988 OCJ589969:OCM589988 OMF589969:OMI589988 OWB589969:OWE589988 PFX589969:PGA589988 PPT589969:PPW589988 PZP589969:PZS589988 QJL589969:QJO589988 QTH589969:QTK589988 RDD589969:RDG589988 RMZ589969:RNC589988 RWV589969:RWY589988 SGR589969:SGU589988 SQN589969:SQQ589988 TAJ589969:TAM589988 TKF589969:TKI589988 TUB589969:TUE589988 UDX589969:UEA589988 UNT589969:UNW589988 UXP589969:UXS589988 VHL589969:VHO589988 VRH589969:VRK589988 WBD589969:WBG589988 WKZ589969:WLC589988 WUV589969:WUY589988 D655506:G655525 IJ655505:IM655524 SF655505:SI655524 ACB655505:ACE655524 ALX655505:AMA655524 AVT655505:AVW655524 BFP655505:BFS655524 BPL655505:BPO655524 BZH655505:BZK655524 CJD655505:CJG655524 CSZ655505:CTC655524 DCV655505:DCY655524 DMR655505:DMU655524 DWN655505:DWQ655524 EGJ655505:EGM655524 EQF655505:EQI655524 FAB655505:FAE655524 FJX655505:FKA655524 FTT655505:FTW655524 GDP655505:GDS655524 GNL655505:GNO655524 GXH655505:GXK655524 HHD655505:HHG655524 HQZ655505:HRC655524 IAV655505:IAY655524 IKR655505:IKU655524 IUN655505:IUQ655524 JEJ655505:JEM655524 JOF655505:JOI655524 JYB655505:JYE655524 KHX655505:KIA655524 KRT655505:KRW655524 LBP655505:LBS655524 LLL655505:LLO655524 LVH655505:LVK655524 MFD655505:MFG655524 MOZ655505:MPC655524 MYV655505:MYY655524 NIR655505:NIU655524 NSN655505:NSQ655524 OCJ655505:OCM655524 OMF655505:OMI655524 OWB655505:OWE655524 PFX655505:PGA655524 PPT655505:PPW655524 PZP655505:PZS655524 QJL655505:QJO655524 QTH655505:QTK655524 RDD655505:RDG655524 RMZ655505:RNC655524 RWV655505:RWY655524 SGR655505:SGU655524 SQN655505:SQQ655524 TAJ655505:TAM655524 TKF655505:TKI655524 TUB655505:TUE655524 UDX655505:UEA655524 UNT655505:UNW655524 UXP655505:UXS655524 VHL655505:VHO655524 VRH655505:VRK655524 WBD655505:WBG655524 WKZ655505:WLC655524 WUV655505:WUY655524 D721042:G721061 IJ721041:IM721060 SF721041:SI721060 ACB721041:ACE721060 ALX721041:AMA721060 AVT721041:AVW721060 BFP721041:BFS721060 BPL721041:BPO721060 BZH721041:BZK721060 CJD721041:CJG721060 CSZ721041:CTC721060 DCV721041:DCY721060 DMR721041:DMU721060 DWN721041:DWQ721060 EGJ721041:EGM721060 EQF721041:EQI721060 FAB721041:FAE721060 FJX721041:FKA721060 FTT721041:FTW721060 GDP721041:GDS721060 GNL721041:GNO721060 GXH721041:GXK721060 HHD721041:HHG721060 HQZ721041:HRC721060 IAV721041:IAY721060 IKR721041:IKU721060 IUN721041:IUQ721060 JEJ721041:JEM721060 JOF721041:JOI721060 JYB721041:JYE721060 KHX721041:KIA721060 KRT721041:KRW721060 LBP721041:LBS721060 LLL721041:LLO721060 LVH721041:LVK721060 MFD721041:MFG721060 MOZ721041:MPC721060 MYV721041:MYY721060 NIR721041:NIU721060 NSN721041:NSQ721060 OCJ721041:OCM721060 OMF721041:OMI721060 OWB721041:OWE721060 PFX721041:PGA721060 PPT721041:PPW721060 PZP721041:PZS721060 QJL721041:QJO721060 QTH721041:QTK721060 RDD721041:RDG721060 RMZ721041:RNC721060 RWV721041:RWY721060 SGR721041:SGU721060 SQN721041:SQQ721060 TAJ721041:TAM721060 TKF721041:TKI721060 TUB721041:TUE721060 UDX721041:UEA721060 UNT721041:UNW721060 UXP721041:UXS721060 VHL721041:VHO721060 VRH721041:VRK721060 WBD721041:WBG721060 WKZ721041:WLC721060 WUV721041:WUY721060 D786578:G786597 IJ786577:IM786596 SF786577:SI786596 ACB786577:ACE786596 ALX786577:AMA786596 AVT786577:AVW786596 BFP786577:BFS786596 BPL786577:BPO786596 BZH786577:BZK786596 CJD786577:CJG786596 CSZ786577:CTC786596 DCV786577:DCY786596 DMR786577:DMU786596 DWN786577:DWQ786596 EGJ786577:EGM786596 EQF786577:EQI786596 FAB786577:FAE786596 FJX786577:FKA786596 FTT786577:FTW786596 GDP786577:GDS786596 GNL786577:GNO786596 GXH786577:GXK786596 HHD786577:HHG786596 HQZ786577:HRC786596 IAV786577:IAY786596 IKR786577:IKU786596 IUN786577:IUQ786596 JEJ786577:JEM786596 JOF786577:JOI786596 JYB786577:JYE786596 KHX786577:KIA786596 KRT786577:KRW786596 LBP786577:LBS786596 LLL786577:LLO786596 LVH786577:LVK786596 MFD786577:MFG786596 MOZ786577:MPC786596 MYV786577:MYY786596 NIR786577:NIU786596 NSN786577:NSQ786596 OCJ786577:OCM786596 OMF786577:OMI786596 OWB786577:OWE786596 PFX786577:PGA786596 PPT786577:PPW786596 PZP786577:PZS786596 QJL786577:QJO786596 QTH786577:QTK786596 RDD786577:RDG786596 RMZ786577:RNC786596 RWV786577:RWY786596 SGR786577:SGU786596 SQN786577:SQQ786596 TAJ786577:TAM786596 TKF786577:TKI786596 TUB786577:TUE786596 UDX786577:UEA786596 UNT786577:UNW786596 UXP786577:UXS786596 VHL786577:VHO786596 VRH786577:VRK786596 WBD786577:WBG786596 WKZ786577:WLC786596 WUV786577:WUY786596 D852114:G852133 IJ852113:IM852132 SF852113:SI852132 ACB852113:ACE852132 ALX852113:AMA852132 AVT852113:AVW852132 BFP852113:BFS852132 BPL852113:BPO852132 BZH852113:BZK852132 CJD852113:CJG852132 CSZ852113:CTC852132 DCV852113:DCY852132 DMR852113:DMU852132 DWN852113:DWQ852132 EGJ852113:EGM852132 EQF852113:EQI852132 FAB852113:FAE852132 FJX852113:FKA852132 FTT852113:FTW852132 GDP852113:GDS852132 GNL852113:GNO852132 GXH852113:GXK852132 HHD852113:HHG852132 HQZ852113:HRC852132 IAV852113:IAY852132 IKR852113:IKU852132 IUN852113:IUQ852132 JEJ852113:JEM852132 JOF852113:JOI852132 JYB852113:JYE852132 KHX852113:KIA852132 KRT852113:KRW852132 LBP852113:LBS852132 LLL852113:LLO852132 LVH852113:LVK852132 MFD852113:MFG852132 MOZ852113:MPC852132 MYV852113:MYY852132 NIR852113:NIU852132 NSN852113:NSQ852132 OCJ852113:OCM852132 OMF852113:OMI852132 OWB852113:OWE852132 PFX852113:PGA852132 PPT852113:PPW852132 PZP852113:PZS852132 QJL852113:QJO852132 QTH852113:QTK852132 RDD852113:RDG852132 RMZ852113:RNC852132 RWV852113:RWY852132 SGR852113:SGU852132 SQN852113:SQQ852132 TAJ852113:TAM852132 TKF852113:TKI852132 TUB852113:TUE852132 UDX852113:UEA852132 UNT852113:UNW852132 UXP852113:UXS852132 VHL852113:VHO852132 VRH852113:VRK852132 WBD852113:WBG852132 WKZ852113:WLC852132 WUV852113:WUY852132 D917650:G917669 IJ917649:IM917668 SF917649:SI917668 ACB917649:ACE917668 ALX917649:AMA917668 AVT917649:AVW917668 BFP917649:BFS917668 BPL917649:BPO917668 BZH917649:BZK917668 CJD917649:CJG917668 CSZ917649:CTC917668 DCV917649:DCY917668 DMR917649:DMU917668 DWN917649:DWQ917668 EGJ917649:EGM917668 EQF917649:EQI917668 FAB917649:FAE917668 FJX917649:FKA917668 FTT917649:FTW917668 GDP917649:GDS917668 GNL917649:GNO917668 GXH917649:GXK917668 HHD917649:HHG917668 HQZ917649:HRC917668 IAV917649:IAY917668 IKR917649:IKU917668 IUN917649:IUQ917668 JEJ917649:JEM917668 JOF917649:JOI917668 JYB917649:JYE917668 KHX917649:KIA917668 KRT917649:KRW917668 LBP917649:LBS917668 LLL917649:LLO917668 LVH917649:LVK917668 MFD917649:MFG917668 MOZ917649:MPC917668 MYV917649:MYY917668 NIR917649:NIU917668 NSN917649:NSQ917668 OCJ917649:OCM917668 OMF917649:OMI917668 OWB917649:OWE917668 PFX917649:PGA917668 PPT917649:PPW917668 PZP917649:PZS917668 QJL917649:QJO917668 QTH917649:QTK917668 RDD917649:RDG917668 RMZ917649:RNC917668 RWV917649:RWY917668 SGR917649:SGU917668 SQN917649:SQQ917668 TAJ917649:TAM917668 TKF917649:TKI917668 TUB917649:TUE917668 UDX917649:UEA917668 UNT917649:UNW917668 UXP917649:UXS917668 VHL917649:VHO917668 VRH917649:VRK917668 WBD917649:WBG917668 WKZ917649:WLC917668 WUV917649:WUY917668 D983186:G983205 IJ983185:IM983204 SF983185:SI983204 ACB983185:ACE983204 ALX983185:AMA983204 AVT983185:AVW983204 BFP983185:BFS983204 BPL983185:BPO983204 BZH983185:BZK983204 CJD983185:CJG983204 CSZ983185:CTC983204 DCV983185:DCY983204 DMR983185:DMU983204 DWN983185:DWQ983204 EGJ983185:EGM983204 EQF983185:EQI983204 FAB983185:FAE983204 FJX983185:FKA983204 FTT983185:FTW983204 GDP983185:GDS983204 GNL983185:GNO983204 GXH983185:GXK983204 HHD983185:HHG983204 HQZ983185:HRC983204 IAV983185:IAY983204 IKR983185:IKU983204 IUN983185:IUQ983204 JEJ983185:JEM983204 JOF983185:JOI983204 JYB983185:JYE983204 KHX983185:KIA983204 KRT983185:KRW983204 LBP983185:LBS983204 LLL983185:LLO983204 LVH983185:LVK983204 MFD983185:MFG983204 MOZ983185:MPC983204 MYV983185:MYY983204 NIR983185:NIU983204 NSN983185:NSQ983204 OCJ983185:OCM983204 OMF983185:OMI983204 OWB983185:OWE983204 PFX983185:PGA983204 PPT983185:PPW983204 PZP983185:PZS983204 QJL983185:QJO983204 QTH983185:QTK983204 RDD983185:RDG983204 RMZ983185:RNC983204 RWV983185:RWY983204 SGR983185:SGU983204 SQN983185:SQQ983204 TAJ983185:TAM983204 TKF983185:TKI983204 TUB983185:TUE983204 UDX983185:UEA983204 UNT983185:UNW983204 UXP983185:UXS983204 VHL983185:VHO983204 VRH983185:VRK983204 WBD983185:WBG983204 WKZ983185:WLC983204 WUV983185:WUY983204 WBD983032:WBG983051 IJ94:IM143 SF94:SI143 ACB94:ACE143 ALX94:AMA143 AVT94:AVW143 BFP94:BFS143 BPL94:BPO143 BZH94:BZK143 CJD94:CJG143 CSZ94:CTC143 DCV94:DCY143 DMR94:DMU143 DWN94:DWQ143 EGJ94:EGM143 EQF94:EQI143 FAB94:FAE143 FJX94:FKA143 FTT94:FTW143 GDP94:GDS143 GNL94:GNO143 GXH94:GXK143 HHD94:HHG143 HQZ94:HRC143 IAV94:IAY143 IKR94:IKU143 IUN94:IUQ143 JEJ94:JEM143 JOF94:JOI143 JYB94:JYE143 KHX94:KIA143 KRT94:KRW143 LBP94:LBS143 LLL94:LLO143 LVH94:LVK143 MFD94:MFG143 MOZ94:MPC143 MYV94:MYY143 NIR94:NIU143 NSN94:NSQ143 OCJ94:OCM143 OMF94:OMI143 OWB94:OWE143 PFX94:PGA143 PPT94:PPW143 PZP94:PZS143 QJL94:QJO143 QTH94:QTK143 RDD94:RDG143 RMZ94:RNC143 RWV94:RWY143 SGR94:SGU143 SQN94:SQQ143 TAJ94:TAM143 TKF94:TKI143 TUB94:TUE143 UDX94:UEA143 UNT94:UNW143 UXP94:UXS143 VHL94:VHO143 VRH94:VRK143 WBD94:WBG143 WKZ94:WLC143 WUV94:WUY143 D65639:G65678 IJ65638:IM65677 SF65638:SI65677 ACB65638:ACE65677 ALX65638:AMA65677 AVT65638:AVW65677 BFP65638:BFS65677 BPL65638:BPO65677 BZH65638:BZK65677 CJD65638:CJG65677 CSZ65638:CTC65677 DCV65638:DCY65677 DMR65638:DMU65677 DWN65638:DWQ65677 EGJ65638:EGM65677 EQF65638:EQI65677 FAB65638:FAE65677 FJX65638:FKA65677 FTT65638:FTW65677 GDP65638:GDS65677 GNL65638:GNO65677 GXH65638:GXK65677 HHD65638:HHG65677 HQZ65638:HRC65677 IAV65638:IAY65677 IKR65638:IKU65677 IUN65638:IUQ65677 JEJ65638:JEM65677 JOF65638:JOI65677 JYB65638:JYE65677 KHX65638:KIA65677 KRT65638:KRW65677 LBP65638:LBS65677 LLL65638:LLO65677 LVH65638:LVK65677 MFD65638:MFG65677 MOZ65638:MPC65677 MYV65638:MYY65677 NIR65638:NIU65677 NSN65638:NSQ65677 OCJ65638:OCM65677 OMF65638:OMI65677 OWB65638:OWE65677 PFX65638:PGA65677 PPT65638:PPW65677 PZP65638:PZS65677 QJL65638:QJO65677 QTH65638:QTK65677 RDD65638:RDG65677 RMZ65638:RNC65677 RWV65638:RWY65677 SGR65638:SGU65677 SQN65638:SQQ65677 TAJ65638:TAM65677 TKF65638:TKI65677 TUB65638:TUE65677 UDX65638:UEA65677 UNT65638:UNW65677 UXP65638:UXS65677 VHL65638:VHO65677 VRH65638:VRK65677 WBD65638:WBG65677 WKZ65638:WLC65677 WUV65638:WUY65677 D131175:G131214 IJ131174:IM131213 SF131174:SI131213 ACB131174:ACE131213 ALX131174:AMA131213 AVT131174:AVW131213 BFP131174:BFS131213 BPL131174:BPO131213 BZH131174:BZK131213 CJD131174:CJG131213 CSZ131174:CTC131213 DCV131174:DCY131213 DMR131174:DMU131213 DWN131174:DWQ131213 EGJ131174:EGM131213 EQF131174:EQI131213 FAB131174:FAE131213 FJX131174:FKA131213 FTT131174:FTW131213 GDP131174:GDS131213 GNL131174:GNO131213 GXH131174:GXK131213 HHD131174:HHG131213 HQZ131174:HRC131213 IAV131174:IAY131213 IKR131174:IKU131213 IUN131174:IUQ131213 JEJ131174:JEM131213 JOF131174:JOI131213 JYB131174:JYE131213 KHX131174:KIA131213 KRT131174:KRW131213 LBP131174:LBS131213 LLL131174:LLO131213 LVH131174:LVK131213 MFD131174:MFG131213 MOZ131174:MPC131213 MYV131174:MYY131213 NIR131174:NIU131213 NSN131174:NSQ131213 OCJ131174:OCM131213 OMF131174:OMI131213 OWB131174:OWE131213 PFX131174:PGA131213 PPT131174:PPW131213 PZP131174:PZS131213 QJL131174:QJO131213 QTH131174:QTK131213 RDD131174:RDG131213 RMZ131174:RNC131213 RWV131174:RWY131213 SGR131174:SGU131213 SQN131174:SQQ131213 TAJ131174:TAM131213 TKF131174:TKI131213 TUB131174:TUE131213 UDX131174:UEA131213 UNT131174:UNW131213 UXP131174:UXS131213 VHL131174:VHO131213 VRH131174:VRK131213 WBD131174:WBG131213 WKZ131174:WLC131213 WUV131174:WUY131213 D196711:G196750 IJ196710:IM196749 SF196710:SI196749 ACB196710:ACE196749 ALX196710:AMA196749 AVT196710:AVW196749 BFP196710:BFS196749 BPL196710:BPO196749 BZH196710:BZK196749 CJD196710:CJG196749 CSZ196710:CTC196749 DCV196710:DCY196749 DMR196710:DMU196749 DWN196710:DWQ196749 EGJ196710:EGM196749 EQF196710:EQI196749 FAB196710:FAE196749 FJX196710:FKA196749 FTT196710:FTW196749 GDP196710:GDS196749 GNL196710:GNO196749 GXH196710:GXK196749 HHD196710:HHG196749 HQZ196710:HRC196749 IAV196710:IAY196749 IKR196710:IKU196749 IUN196710:IUQ196749 JEJ196710:JEM196749 JOF196710:JOI196749 JYB196710:JYE196749 KHX196710:KIA196749 KRT196710:KRW196749 LBP196710:LBS196749 LLL196710:LLO196749 LVH196710:LVK196749 MFD196710:MFG196749 MOZ196710:MPC196749 MYV196710:MYY196749 NIR196710:NIU196749 NSN196710:NSQ196749 OCJ196710:OCM196749 OMF196710:OMI196749 OWB196710:OWE196749 PFX196710:PGA196749 PPT196710:PPW196749 PZP196710:PZS196749 QJL196710:QJO196749 QTH196710:QTK196749 RDD196710:RDG196749 RMZ196710:RNC196749 RWV196710:RWY196749 SGR196710:SGU196749 SQN196710:SQQ196749 TAJ196710:TAM196749 TKF196710:TKI196749 TUB196710:TUE196749 UDX196710:UEA196749 UNT196710:UNW196749 UXP196710:UXS196749 VHL196710:VHO196749 VRH196710:VRK196749 WBD196710:WBG196749 WKZ196710:WLC196749 WUV196710:WUY196749 D262247:G262286 IJ262246:IM262285 SF262246:SI262285 ACB262246:ACE262285 ALX262246:AMA262285 AVT262246:AVW262285 BFP262246:BFS262285 BPL262246:BPO262285 BZH262246:BZK262285 CJD262246:CJG262285 CSZ262246:CTC262285 DCV262246:DCY262285 DMR262246:DMU262285 DWN262246:DWQ262285 EGJ262246:EGM262285 EQF262246:EQI262285 FAB262246:FAE262285 FJX262246:FKA262285 FTT262246:FTW262285 GDP262246:GDS262285 GNL262246:GNO262285 GXH262246:GXK262285 HHD262246:HHG262285 HQZ262246:HRC262285 IAV262246:IAY262285 IKR262246:IKU262285 IUN262246:IUQ262285 JEJ262246:JEM262285 JOF262246:JOI262285 JYB262246:JYE262285 KHX262246:KIA262285 KRT262246:KRW262285 LBP262246:LBS262285 LLL262246:LLO262285 LVH262246:LVK262285 MFD262246:MFG262285 MOZ262246:MPC262285 MYV262246:MYY262285 NIR262246:NIU262285 NSN262246:NSQ262285 OCJ262246:OCM262285 OMF262246:OMI262285 OWB262246:OWE262285 PFX262246:PGA262285 PPT262246:PPW262285 PZP262246:PZS262285 QJL262246:QJO262285 QTH262246:QTK262285 RDD262246:RDG262285 RMZ262246:RNC262285 RWV262246:RWY262285 SGR262246:SGU262285 SQN262246:SQQ262285 TAJ262246:TAM262285 TKF262246:TKI262285 TUB262246:TUE262285 UDX262246:UEA262285 UNT262246:UNW262285 UXP262246:UXS262285 VHL262246:VHO262285 VRH262246:VRK262285 WBD262246:WBG262285 WKZ262246:WLC262285 WUV262246:WUY262285 D327783:G327822 IJ327782:IM327821 SF327782:SI327821 ACB327782:ACE327821 ALX327782:AMA327821 AVT327782:AVW327821 BFP327782:BFS327821 BPL327782:BPO327821 BZH327782:BZK327821 CJD327782:CJG327821 CSZ327782:CTC327821 DCV327782:DCY327821 DMR327782:DMU327821 DWN327782:DWQ327821 EGJ327782:EGM327821 EQF327782:EQI327821 FAB327782:FAE327821 FJX327782:FKA327821 FTT327782:FTW327821 GDP327782:GDS327821 GNL327782:GNO327821 GXH327782:GXK327821 HHD327782:HHG327821 HQZ327782:HRC327821 IAV327782:IAY327821 IKR327782:IKU327821 IUN327782:IUQ327821 JEJ327782:JEM327821 JOF327782:JOI327821 JYB327782:JYE327821 KHX327782:KIA327821 KRT327782:KRW327821 LBP327782:LBS327821 LLL327782:LLO327821 LVH327782:LVK327821 MFD327782:MFG327821 MOZ327782:MPC327821 MYV327782:MYY327821 NIR327782:NIU327821 NSN327782:NSQ327821 OCJ327782:OCM327821 OMF327782:OMI327821 OWB327782:OWE327821 PFX327782:PGA327821 PPT327782:PPW327821 PZP327782:PZS327821 QJL327782:QJO327821 QTH327782:QTK327821 RDD327782:RDG327821 RMZ327782:RNC327821 RWV327782:RWY327821 SGR327782:SGU327821 SQN327782:SQQ327821 TAJ327782:TAM327821 TKF327782:TKI327821 TUB327782:TUE327821 UDX327782:UEA327821 UNT327782:UNW327821 UXP327782:UXS327821 VHL327782:VHO327821 VRH327782:VRK327821 WBD327782:WBG327821 WKZ327782:WLC327821 WUV327782:WUY327821 D393319:G393358 IJ393318:IM393357 SF393318:SI393357 ACB393318:ACE393357 ALX393318:AMA393357 AVT393318:AVW393357 BFP393318:BFS393357 BPL393318:BPO393357 BZH393318:BZK393357 CJD393318:CJG393357 CSZ393318:CTC393357 DCV393318:DCY393357 DMR393318:DMU393357 DWN393318:DWQ393357 EGJ393318:EGM393357 EQF393318:EQI393357 FAB393318:FAE393357 FJX393318:FKA393357 FTT393318:FTW393357 GDP393318:GDS393357 GNL393318:GNO393357 GXH393318:GXK393357 HHD393318:HHG393357 HQZ393318:HRC393357 IAV393318:IAY393357 IKR393318:IKU393357 IUN393318:IUQ393357 JEJ393318:JEM393357 JOF393318:JOI393357 JYB393318:JYE393357 KHX393318:KIA393357 KRT393318:KRW393357 LBP393318:LBS393357 LLL393318:LLO393357 LVH393318:LVK393357 MFD393318:MFG393357 MOZ393318:MPC393357 MYV393318:MYY393357 NIR393318:NIU393357 NSN393318:NSQ393357 OCJ393318:OCM393357 OMF393318:OMI393357 OWB393318:OWE393357 PFX393318:PGA393357 PPT393318:PPW393357 PZP393318:PZS393357 QJL393318:QJO393357 QTH393318:QTK393357 RDD393318:RDG393357 RMZ393318:RNC393357 RWV393318:RWY393357 SGR393318:SGU393357 SQN393318:SQQ393357 TAJ393318:TAM393357 TKF393318:TKI393357 TUB393318:TUE393357 UDX393318:UEA393357 UNT393318:UNW393357 UXP393318:UXS393357 VHL393318:VHO393357 VRH393318:VRK393357 WBD393318:WBG393357 WKZ393318:WLC393357 WUV393318:WUY393357 D458855:G458894 IJ458854:IM458893 SF458854:SI458893 ACB458854:ACE458893 ALX458854:AMA458893 AVT458854:AVW458893 BFP458854:BFS458893 BPL458854:BPO458893 BZH458854:BZK458893 CJD458854:CJG458893 CSZ458854:CTC458893 DCV458854:DCY458893 DMR458854:DMU458893 DWN458854:DWQ458893 EGJ458854:EGM458893 EQF458854:EQI458893 FAB458854:FAE458893 FJX458854:FKA458893 FTT458854:FTW458893 GDP458854:GDS458893 GNL458854:GNO458893 GXH458854:GXK458893 HHD458854:HHG458893 HQZ458854:HRC458893 IAV458854:IAY458893 IKR458854:IKU458893 IUN458854:IUQ458893 JEJ458854:JEM458893 JOF458854:JOI458893 JYB458854:JYE458893 KHX458854:KIA458893 KRT458854:KRW458893 LBP458854:LBS458893 LLL458854:LLO458893 LVH458854:LVK458893 MFD458854:MFG458893 MOZ458854:MPC458893 MYV458854:MYY458893 NIR458854:NIU458893 NSN458854:NSQ458893 OCJ458854:OCM458893 OMF458854:OMI458893 OWB458854:OWE458893 PFX458854:PGA458893 PPT458854:PPW458893 PZP458854:PZS458893 QJL458854:QJO458893 QTH458854:QTK458893 RDD458854:RDG458893 RMZ458854:RNC458893 RWV458854:RWY458893 SGR458854:SGU458893 SQN458854:SQQ458893 TAJ458854:TAM458893 TKF458854:TKI458893 TUB458854:TUE458893 UDX458854:UEA458893 UNT458854:UNW458893 UXP458854:UXS458893 VHL458854:VHO458893 VRH458854:VRK458893 WBD458854:WBG458893 WKZ458854:WLC458893 WUV458854:WUY458893 D524391:G524430 IJ524390:IM524429 SF524390:SI524429 ACB524390:ACE524429 ALX524390:AMA524429 AVT524390:AVW524429 BFP524390:BFS524429 BPL524390:BPO524429 BZH524390:BZK524429 CJD524390:CJG524429 CSZ524390:CTC524429 DCV524390:DCY524429 DMR524390:DMU524429 DWN524390:DWQ524429 EGJ524390:EGM524429 EQF524390:EQI524429 FAB524390:FAE524429 FJX524390:FKA524429 FTT524390:FTW524429 GDP524390:GDS524429 GNL524390:GNO524429 GXH524390:GXK524429 HHD524390:HHG524429 HQZ524390:HRC524429 IAV524390:IAY524429 IKR524390:IKU524429 IUN524390:IUQ524429 JEJ524390:JEM524429 JOF524390:JOI524429 JYB524390:JYE524429 KHX524390:KIA524429 KRT524390:KRW524429 LBP524390:LBS524429 LLL524390:LLO524429 LVH524390:LVK524429 MFD524390:MFG524429 MOZ524390:MPC524429 MYV524390:MYY524429 NIR524390:NIU524429 NSN524390:NSQ524429 OCJ524390:OCM524429 OMF524390:OMI524429 OWB524390:OWE524429 PFX524390:PGA524429 PPT524390:PPW524429 PZP524390:PZS524429 QJL524390:QJO524429 QTH524390:QTK524429 RDD524390:RDG524429 RMZ524390:RNC524429 RWV524390:RWY524429 SGR524390:SGU524429 SQN524390:SQQ524429 TAJ524390:TAM524429 TKF524390:TKI524429 TUB524390:TUE524429 UDX524390:UEA524429 UNT524390:UNW524429 UXP524390:UXS524429 VHL524390:VHO524429 VRH524390:VRK524429 WBD524390:WBG524429 WKZ524390:WLC524429 WUV524390:WUY524429 D589927:G589966 IJ589926:IM589965 SF589926:SI589965 ACB589926:ACE589965 ALX589926:AMA589965 AVT589926:AVW589965 BFP589926:BFS589965 BPL589926:BPO589965 BZH589926:BZK589965 CJD589926:CJG589965 CSZ589926:CTC589965 DCV589926:DCY589965 DMR589926:DMU589965 DWN589926:DWQ589965 EGJ589926:EGM589965 EQF589926:EQI589965 FAB589926:FAE589965 FJX589926:FKA589965 FTT589926:FTW589965 GDP589926:GDS589965 GNL589926:GNO589965 GXH589926:GXK589965 HHD589926:HHG589965 HQZ589926:HRC589965 IAV589926:IAY589965 IKR589926:IKU589965 IUN589926:IUQ589965 JEJ589926:JEM589965 JOF589926:JOI589965 JYB589926:JYE589965 KHX589926:KIA589965 KRT589926:KRW589965 LBP589926:LBS589965 LLL589926:LLO589965 LVH589926:LVK589965 MFD589926:MFG589965 MOZ589926:MPC589965 MYV589926:MYY589965 NIR589926:NIU589965 NSN589926:NSQ589965 OCJ589926:OCM589965 OMF589926:OMI589965 OWB589926:OWE589965 PFX589926:PGA589965 PPT589926:PPW589965 PZP589926:PZS589965 QJL589926:QJO589965 QTH589926:QTK589965 RDD589926:RDG589965 RMZ589926:RNC589965 RWV589926:RWY589965 SGR589926:SGU589965 SQN589926:SQQ589965 TAJ589926:TAM589965 TKF589926:TKI589965 TUB589926:TUE589965 UDX589926:UEA589965 UNT589926:UNW589965 UXP589926:UXS589965 VHL589926:VHO589965 VRH589926:VRK589965 WBD589926:WBG589965 WKZ589926:WLC589965 WUV589926:WUY589965 D655463:G655502 IJ655462:IM655501 SF655462:SI655501 ACB655462:ACE655501 ALX655462:AMA655501 AVT655462:AVW655501 BFP655462:BFS655501 BPL655462:BPO655501 BZH655462:BZK655501 CJD655462:CJG655501 CSZ655462:CTC655501 DCV655462:DCY655501 DMR655462:DMU655501 DWN655462:DWQ655501 EGJ655462:EGM655501 EQF655462:EQI655501 FAB655462:FAE655501 FJX655462:FKA655501 FTT655462:FTW655501 GDP655462:GDS655501 GNL655462:GNO655501 GXH655462:GXK655501 HHD655462:HHG655501 HQZ655462:HRC655501 IAV655462:IAY655501 IKR655462:IKU655501 IUN655462:IUQ655501 JEJ655462:JEM655501 JOF655462:JOI655501 JYB655462:JYE655501 KHX655462:KIA655501 KRT655462:KRW655501 LBP655462:LBS655501 LLL655462:LLO655501 LVH655462:LVK655501 MFD655462:MFG655501 MOZ655462:MPC655501 MYV655462:MYY655501 NIR655462:NIU655501 NSN655462:NSQ655501 OCJ655462:OCM655501 OMF655462:OMI655501 OWB655462:OWE655501 PFX655462:PGA655501 PPT655462:PPW655501 PZP655462:PZS655501 QJL655462:QJO655501 QTH655462:QTK655501 RDD655462:RDG655501 RMZ655462:RNC655501 RWV655462:RWY655501 SGR655462:SGU655501 SQN655462:SQQ655501 TAJ655462:TAM655501 TKF655462:TKI655501 TUB655462:TUE655501 UDX655462:UEA655501 UNT655462:UNW655501 UXP655462:UXS655501 VHL655462:VHO655501 VRH655462:VRK655501 WBD655462:WBG655501 WKZ655462:WLC655501 WUV655462:WUY655501 D720999:G721038 IJ720998:IM721037 SF720998:SI721037 ACB720998:ACE721037 ALX720998:AMA721037 AVT720998:AVW721037 BFP720998:BFS721037 BPL720998:BPO721037 BZH720998:BZK721037 CJD720998:CJG721037 CSZ720998:CTC721037 DCV720998:DCY721037 DMR720998:DMU721037 DWN720998:DWQ721037 EGJ720998:EGM721037 EQF720998:EQI721037 FAB720998:FAE721037 FJX720998:FKA721037 FTT720998:FTW721037 GDP720998:GDS721037 GNL720998:GNO721037 GXH720998:GXK721037 HHD720998:HHG721037 HQZ720998:HRC721037 IAV720998:IAY721037 IKR720998:IKU721037 IUN720998:IUQ721037 JEJ720998:JEM721037 JOF720998:JOI721037 JYB720998:JYE721037 KHX720998:KIA721037 KRT720998:KRW721037 LBP720998:LBS721037 LLL720998:LLO721037 LVH720998:LVK721037 MFD720998:MFG721037 MOZ720998:MPC721037 MYV720998:MYY721037 NIR720998:NIU721037 NSN720998:NSQ721037 OCJ720998:OCM721037 OMF720998:OMI721037 OWB720998:OWE721037 PFX720998:PGA721037 PPT720998:PPW721037 PZP720998:PZS721037 QJL720998:QJO721037 QTH720998:QTK721037 RDD720998:RDG721037 RMZ720998:RNC721037 RWV720998:RWY721037 SGR720998:SGU721037 SQN720998:SQQ721037 TAJ720998:TAM721037 TKF720998:TKI721037 TUB720998:TUE721037 UDX720998:UEA721037 UNT720998:UNW721037 UXP720998:UXS721037 VHL720998:VHO721037 VRH720998:VRK721037 WBD720998:WBG721037 WKZ720998:WLC721037 WUV720998:WUY721037 D786535:G786574 IJ786534:IM786573 SF786534:SI786573 ACB786534:ACE786573 ALX786534:AMA786573 AVT786534:AVW786573 BFP786534:BFS786573 BPL786534:BPO786573 BZH786534:BZK786573 CJD786534:CJG786573 CSZ786534:CTC786573 DCV786534:DCY786573 DMR786534:DMU786573 DWN786534:DWQ786573 EGJ786534:EGM786573 EQF786534:EQI786573 FAB786534:FAE786573 FJX786534:FKA786573 FTT786534:FTW786573 GDP786534:GDS786573 GNL786534:GNO786573 GXH786534:GXK786573 HHD786534:HHG786573 HQZ786534:HRC786573 IAV786534:IAY786573 IKR786534:IKU786573 IUN786534:IUQ786573 JEJ786534:JEM786573 JOF786534:JOI786573 JYB786534:JYE786573 KHX786534:KIA786573 KRT786534:KRW786573 LBP786534:LBS786573 LLL786534:LLO786573 LVH786534:LVK786573 MFD786534:MFG786573 MOZ786534:MPC786573 MYV786534:MYY786573 NIR786534:NIU786573 NSN786534:NSQ786573 OCJ786534:OCM786573 OMF786534:OMI786573 OWB786534:OWE786573 PFX786534:PGA786573 PPT786534:PPW786573 PZP786534:PZS786573 QJL786534:QJO786573 QTH786534:QTK786573 RDD786534:RDG786573 RMZ786534:RNC786573 RWV786534:RWY786573 SGR786534:SGU786573 SQN786534:SQQ786573 TAJ786534:TAM786573 TKF786534:TKI786573 TUB786534:TUE786573 UDX786534:UEA786573 UNT786534:UNW786573 UXP786534:UXS786573 VHL786534:VHO786573 VRH786534:VRK786573 WBD786534:WBG786573 WKZ786534:WLC786573 WUV786534:WUY786573 D852071:G852110 IJ852070:IM852109 SF852070:SI852109 ACB852070:ACE852109 ALX852070:AMA852109 AVT852070:AVW852109 BFP852070:BFS852109 BPL852070:BPO852109 BZH852070:BZK852109 CJD852070:CJG852109 CSZ852070:CTC852109 DCV852070:DCY852109 DMR852070:DMU852109 DWN852070:DWQ852109 EGJ852070:EGM852109 EQF852070:EQI852109 FAB852070:FAE852109 FJX852070:FKA852109 FTT852070:FTW852109 GDP852070:GDS852109 GNL852070:GNO852109 GXH852070:GXK852109 HHD852070:HHG852109 HQZ852070:HRC852109 IAV852070:IAY852109 IKR852070:IKU852109 IUN852070:IUQ852109 JEJ852070:JEM852109 JOF852070:JOI852109 JYB852070:JYE852109 KHX852070:KIA852109 KRT852070:KRW852109 LBP852070:LBS852109 LLL852070:LLO852109 LVH852070:LVK852109 MFD852070:MFG852109 MOZ852070:MPC852109 MYV852070:MYY852109 NIR852070:NIU852109 NSN852070:NSQ852109 OCJ852070:OCM852109 OMF852070:OMI852109 OWB852070:OWE852109 PFX852070:PGA852109 PPT852070:PPW852109 PZP852070:PZS852109 QJL852070:QJO852109 QTH852070:QTK852109 RDD852070:RDG852109 RMZ852070:RNC852109 RWV852070:RWY852109 SGR852070:SGU852109 SQN852070:SQQ852109 TAJ852070:TAM852109 TKF852070:TKI852109 TUB852070:TUE852109 UDX852070:UEA852109 UNT852070:UNW852109 UXP852070:UXS852109 VHL852070:VHO852109 VRH852070:VRK852109 WBD852070:WBG852109 WKZ852070:WLC852109 WUV852070:WUY852109 D917607:G917646 IJ917606:IM917645 SF917606:SI917645 ACB917606:ACE917645 ALX917606:AMA917645 AVT917606:AVW917645 BFP917606:BFS917645 BPL917606:BPO917645 BZH917606:BZK917645 CJD917606:CJG917645 CSZ917606:CTC917645 DCV917606:DCY917645 DMR917606:DMU917645 DWN917606:DWQ917645 EGJ917606:EGM917645 EQF917606:EQI917645 FAB917606:FAE917645 FJX917606:FKA917645 FTT917606:FTW917645 GDP917606:GDS917645 GNL917606:GNO917645 GXH917606:GXK917645 HHD917606:HHG917645 HQZ917606:HRC917645 IAV917606:IAY917645 IKR917606:IKU917645 IUN917606:IUQ917645 JEJ917606:JEM917645 JOF917606:JOI917645 JYB917606:JYE917645 KHX917606:KIA917645 KRT917606:KRW917645 LBP917606:LBS917645 LLL917606:LLO917645 LVH917606:LVK917645 MFD917606:MFG917645 MOZ917606:MPC917645 MYV917606:MYY917645 NIR917606:NIU917645 NSN917606:NSQ917645 OCJ917606:OCM917645 OMF917606:OMI917645 OWB917606:OWE917645 PFX917606:PGA917645 PPT917606:PPW917645 PZP917606:PZS917645 QJL917606:QJO917645 QTH917606:QTK917645 RDD917606:RDG917645 RMZ917606:RNC917645 RWV917606:RWY917645 SGR917606:SGU917645 SQN917606:SQQ917645 TAJ917606:TAM917645 TKF917606:TKI917645 TUB917606:TUE917645 UDX917606:UEA917645 UNT917606:UNW917645 UXP917606:UXS917645 VHL917606:VHO917645 VRH917606:VRK917645 WBD917606:WBG917645 WKZ917606:WLC917645 WUV917606:WUY917645 D983143:G983182 IJ983142:IM983181 SF983142:SI983181 ACB983142:ACE983181 ALX983142:AMA983181 AVT983142:AVW983181 BFP983142:BFS983181 BPL983142:BPO983181 BZH983142:BZK983181 CJD983142:CJG983181 CSZ983142:CTC983181 DCV983142:DCY983181 DMR983142:DMU983181 DWN983142:DWQ983181 EGJ983142:EGM983181 EQF983142:EQI983181 FAB983142:FAE983181 FJX983142:FKA983181 FTT983142:FTW983181 GDP983142:GDS983181 GNL983142:GNO983181 GXH983142:GXK983181 HHD983142:HHG983181 HQZ983142:HRC983181 IAV983142:IAY983181 IKR983142:IKU983181 IUN983142:IUQ983181 JEJ983142:JEM983181 JOF983142:JOI983181 JYB983142:JYE983181 KHX983142:KIA983181 KRT983142:KRW983181 LBP983142:LBS983181 LLL983142:LLO983181 LVH983142:LVK983181 MFD983142:MFG983181 MOZ983142:MPC983181 MYV983142:MYY983181 NIR983142:NIU983181 NSN983142:NSQ983181 OCJ983142:OCM983181 OMF983142:OMI983181 OWB983142:OWE983181 PFX983142:PGA983181 PPT983142:PPW983181 PZP983142:PZS983181 QJL983142:QJO983181 QTH983142:QTK983181 RDD983142:RDG983181 RMZ983142:RNC983181 RWV983142:RWY983181 SGR983142:SGU983181 SQN983142:SQQ983181 TAJ983142:TAM983181 TKF983142:TKI983181 TUB983142:TUE983181 UDX983142:UEA983181 UNT983142:UNW983181 UXP983142:UXS983181 VHL983142:VHO983181 VRH983142:VRK983181 WBD983142:WBG983181 WKZ983142:WLC983181 WUV983142:WUY983181 WUV983032:WUY983051 SF31:SI91 ACB31:ACE91 ALX31:AMA91 AVT31:AVW91 BFP31:BFS91 BPL31:BPO91 BZH31:BZK91 CJD31:CJG91 CSZ31:CTC91 DCV31:DCY91 DMR31:DMU91 DWN31:DWQ91 EGJ31:EGM91 EQF31:EQI91 FAB31:FAE91 FJX31:FKA91 FTT31:FTW91 GDP31:GDS91 GNL31:GNO91 GXH31:GXK91 HHD31:HHG91 HQZ31:HRC91 IAV31:IAY91 IKR31:IKU91 IUN31:IUQ91 JEJ31:JEM91 JOF31:JOI91 JYB31:JYE91 KHX31:KIA91 KRT31:KRW91 LBP31:LBS91 LLL31:LLO91 LVH31:LVK91 MFD31:MFG91 MOZ31:MPC91 MYV31:MYY91 NIR31:NIU91 NSN31:NSQ91 OCJ31:OCM91 OMF31:OMI91 OWB31:OWE91 PFX31:PGA91 PPT31:PPW91 PZP31:PZS91 QJL31:QJO91 QTH31:QTK91 RDD31:RDG91 RMZ31:RNC91 RWV31:RWY91 SGR31:SGU91 SQN31:SQQ91 TAJ31:TAM91 TKF31:TKI91 TUB31:TUE91 UDX31:UEA91 UNT31:UNW91 UXP31:UXS91 VHL31:VHO91 VRH31:VRK91 WBD31:WBG91 WKZ31:WLC91 WUV31:WUY91 PZP19:PZS28 D65552:G65635 IJ65551:IM65634 SF65551:SI65634 ACB65551:ACE65634 ALX65551:AMA65634 AVT65551:AVW65634 BFP65551:BFS65634 BPL65551:BPO65634 BZH65551:BZK65634 CJD65551:CJG65634 CSZ65551:CTC65634 DCV65551:DCY65634 DMR65551:DMU65634 DWN65551:DWQ65634 EGJ65551:EGM65634 EQF65551:EQI65634 FAB65551:FAE65634 FJX65551:FKA65634 FTT65551:FTW65634 GDP65551:GDS65634 GNL65551:GNO65634 GXH65551:GXK65634 HHD65551:HHG65634 HQZ65551:HRC65634 IAV65551:IAY65634 IKR65551:IKU65634 IUN65551:IUQ65634 JEJ65551:JEM65634 JOF65551:JOI65634 JYB65551:JYE65634 KHX65551:KIA65634 KRT65551:KRW65634 LBP65551:LBS65634 LLL65551:LLO65634 LVH65551:LVK65634 MFD65551:MFG65634 MOZ65551:MPC65634 MYV65551:MYY65634 NIR65551:NIU65634 NSN65551:NSQ65634 OCJ65551:OCM65634 OMF65551:OMI65634 OWB65551:OWE65634 PFX65551:PGA65634 PPT65551:PPW65634 PZP65551:PZS65634 QJL65551:QJO65634 QTH65551:QTK65634 RDD65551:RDG65634 RMZ65551:RNC65634 RWV65551:RWY65634 SGR65551:SGU65634 SQN65551:SQQ65634 TAJ65551:TAM65634 TKF65551:TKI65634 TUB65551:TUE65634 UDX65551:UEA65634 UNT65551:UNW65634 UXP65551:UXS65634 VHL65551:VHO65634 VRH65551:VRK65634 WBD65551:WBG65634 WKZ65551:WLC65634 WUV65551:WUY65634 D131088:G131171 IJ131087:IM131170 SF131087:SI131170 ACB131087:ACE131170 ALX131087:AMA131170 AVT131087:AVW131170 BFP131087:BFS131170 BPL131087:BPO131170 BZH131087:BZK131170 CJD131087:CJG131170 CSZ131087:CTC131170 DCV131087:DCY131170 DMR131087:DMU131170 DWN131087:DWQ131170 EGJ131087:EGM131170 EQF131087:EQI131170 FAB131087:FAE131170 FJX131087:FKA131170 FTT131087:FTW131170 GDP131087:GDS131170 GNL131087:GNO131170 GXH131087:GXK131170 HHD131087:HHG131170 HQZ131087:HRC131170 IAV131087:IAY131170 IKR131087:IKU131170 IUN131087:IUQ131170 JEJ131087:JEM131170 JOF131087:JOI131170 JYB131087:JYE131170 KHX131087:KIA131170 KRT131087:KRW131170 LBP131087:LBS131170 LLL131087:LLO131170 LVH131087:LVK131170 MFD131087:MFG131170 MOZ131087:MPC131170 MYV131087:MYY131170 NIR131087:NIU131170 NSN131087:NSQ131170 OCJ131087:OCM131170 OMF131087:OMI131170 OWB131087:OWE131170 PFX131087:PGA131170 PPT131087:PPW131170 PZP131087:PZS131170 QJL131087:QJO131170 QTH131087:QTK131170 RDD131087:RDG131170 RMZ131087:RNC131170 RWV131087:RWY131170 SGR131087:SGU131170 SQN131087:SQQ131170 TAJ131087:TAM131170 TKF131087:TKI131170 TUB131087:TUE131170 UDX131087:UEA131170 UNT131087:UNW131170 UXP131087:UXS131170 VHL131087:VHO131170 VRH131087:VRK131170 WBD131087:WBG131170 WKZ131087:WLC131170 WUV131087:WUY131170 D196624:G196707 IJ196623:IM196706 SF196623:SI196706 ACB196623:ACE196706 ALX196623:AMA196706 AVT196623:AVW196706 BFP196623:BFS196706 BPL196623:BPO196706 BZH196623:BZK196706 CJD196623:CJG196706 CSZ196623:CTC196706 DCV196623:DCY196706 DMR196623:DMU196706 DWN196623:DWQ196706 EGJ196623:EGM196706 EQF196623:EQI196706 FAB196623:FAE196706 FJX196623:FKA196706 FTT196623:FTW196706 GDP196623:GDS196706 GNL196623:GNO196706 GXH196623:GXK196706 HHD196623:HHG196706 HQZ196623:HRC196706 IAV196623:IAY196706 IKR196623:IKU196706 IUN196623:IUQ196706 JEJ196623:JEM196706 JOF196623:JOI196706 JYB196623:JYE196706 KHX196623:KIA196706 KRT196623:KRW196706 LBP196623:LBS196706 LLL196623:LLO196706 LVH196623:LVK196706 MFD196623:MFG196706 MOZ196623:MPC196706 MYV196623:MYY196706 NIR196623:NIU196706 NSN196623:NSQ196706 OCJ196623:OCM196706 OMF196623:OMI196706 OWB196623:OWE196706 PFX196623:PGA196706 PPT196623:PPW196706 PZP196623:PZS196706 QJL196623:QJO196706 QTH196623:QTK196706 RDD196623:RDG196706 RMZ196623:RNC196706 RWV196623:RWY196706 SGR196623:SGU196706 SQN196623:SQQ196706 TAJ196623:TAM196706 TKF196623:TKI196706 TUB196623:TUE196706 UDX196623:UEA196706 UNT196623:UNW196706 UXP196623:UXS196706 VHL196623:VHO196706 VRH196623:VRK196706 WBD196623:WBG196706 WKZ196623:WLC196706 WUV196623:WUY196706 D262160:G262243 IJ262159:IM262242 SF262159:SI262242 ACB262159:ACE262242 ALX262159:AMA262242 AVT262159:AVW262242 BFP262159:BFS262242 BPL262159:BPO262242 BZH262159:BZK262242 CJD262159:CJG262242 CSZ262159:CTC262242 DCV262159:DCY262242 DMR262159:DMU262242 DWN262159:DWQ262242 EGJ262159:EGM262242 EQF262159:EQI262242 FAB262159:FAE262242 FJX262159:FKA262242 FTT262159:FTW262242 GDP262159:GDS262242 GNL262159:GNO262242 GXH262159:GXK262242 HHD262159:HHG262242 HQZ262159:HRC262242 IAV262159:IAY262242 IKR262159:IKU262242 IUN262159:IUQ262242 JEJ262159:JEM262242 JOF262159:JOI262242 JYB262159:JYE262242 KHX262159:KIA262242 KRT262159:KRW262242 LBP262159:LBS262242 LLL262159:LLO262242 LVH262159:LVK262242 MFD262159:MFG262242 MOZ262159:MPC262242 MYV262159:MYY262242 NIR262159:NIU262242 NSN262159:NSQ262242 OCJ262159:OCM262242 OMF262159:OMI262242 OWB262159:OWE262242 PFX262159:PGA262242 PPT262159:PPW262242 PZP262159:PZS262242 QJL262159:QJO262242 QTH262159:QTK262242 RDD262159:RDG262242 RMZ262159:RNC262242 RWV262159:RWY262242 SGR262159:SGU262242 SQN262159:SQQ262242 TAJ262159:TAM262242 TKF262159:TKI262242 TUB262159:TUE262242 UDX262159:UEA262242 UNT262159:UNW262242 UXP262159:UXS262242 VHL262159:VHO262242 VRH262159:VRK262242 WBD262159:WBG262242 WKZ262159:WLC262242 WUV262159:WUY262242 D327696:G327779 IJ327695:IM327778 SF327695:SI327778 ACB327695:ACE327778 ALX327695:AMA327778 AVT327695:AVW327778 BFP327695:BFS327778 BPL327695:BPO327778 BZH327695:BZK327778 CJD327695:CJG327778 CSZ327695:CTC327778 DCV327695:DCY327778 DMR327695:DMU327778 DWN327695:DWQ327778 EGJ327695:EGM327778 EQF327695:EQI327778 FAB327695:FAE327778 FJX327695:FKA327778 FTT327695:FTW327778 GDP327695:GDS327778 GNL327695:GNO327778 GXH327695:GXK327778 HHD327695:HHG327778 HQZ327695:HRC327778 IAV327695:IAY327778 IKR327695:IKU327778 IUN327695:IUQ327778 JEJ327695:JEM327778 JOF327695:JOI327778 JYB327695:JYE327778 KHX327695:KIA327778 KRT327695:KRW327778 LBP327695:LBS327778 LLL327695:LLO327778 LVH327695:LVK327778 MFD327695:MFG327778 MOZ327695:MPC327778 MYV327695:MYY327778 NIR327695:NIU327778 NSN327695:NSQ327778 OCJ327695:OCM327778 OMF327695:OMI327778 OWB327695:OWE327778 PFX327695:PGA327778 PPT327695:PPW327778 PZP327695:PZS327778 QJL327695:QJO327778 QTH327695:QTK327778 RDD327695:RDG327778 RMZ327695:RNC327778 RWV327695:RWY327778 SGR327695:SGU327778 SQN327695:SQQ327778 TAJ327695:TAM327778 TKF327695:TKI327778 TUB327695:TUE327778 UDX327695:UEA327778 UNT327695:UNW327778 UXP327695:UXS327778 VHL327695:VHO327778 VRH327695:VRK327778 WBD327695:WBG327778 WKZ327695:WLC327778 WUV327695:WUY327778 D393232:G393315 IJ393231:IM393314 SF393231:SI393314 ACB393231:ACE393314 ALX393231:AMA393314 AVT393231:AVW393314 BFP393231:BFS393314 BPL393231:BPO393314 BZH393231:BZK393314 CJD393231:CJG393314 CSZ393231:CTC393314 DCV393231:DCY393314 DMR393231:DMU393314 DWN393231:DWQ393314 EGJ393231:EGM393314 EQF393231:EQI393314 FAB393231:FAE393314 FJX393231:FKA393314 FTT393231:FTW393314 GDP393231:GDS393314 GNL393231:GNO393314 GXH393231:GXK393314 HHD393231:HHG393314 HQZ393231:HRC393314 IAV393231:IAY393314 IKR393231:IKU393314 IUN393231:IUQ393314 JEJ393231:JEM393314 JOF393231:JOI393314 JYB393231:JYE393314 KHX393231:KIA393314 KRT393231:KRW393314 LBP393231:LBS393314 LLL393231:LLO393314 LVH393231:LVK393314 MFD393231:MFG393314 MOZ393231:MPC393314 MYV393231:MYY393314 NIR393231:NIU393314 NSN393231:NSQ393314 OCJ393231:OCM393314 OMF393231:OMI393314 OWB393231:OWE393314 PFX393231:PGA393314 PPT393231:PPW393314 PZP393231:PZS393314 QJL393231:QJO393314 QTH393231:QTK393314 RDD393231:RDG393314 RMZ393231:RNC393314 RWV393231:RWY393314 SGR393231:SGU393314 SQN393231:SQQ393314 TAJ393231:TAM393314 TKF393231:TKI393314 TUB393231:TUE393314 UDX393231:UEA393314 UNT393231:UNW393314 UXP393231:UXS393314 VHL393231:VHO393314 VRH393231:VRK393314 WBD393231:WBG393314 WKZ393231:WLC393314 WUV393231:WUY393314 D458768:G458851 IJ458767:IM458850 SF458767:SI458850 ACB458767:ACE458850 ALX458767:AMA458850 AVT458767:AVW458850 BFP458767:BFS458850 BPL458767:BPO458850 BZH458767:BZK458850 CJD458767:CJG458850 CSZ458767:CTC458850 DCV458767:DCY458850 DMR458767:DMU458850 DWN458767:DWQ458850 EGJ458767:EGM458850 EQF458767:EQI458850 FAB458767:FAE458850 FJX458767:FKA458850 FTT458767:FTW458850 GDP458767:GDS458850 GNL458767:GNO458850 GXH458767:GXK458850 HHD458767:HHG458850 HQZ458767:HRC458850 IAV458767:IAY458850 IKR458767:IKU458850 IUN458767:IUQ458850 JEJ458767:JEM458850 JOF458767:JOI458850 JYB458767:JYE458850 KHX458767:KIA458850 KRT458767:KRW458850 LBP458767:LBS458850 LLL458767:LLO458850 LVH458767:LVK458850 MFD458767:MFG458850 MOZ458767:MPC458850 MYV458767:MYY458850 NIR458767:NIU458850 NSN458767:NSQ458850 OCJ458767:OCM458850 OMF458767:OMI458850 OWB458767:OWE458850 PFX458767:PGA458850 PPT458767:PPW458850 PZP458767:PZS458850 QJL458767:QJO458850 QTH458767:QTK458850 RDD458767:RDG458850 RMZ458767:RNC458850 RWV458767:RWY458850 SGR458767:SGU458850 SQN458767:SQQ458850 TAJ458767:TAM458850 TKF458767:TKI458850 TUB458767:TUE458850 UDX458767:UEA458850 UNT458767:UNW458850 UXP458767:UXS458850 VHL458767:VHO458850 VRH458767:VRK458850 WBD458767:WBG458850 WKZ458767:WLC458850 WUV458767:WUY458850 D524304:G524387 IJ524303:IM524386 SF524303:SI524386 ACB524303:ACE524386 ALX524303:AMA524386 AVT524303:AVW524386 BFP524303:BFS524386 BPL524303:BPO524386 BZH524303:BZK524386 CJD524303:CJG524386 CSZ524303:CTC524386 DCV524303:DCY524386 DMR524303:DMU524386 DWN524303:DWQ524386 EGJ524303:EGM524386 EQF524303:EQI524386 FAB524303:FAE524386 FJX524303:FKA524386 FTT524303:FTW524386 GDP524303:GDS524386 GNL524303:GNO524386 GXH524303:GXK524386 HHD524303:HHG524386 HQZ524303:HRC524386 IAV524303:IAY524386 IKR524303:IKU524386 IUN524303:IUQ524386 JEJ524303:JEM524386 JOF524303:JOI524386 JYB524303:JYE524386 KHX524303:KIA524386 KRT524303:KRW524386 LBP524303:LBS524386 LLL524303:LLO524386 LVH524303:LVK524386 MFD524303:MFG524386 MOZ524303:MPC524386 MYV524303:MYY524386 NIR524303:NIU524386 NSN524303:NSQ524386 OCJ524303:OCM524386 OMF524303:OMI524386 OWB524303:OWE524386 PFX524303:PGA524386 PPT524303:PPW524386 PZP524303:PZS524386 QJL524303:QJO524386 QTH524303:QTK524386 RDD524303:RDG524386 RMZ524303:RNC524386 RWV524303:RWY524386 SGR524303:SGU524386 SQN524303:SQQ524386 TAJ524303:TAM524386 TKF524303:TKI524386 TUB524303:TUE524386 UDX524303:UEA524386 UNT524303:UNW524386 UXP524303:UXS524386 VHL524303:VHO524386 VRH524303:VRK524386 WBD524303:WBG524386 WKZ524303:WLC524386 WUV524303:WUY524386 D589840:G589923 IJ589839:IM589922 SF589839:SI589922 ACB589839:ACE589922 ALX589839:AMA589922 AVT589839:AVW589922 BFP589839:BFS589922 BPL589839:BPO589922 BZH589839:BZK589922 CJD589839:CJG589922 CSZ589839:CTC589922 DCV589839:DCY589922 DMR589839:DMU589922 DWN589839:DWQ589922 EGJ589839:EGM589922 EQF589839:EQI589922 FAB589839:FAE589922 FJX589839:FKA589922 FTT589839:FTW589922 GDP589839:GDS589922 GNL589839:GNO589922 GXH589839:GXK589922 HHD589839:HHG589922 HQZ589839:HRC589922 IAV589839:IAY589922 IKR589839:IKU589922 IUN589839:IUQ589922 JEJ589839:JEM589922 JOF589839:JOI589922 JYB589839:JYE589922 KHX589839:KIA589922 KRT589839:KRW589922 LBP589839:LBS589922 LLL589839:LLO589922 LVH589839:LVK589922 MFD589839:MFG589922 MOZ589839:MPC589922 MYV589839:MYY589922 NIR589839:NIU589922 NSN589839:NSQ589922 OCJ589839:OCM589922 OMF589839:OMI589922 OWB589839:OWE589922 PFX589839:PGA589922 PPT589839:PPW589922 PZP589839:PZS589922 QJL589839:QJO589922 QTH589839:QTK589922 RDD589839:RDG589922 RMZ589839:RNC589922 RWV589839:RWY589922 SGR589839:SGU589922 SQN589839:SQQ589922 TAJ589839:TAM589922 TKF589839:TKI589922 TUB589839:TUE589922 UDX589839:UEA589922 UNT589839:UNW589922 UXP589839:UXS589922 VHL589839:VHO589922 VRH589839:VRK589922 WBD589839:WBG589922 WKZ589839:WLC589922 WUV589839:WUY589922 D655376:G655459 IJ655375:IM655458 SF655375:SI655458 ACB655375:ACE655458 ALX655375:AMA655458 AVT655375:AVW655458 BFP655375:BFS655458 BPL655375:BPO655458 BZH655375:BZK655458 CJD655375:CJG655458 CSZ655375:CTC655458 DCV655375:DCY655458 DMR655375:DMU655458 DWN655375:DWQ655458 EGJ655375:EGM655458 EQF655375:EQI655458 FAB655375:FAE655458 FJX655375:FKA655458 FTT655375:FTW655458 GDP655375:GDS655458 GNL655375:GNO655458 GXH655375:GXK655458 HHD655375:HHG655458 HQZ655375:HRC655458 IAV655375:IAY655458 IKR655375:IKU655458 IUN655375:IUQ655458 JEJ655375:JEM655458 JOF655375:JOI655458 JYB655375:JYE655458 KHX655375:KIA655458 KRT655375:KRW655458 LBP655375:LBS655458 LLL655375:LLO655458 LVH655375:LVK655458 MFD655375:MFG655458 MOZ655375:MPC655458 MYV655375:MYY655458 NIR655375:NIU655458 NSN655375:NSQ655458 OCJ655375:OCM655458 OMF655375:OMI655458 OWB655375:OWE655458 PFX655375:PGA655458 PPT655375:PPW655458 PZP655375:PZS655458 QJL655375:QJO655458 QTH655375:QTK655458 RDD655375:RDG655458 RMZ655375:RNC655458 RWV655375:RWY655458 SGR655375:SGU655458 SQN655375:SQQ655458 TAJ655375:TAM655458 TKF655375:TKI655458 TUB655375:TUE655458 UDX655375:UEA655458 UNT655375:UNW655458 UXP655375:UXS655458 VHL655375:VHO655458 VRH655375:VRK655458 WBD655375:WBG655458 WKZ655375:WLC655458 WUV655375:WUY655458 D720912:G720995 IJ720911:IM720994 SF720911:SI720994 ACB720911:ACE720994 ALX720911:AMA720994 AVT720911:AVW720994 BFP720911:BFS720994 BPL720911:BPO720994 BZH720911:BZK720994 CJD720911:CJG720994 CSZ720911:CTC720994 DCV720911:DCY720994 DMR720911:DMU720994 DWN720911:DWQ720994 EGJ720911:EGM720994 EQF720911:EQI720994 FAB720911:FAE720994 FJX720911:FKA720994 FTT720911:FTW720994 GDP720911:GDS720994 GNL720911:GNO720994 GXH720911:GXK720994 HHD720911:HHG720994 HQZ720911:HRC720994 IAV720911:IAY720994 IKR720911:IKU720994 IUN720911:IUQ720994 JEJ720911:JEM720994 JOF720911:JOI720994 JYB720911:JYE720994 KHX720911:KIA720994 KRT720911:KRW720994 LBP720911:LBS720994 LLL720911:LLO720994 LVH720911:LVK720994 MFD720911:MFG720994 MOZ720911:MPC720994 MYV720911:MYY720994 NIR720911:NIU720994 NSN720911:NSQ720994 OCJ720911:OCM720994 OMF720911:OMI720994 OWB720911:OWE720994 PFX720911:PGA720994 PPT720911:PPW720994 PZP720911:PZS720994 QJL720911:QJO720994 QTH720911:QTK720994 RDD720911:RDG720994 RMZ720911:RNC720994 RWV720911:RWY720994 SGR720911:SGU720994 SQN720911:SQQ720994 TAJ720911:TAM720994 TKF720911:TKI720994 TUB720911:TUE720994 UDX720911:UEA720994 UNT720911:UNW720994 UXP720911:UXS720994 VHL720911:VHO720994 VRH720911:VRK720994 WBD720911:WBG720994 WKZ720911:WLC720994 WUV720911:WUY720994 D786448:G786531 IJ786447:IM786530 SF786447:SI786530 ACB786447:ACE786530 ALX786447:AMA786530 AVT786447:AVW786530 BFP786447:BFS786530 BPL786447:BPO786530 BZH786447:BZK786530 CJD786447:CJG786530 CSZ786447:CTC786530 DCV786447:DCY786530 DMR786447:DMU786530 DWN786447:DWQ786530 EGJ786447:EGM786530 EQF786447:EQI786530 FAB786447:FAE786530 FJX786447:FKA786530 FTT786447:FTW786530 GDP786447:GDS786530 GNL786447:GNO786530 GXH786447:GXK786530 HHD786447:HHG786530 HQZ786447:HRC786530 IAV786447:IAY786530 IKR786447:IKU786530 IUN786447:IUQ786530 JEJ786447:JEM786530 JOF786447:JOI786530 JYB786447:JYE786530 KHX786447:KIA786530 KRT786447:KRW786530 LBP786447:LBS786530 LLL786447:LLO786530 LVH786447:LVK786530 MFD786447:MFG786530 MOZ786447:MPC786530 MYV786447:MYY786530 NIR786447:NIU786530 NSN786447:NSQ786530 OCJ786447:OCM786530 OMF786447:OMI786530 OWB786447:OWE786530 PFX786447:PGA786530 PPT786447:PPW786530 PZP786447:PZS786530 QJL786447:QJO786530 QTH786447:QTK786530 RDD786447:RDG786530 RMZ786447:RNC786530 RWV786447:RWY786530 SGR786447:SGU786530 SQN786447:SQQ786530 TAJ786447:TAM786530 TKF786447:TKI786530 TUB786447:TUE786530 UDX786447:UEA786530 UNT786447:UNW786530 UXP786447:UXS786530 VHL786447:VHO786530 VRH786447:VRK786530 WBD786447:WBG786530 WKZ786447:WLC786530 WUV786447:WUY786530 D851984:G852067 IJ851983:IM852066 SF851983:SI852066 ACB851983:ACE852066 ALX851983:AMA852066 AVT851983:AVW852066 BFP851983:BFS852066 BPL851983:BPO852066 BZH851983:BZK852066 CJD851983:CJG852066 CSZ851983:CTC852066 DCV851983:DCY852066 DMR851983:DMU852066 DWN851983:DWQ852066 EGJ851983:EGM852066 EQF851983:EQI852066 FAB851983:FAE852066 FJX851983:FKA852066 FTT851983:FTW852066 GDP851983:GDS852066 GNL851983:GNO852066 GXH851983:GXK852066 HHD851983:HHG852066 HQZ851983:HRC852066 IAV851983:IAY852066 IKR851983:IKU852066 IUN851983:IUQ852066 JEJ851983:JEM852066 JOF851983:JOI852066 JYB851983:JYE852066 KHX851983:KIA852066 KRT851983:KRW852066 LBP851983:LBS852066 LLL851983:LLO852066 LVH851983:LVK852066 MFD851983:MFG852066 MOZ851983:MPC852066 MYV851983:MYY852066 NIR851983:NIU852066 NSN851983:NSQ852066 OCJ851983:OCM852066 OMF851983:OMI852066 OWB851983:OWE852066 PFX851983:PGA852066 PPT851983:PPW852066 PZP851983:PZS852066 QJL851983:QJO852066 QTH851983:QTK852066 RDD851983:RDG852066 RMZ851983:RNC852066 RWV851983:RWY852066 SGR851983:SGU852066 SQN851983:SQQ852066 TAJ851983:TAM852066 TKF851983:TKI852066 TUB851983:TUE852066 UDX851983:UEA852066 UNT851983:UNW852066 UXP851983:UXS852066 VHL851983:VHO852066 VRH851983:VRK852066 WBD851983:WBG852066 WKZ851983:WLC852066 WUV851983:WUY852066 D917520:G917603 IJ917519:IM917602 SF917519:SI917602 ACB917519:ACE917602 ALX917519:AMA917602 AVT917519:AVW917602 BFP917519:BFS917602 BPL917519:BPO917602 BZH917519:BZK917602 CJD917519:CJG917602 CSZ917519:CTC917602 DCV917519:DCY917602 DMR917519:DMU917602 DWN917519:DWQ917602 EGJ917519:EGM917602 EQF917519:EQI917602 FAB917519:FAE917602 FJX917519:FKA917602 FTT917519:FTW917602 GDP917519:GDS917602 GNL917519:GNO917602 GXH917519:GXK917602 HHD917519:HHG917602 HQZ917519:HRC917602 IAV917519:IAY917602 IKR917519:IKU917602 IUN917519:IUQ917602 JEJ917519:JEM917602 JOF917519:JOI917602 JYB917519:JYE917602 KHX917519:KIA917602 KRT917519:KRW917602 LBP917519:LBS917602 LLL917519:LLO917602 LVH917519:LVK917602 MFD917519:MFG917602 MOZ917519:MPC917602 MYV917519:MYY917602 NIR917519:NIU917602 NSN917519:NSQ917602 OCJ917519:OCM917602 OMF917519:OMI917602 OWB917519:OWE917602 PFX917519:PGA917602 PPT917519:PPW917602 PZP917519:PZS917602 QJL917519:QJO917602 QTH917519:QTK917602 RDD917519:RDG917602 RMZ917519:RNC917602 RWV917519:RWY917602 SGR917519:SGU917602 SQN917519:SQQ917602 TAJ917519:TAM917602 TKF917519:TKI917602 TUB917519:TUE917602 UDX917519:UEA917602 UNT917519:UNW917602 UXP917519:UXS917602 VHL917519:VHO917602 VRH917519:VRK917602 WBD917519:WBG917602 WKZ917519:WLC917602 WUV917519:WUY917602 D983056:G983139 IJ983055:IM983138 SF983055:SI983138 ACB983055:ACE983138 ALX983055:AMA983138 AVT983055:AVW983138 BFP983055:BFS983138 BPL983055:BPO983138 BZH983055:BZK983138 CJD983055:CJG983138 CSZ983055:CTC983138 DCV983055:DCY983138 DMR983055:DMU983138 DWN983055:DWQ983138 EGJ983055:EGM983138 EQF983055:EQI983138 FAB983055:FAE983138 FJX983055:FKA983138 FTT983055:FTW983138 GDP983055:GDS983138 GNL983055:GNO983138 GXH983055:GXK983138 HHD983055:HHG983138 HQZ983055:HRC983138 IAV983055:IAY983138 IKR983055:IKU983138 IUN983055:IUQ983138 JEJ983055:JEM983138 JOF983055:JOI983138 JYB983055:JYE983138 KHX983055:KIA983138 KRT983055:KRW983138 LBP983055:LBS983138 LLL983055:LLO983138 LVH983055:LVK983138 MFD983055:MFG983138 MOZ983055:MPC983138 MYV983055:MYY983138 NIR983055:NIU983138 NSN983055:NSQ983138 OCJ983055:OCM983138 OMF983055:OMI983138 OWB983055:OWE983138 PFX983055:PGA983138 PPT983055:PPW983138 PZP983055:PZS983138 QJL983055:QJO983138 QTH983055:QTK983138 RDD983055:RDG983138 RMZ983055:RNC983138 RWV983055:RWY983138 SGR983055:SGU983138 SQN983055:SQQ983138 TAJ983055:TAM983138 TKF983055:TKI983138 TUB983055:TUE983138 UDX983055:UEA983138 UNT983055:UNW983138 UXP983055:UXS983138 VHL983055:VHO983138 VRH983055:VRK983138 WBD983055:WBG983138 WKZ983055:WLC983138 WUV983055:WUY983138 WKZ983032:WLC983051 QJL19:QJO28 QTH19:QTK28 RDD19:RDG28 RMZ19:RNC28 RWV19:RWY28 SGR19:SGU28 SQN19:SQQ28 TAJ19:TAM28 TKF19:TKI28 TUB19:TUE28 UDX19:UEA28 UNT19:UNW28 UXP19:UXS28 VHL19:VHO28 VRH19:VRK28 WBD19:WBG28 WKZ19:WLC28 WUV19:WUY28 IJ19:IM28 SF19:SI28 ACB19:ACE28 ALX19:AMA28 AVT19:AVW28 BFP19:BFS28 BPL19:BPO28 BZH19:BZK28 CJD19:CJG28 CSZ19:CTC28 DCV19:DCY28 DMR19:DMU28 DWN19:DWQ28 EGJ19:EGM28 EQF19:EQI28 FAB19:FAE28 FJX19:FKA28 FTT19:FTW28 GDP19:GDS28 GNL19:GNO28 GXH19:GXK28 HHD19:HHG28 HQZ19:HRC28 IAV19:IAY28 IKR19:IKU28 IUN19:IUQ28 JEJ19:JEM28 JOF19:JOI28 JYB19:JYE28 KHX19:KIA28 KRT19:KRW28 LBP19:LBS28 LLL19:LLO28 LVH19:LVK28 MFD19:MFG28 MOZ19:MPC28 MYV19:MYY28 NIR19:NIU28 NSN19:NSQ28 OCJ19:OCM28 OMF19:OMI28 OWB19:OWE28 PFX19:PGA28 ACB216:ACE236 UDX983032:UEA983051 D65529:G65548 IJ65528:IM65547 SF65528:SI65547 ACB65528:ACE65547 ALX65528:AMA65547 AVT65528:AVW65547 BFP65528:BFS65547 BPL65528:BPO65547 BZH65528:BZK65547 CJD65528:CJG65547 CSZ65528:CTC65547 DCV65528:DCY65547 DMR65528:DMU65547 DWN65528:DWQ65547 EGJ65528:EGM65547 EQF65528:EQI65547 FAB65528:FAE65547 FJX65528:FKA65547 FTT65528:FTW65547 GDP65528:GDS65547 GNL65528:GNO65547 GXH65528:GXK65547 HHD65528:HHG65547 HQZ65528:HRC65547 IAV65528:IAY65547 IKR65528:IKU65547 IUN65528:IUQ65547 JEJ65528:JEM65547 JOF65528:JOI65547 JYB65528:JYE65547 KHX65528:KIA65547 KRT65528:KRW65547 LBP65528:LBS65547 LLL65528:LLO65547 LVH65528:LVK65547 MFD65528:MFG65547 MOZ65528:MPC65547 MYV65528:MYY65547 NIR65528:NIU65547 NSN65528:NSQ65547 OCJ65528:OCM65547 OMF65528:OMI65547 OWB65528:OWE65547 PFX65528:PGA65547 PPT65528:PPW65547 PZP65528:PZS65547 QJL65528:QJO65547 QTH65528:QTK65547 RDD65528:RDG65547 RMZ65528:RNC65547 RWV65528:RWY65547 SGR65528:SGU65547 SQN65528:SQQ65547 TAJ65528:TAM65547 TKF65528:TKI65547 TUB65528:TUE65547 UDX65528:UEA65547 UNT65528:UNW65547 UXP65528:UXS65547 VHL65528:VHO65547 VRH65528:VRK65547 WBD65528:WBG65547 WKZ65528:WLC65547 WUV65528:WUY65547 D131065:G131084 IJ131064:IM131083 SF131064:SI131083 ACB131064:ACE131083 ALX131064:AMA131083 AVT131064:AVW131083 BFP131064:BFS131083 BPL131064:BPO131083 BZH131064:BZK131083 CJD131064:CJG131083 CSZ131064:CTC131083 DCV131064:DCY131083 DMR131064:DMU131083 DWN131064:DWQ131083 EGJ131064:EGM131083 EQF131064:EQI131083 FAB131064:FAE131083 FJX131064:FKA131083 FTT131064:FTW131083 GDP131064:GDS131083 GNL131064:GNO131083 GXH131064:GXK131083 HHD131064:HHG131083 HQZ131064:HRC131083 IAV131064:IAY131083 IKR131064:IKU131083 IUN131064:IUQ131083 JEJ131064:JEM131083 JOF131064:JOI131083 JYB131064:JYE131083 KHX131064:KIA131083 KRT131064:KRW131083 LBP131064:LBS131083 LLL131064:LLO131083 LVH131064:LVK131083 MFD131064:MFG131083 MOZ131064:MPC131083 MYV131064:MYY131083 NIR131064:NIU131083 NSN131064:NSQ131083 OCJ131064:OCM131083 OMF131064:OMI131083 OWB131064:OWE131083 PFX131064:PGA131083 PPT131064:PPW131083 PZP131064:PZS131083 QJL131064:QJO131083 QTH131064:QTK131083 RDD131064:RDG131083 RMZ131064:RNC131083 RWV131064:RWY131083 SGR131064:SGU131083 SQN131064:SQQ131083 TAJ131064:TAM131083 TKF131064:TKI131083 TUB131064:TUE131083 UDX131064:UEA131083 UNT131064:UNW131083 UXP131064:UXS131083 VHL131064:VHO131083 VRH131064:VRK131083 WBD131064:WBG131083 WKZ131064:WLC131083 WUV131064:WUY131083 D196601:G196620 IJ196600:IM196619 SF196600:SI196619 ACB196600:ACE196619 ALX196600:AMA196619 AVT196600:AVW196619 BFP196600:BFS196619 BPL196600:BPO196619 BZH196600:BZK196619 CJD196600:CJG196619 CSZ196600:CTC196619 DCV196600:DCY196619 DMR196600:DMU196619 DWN196600:DWQ196619 EGJ196600:EGM196619 EQF196600:EQI196619 FAB196600:FAE196619 FJX196600:FKA196619 FTT196600:FTW196619 GDP196600:GDS196619 GNL196600:GNO196619 GXH196600:GXK196619 HHD196600:HHG196619 HQZ196600:HRC196619 IAV196600:IAY196619 IKR196600:IKU196619 IUN196600:IUQ196619 JEJ196600:JEM196619 JOF196600:JOI196619 JYB196600:JYE196619 KHX196600:KIA196619 KRT196600:KRW196619 LBP196600:LBS196619 LLL196600:LLO196619 LVH196600:LVK196619 MFD196600:MFG196619 MOZ196600:MPC196619 MYV196600:MYY196619 NIR196600:NIU196619 NSN196600:NSQ196619 OCJ196600:OCM196619 OMF196600:OMI196619 OWB196600:OWE196619 PFX196600:PGA196619 PPT196600:PPW196619 PZP196600:PZS196619 QJL196600:QJO196619 QTH196600:QTK196619 RDD196600:RDG196619 RMZ196600:RNC196619 RWV196600:RWY196619 SGR196600:SGU196619 SQN196600:SQQ196619 TAJ196600:TAM196619 TKF196600:TKI196619 TUB196600:TUE196619 UDX196600:UEA196619 UNT196600:UNW196619 UXP196600:UXS196619 VHL196600:VHO196619 VRH196600:VRK196619 WBD196600:WBG196619 WKZ196600:WLC196619 WUV196600:WUY196619 D262137:G262156 IJ262136:IM262155 SF262136:SI262155 ACB262136:ACE262155 ALX262136:AMA262155 AVT262136:AVW262155 BFP262136:BFS262155 BPL262136:BPO262155 BZH262136:BZK262155 CJD262136:CJG262155 CSZ262136:CTC262155 DCV262136:DCY262155 DMR262136:DMU262155 DWN262136:DWQ262155 EGJ262136:EGM262155 EQF262136:EQI262155 FAB262136:FAE262155 FJX262136:FKA262155 FTT262136:FTW262155 GDP262136:GDS262155 GNL262136:GNO262155 GXH262136:GXK262155 HHD262136:HHG262155 HQZ262136:HRC262155 IAV262136:IAY262155 IKR262136:IKU262155 IUN262136:IUQ262155 JEJ262136:JEM262155 JOF262136:JOI262155 JYB262136:JYE262155 KHX262136:KIA262155 KRT262136:KRW262155 LBP262136:LBS262155 LLL262136:LLO262155 LVH262136:LVK262155 MFD262136:MFG262155 MOZ262136:MPC262155 MYV262136:MYY262155 NIR262136:NIU262155 NSN262136:NSQ262155 OCJ262136:OCM262155 OMF262136:OMI262155 OWB262136:OWE262155 PFX262136:PGA262155 PPT262136:PPW262155 PZP262136:PZS262155 QJL262136:QJO262155 QTH262136:QTK262155 RDD262136:RDG262155 RMZ262136:RNC262155 RWV262136:RWY262155 SGR262136:SGU262155 SQN262136:SQQ262155 TAJ262136:TAM262155 TKF262136:TKI262155 TUB262136:TUE262155 UDX262136:UEA262155 UNT262136:UNW262155 UXP262136:UXS262155 VHL262136:VHO262155 VRH262136:VRK262155 WBD262136:WBG262155 WKZ262136:WLC262155 WUV262136:WUY262155 D327673:G327692 IJ327672:IM327691 SF327672:SI327691 ACB327672:ACE327691 ALX327672:AMA327691 AVT327672:AVW327691 BFP327672:BFS327691 BPL327672:BPO327691 BZH327672:BZK327691 CJD327672:CJG327691 CSZ327672:CTC327691 DCV327672:DCY327691 DMR327672:DMU327691 DWN327672:DWQ327691 EGJ327672:EGM327691 EQF327672:EQI327691 FAB327672:FAE327691 FJX327672:FKA327691 FTT327672:FTW327691 GDP327672:GDS327691 GNL327672:GNO327691 GXH327672:GXK327691 HHD327672:HHG327691 HQZ327672:HRC327691 IAV327672:IAY327691 IKR327672:IKU327691 IUN327672:IUQ327691 JEJ327672:JEM327691 JOF327672:JOI327691 JYB327672:JYE327691 KHX327672:KIA327691 KRT327672:KRW327691 LBP327672:LBS327691 LLL327672:LLO327691 LVH327672:LVK327691 MFD327672:MFG327691 MOZ327672:MPC327691 MYV327672:MYY327691 NIR327672:NIU327691 NSN327672:NSQ327691 OCJ327672:OCM327691 OMF327672:OMI327691 OWB327672:OWE327691 PFX327672:PGA327691 PPT327672:PPW327691 PZP327672:PZS327691 QJL327672:QJO327691 QTH327672:QTK327691 RDD327672:RDG327691 RMZ327672:RNC327691 RWV327672:RWY327691 SGR327672:SGU327691 SQN327672:SQQ327691 TAJ327672:TAM327691 TKF327672:TKI327691 TUB327672:TUE327691 UDX327672:UEA327691 UNT327672:UNW327691 UXP327672:UXS327691 VHL327672:VHO327691 VRH327672:VRK327691 WBD327672:WBG327691 WKZ327672:WLC327691 WUV327672:WUY327691 D393209:G393228 IJ393208:IM393227 SF393208:SI393227 ACB393208:ACE393227 ALX393208:AMA393227 AVT393208:AVW393227 BFP393208:BFS393227 BPL393208:BPO393227 BZH393208:BZK393227 CJD393208:CJG393227 CSZ393208:CTC393227 DCV393208:DCY393227 DMR393208:DMU393227 DWN393208:DWQ393227 EGJ393208:EGM393227 EQF393208:EQI393227 FAB393208:FAE393227 FJX393208:FKA393227 FTT393208:FTW393227 GDP393208:GDS393227 GNL393208:GNO393227 GXH393208:GXK393227 HHD393208:HHG393227 HQZ393208:HRC393227 IAV393208:IAY393227 IKR393208:IKU393227 IUN393208:IUQ393227 JEJ393208:JEM393227 JOF393208:JOI393227 JYB393208:JYE393227 KHX393208:KIA393227 KRT393208:KRW393227 LBP393208:LBS393227 LLL393208:LLO393227 LVH393208:LVK393227 MFD393208:MFG393227 MOZ393208:MPC393227 MYV393208:MYY393227 NIR393208:NIU393227 NSN393208:NSQ393227 OCJ393208:OCM393227 OMF393208:OMI393227 OWB393208:OWE393227 PFX393208:PGA393227 PPT393208:PPW393227 PZP393208:PZS393227 QJL393208:QJO393227 QTH393208:QTK393227 RDD393208:RDG393227 RMZ393208:RNC393227 RWV393208:RWY393227 SGR393208:SGU393227 SQN393208:SQQ393227 TAJ393208:TAM393227 TKF393208:TKI393227 TUB393208:TUE393227 UDX393208:UEA393227 UNT393208:UNW393227 UXP393208:UXS393227 VHL393208:VHO393227 VRH393208:VRK393227 WBD393208:WBG393227 WKZ393208:WLC393227 WUV393208:WUY393227 D458745:G458764 IJ458744:IM458763 SF458744:SI458763 ACB458744:ACE458763 ALX458744:AMA458763 AVT458744:AVW458763 BFP458744:BFS458763 BPL458744:BPO458763 BZH458744:BZK458763 CJD458744:CJG458763 CSZ458744:CTC458763 DCV458744:DCY458763 DMR458744:DMU458763 DWN458744:DWQ458763 EGJ458744:EGM458763 EQF458744:EQI458763 FAB458744:FAE458763 FJX458744:FKA458763 FTT458744:FTW458763 GDP458744:GDS458763 GNL458744:GNO458763 GXH458744:GXK458763 HHD458744:HHG458763 HQZ458744:HRC458763 IAV458744:IAY458763 IKR458744:IKU458763 IUN458744:IUQ458763 JEJ458744:JEM458763 JOF458744:JOI458763 JYB458744:JYE458763 KHX458744:KIA458763 KRT458744:KRW458763 LBP458744:LBS458763 LLL458744:LLO458763 LVH458744:LVK458763 MFD458744:MFG458763 MOZ458744:MPC458763 MYV458744:MYY458763 NIR458744:NIU458763 NSN458744:NSQ458763 OCJ458744:OCM458763 OMF458744:OMI458763 OWB458744:OWE458763 PFX458744:PGA458763 PPT458744:PPW458763 PZP458744:PZS458763 QJL458744:QJO458763 QTH458744:QTK458763 RDD458744:RDG458763 RMZ458744:RNC458763 RWV458744:RWY458763 SGR458744:SGU458763 SQN458744:SQQ458763 TAJ458744:TAM458763 TKF458744:TKI458763 TUB458744:TUE458763 UDX458744:UEA458763 UNT458744:UNW458763 UXP458744:UXS458763 VHL458744:VHO458763 VRH458744:VRK458763 WBD458744:WBG458763 WKZ458744:WLC458763 WUV458744:WUY458763 D524281:G524300 IJ524280:IM524299 SF524280:SI524299 ACB524280:ACE524299 ALX524280:AMA524299 AVT524280:AVW524299 BFP524280:BFS524299 BPL524280:BPO524299 BZH524280:BZK524299 CJD524280:CJG524299 CSZ524280:CTC524299 DCV524280:DCY524299 DMR524280:DMU524299 DWN524280:DWQ524299 EGJ524280:EGM524299 EQF524280:EQI524299 FAB524280:FAE524299 FJX524280:FKA524299 FTT524280:FTW524299 GDP524280:GDS524299 GNL524280:GNO524299 GXH524280:GXK524299 HHD524280:HHG524299 HQZ524280:HRC524299 IAV524280:IAY524299 IKR524280:IKU524299 IUN524280:IUQ524299 JEJ524280:JEM524299 JOF524280:JOI524299 JYB524280:JYE524299 KHX524280:KIA524299 KRT524280:KRW524299 LBP524280:LBS524299 LLL524280:LLO524299 LVH524280:LVK524299 MFD524280:MFG524299 MOZ524280:MPC524299 MYV524280:MYY524299 NIR524280:NIU524299 NSN524280:NSQ524299 OCJ524280:OCM524299 OMF524280:OMI524299 OWB524280:OWE524299 PFX524280:PGA524299 PPT524280:PPW524299 PZP524280:PZS524299 QJL524280:QJO524299 QTH524280:QTK524299 RDD524280:RDG524299 RMZ524280:RNC524299 RWV524280:RWY524299 SGR524280:SGU524299 SQN524280:SQQ524299 TAJ524280:TAM524299 TKF524280:TKI524299 TUB524280:TUE524299 UDX524280:UEA524299 UNT524280:UNW524299 UXP524280:UXS524299 VHL524280:VHO524299 VRH524280:VRK524299 WBD524280:WBG524299 WKZ524280:WLC524299 WUV524280:WUY524299 D589817:G589836 IJ589816:IM589835 SF589816:SI589835 ACB589816:ACE589835 ALX589816:AMA589835 AVT589816:AVW589835 BFP589816:BFS589835 BPL589816:BPO589835 BZH589816:BZK589835 CJD589816:CJG589835 CSZ589816:CTC589835 DCV589816:DCY589835 DMR589816:DMU589835 DWN589816:DWQ589835 EGJ589816:EGM589835 EQF589816:EQI589835 FAB589816:FAE589835 FJX589816:FKA589835 FTT589816:FTW589835 GDP589816:GDS589835 GNL589816:GNO589835 GXH589816:GXK589835 HHD589816:HHG589835 HQZ589816:HRC589835 IAV589816:IAY589835 IKR589816:IKU589835 IUN589816:IUQ589835 JEJ589816:JEM589835 JOF589816:JOI589835 JYB589816:JYE589835 KHX589816:KIA589835 KRT589816:KRW589835 LBP589816:LBS589835 LLL589816:LLO589835 LVH589816:LVK589835 MFD589816:MFG589835 MOZ589816:MPC589835 MYV589816:MYY589835 NIR589816:NIU589835 NSN589816:NSQ589835 OCJ589816:OCM589835 OMF589816:OMI589835 OWB589816:OWE589835 PFX589816:PGA589835 PPT589816:PPW589835 PZP589816:PZS589835 QJL589816:QJO589835 QTH589816:QTK589835 RDD589816:RDG589835 RMZ589816:RNC589835 RWV589816:RWY589835 SGR589816:SGU589835 SQN589816:SQQ589835 TAJ589816:TAM589835 TKF589816:TKI589835 TUB589816:TUE589835 UDX589816:UEA589835 UNT589816:UNW589835 UXP589816:UXS589835 VHL589816:VHO589835 VRH589816:VRK589835 WBD589816:WBG589835 WKZ589816:WLC589835 WUV589816:WUY589835 D655353:G655372 IJ655352:IM655371 SF655352:SI655371 ACB655352:ACE655371 ALX655352:AMA655371 AVT655352:AVW655371 BFP655352:BFS655371 BPL655352:BPO655371 BZH655352:BZK655371 CJD655352:CJG655371 CSZ655352:CTC655371 DCV655352:DCY655371 DMR655352:DMU655371 DWN655352:DWQ655371 EGJ655352:EGM655371 EQF655352:EQI655371 FAB655352:FAE655371 FJX655352:FKA655371 FTT655352:FTW655371 GDP655352:GDS655371 GNL655352:GNO655371 GXH655352:GXK655371 HHD655352:HHG655371 HQZ655352:HRC655371 IAV655352:IAY655371 IKR655352:IKU655371 IUN655352:IUQ655371 JEJ655352:JEM655371 JOF655352:JOI655371 JYB655352:JYE655371 KHX655352:KIA655371 KRT655352:KRW655371 LBP655352:LBS655371 LLL655352:LLO655371 LVH655352:LVK655371 MFD655352:MFG655371 MOZ655352:MPC655371 MYV655352:MYY655371 NIR655352:NIU655371 NSN655352:NSQ655371 OCJ655352:OCM655371 OMF655352:OMI655371 OWB655352:OWE655371 PFX655352:PGA655371 PPT655352:PPW655371 PZP655352:PZS655371 QJL655352:QJO655371 QTH655352:QTK655371 RDD655352:RDG655371 RMZ655352:RNC655371 RWV655352:RWY655371 SGR655352:SGU655371 SQN655352:SQQ655371 TAJ655352:TAM655371 TKF655352:TKI655371 TUB655352:TUE655371 UDX655352:UEA655371 UNT655352:UNW655371 UXP655352:UXS655371 VHL655352:VHO655371 VRH655352:VRK655371 WBD655352:WBG655371 WKZ655352:WLC655371 WUV655352:WUY655371 D720889:G720908 IJ720888:IM720907 SF720888:SI720907 ACB720888:ACE720907 ALX720888:AMA720907 AVT720888:AVW720907 BFP720888:BFS720907 BPL720888:BPO720907 BZH720888:BZK720907 CJD720888:CJG720907 CSZ720888:CTC720907 DCV720888:DCY720907 DMR720888:DMU720907 DWN720888:DWQ720907 EGJ720888:EGM720907 EQF720888:EQI720907 FAB720888:FAE720907 FJX720888:FKA720907 FTT720888:FTW720907 GDP720888:GDS720907 GNL720888:GNO720907 GXH720888:GXK720907 HHD720888:HHG720907 HQZ720888:HRC720907 IAV720888:IAY720907 IKR720888:IKU720907 IUN720888:IUQ720907 JEJ720888:JEM720907 JOF720888:JOI720907 JYB720888:JYE720907 KHX720888:KIA720907 KRT720888:KRW720907 LBP720888:LBS720907 LLL720888:LLO720907 LVH720888:LVK720907 MFD720888:MFG720907 MOZ720888:MPC720907 MYV720888:MYY720907 NIR720888:NIU720907 NSN720888:NSQ720907 OCJ720888:OCM720907 OMF720888:OMI720907 OWB720888:OWE720907 PFX720888:PGA720907 PPT720888:PPW720907 PZP720888:PZS720907 QJL720888:QJO720907 QTH720888:QTK720907 RDD720888:RDG720907 RMZ720888:RNC720907 RWV720888:RWY720907 SGR720888:SGU720907 SQN720888:SQQ720907 TAJ720888:TAM720907 TKF720888:TKI720907 TUB720888:TUE720907 UDX720888:UEA720907 UNT720888:UNW720907 UXP720888:UXS720907 VHL720888:VHO720907 VRH720888:VRK720907 WBD720888:WBG720907 WKZ720888:WLC720907 WUV720888:WUY720907 D786425:G786444 IJ786424:IM786443 SF786424:SI786443 ACB786424:ACE786443 ALX786424:AMA786443 AVT786424:AVW786443 BFP786424:BFS786443 BPL786424:BPO786443 BZH786424:BZK786443 CJD786424:CJG786443 CSZ786424:CTC786443 DCV786424:DCY786443 DMR786424:DMU786443 DWN786424:DWQ786443 EGJ786424:EGM786443 EQF786424:EQI786443 FAB786424:FAE786443 FJX786424:FKA786443 FTT786424:FTW786443 GDP786424:GDS786443 GNL786424:GNO786443 GXH786424:GXK786443 HHD786424:HHG786443 HQZ786424:HRC786443 IAV786424:IAY786443 IKR786424:IKU786443 IUN786424:IUQ786443 JEJ786424:JEM786443 JOF786424:JOI786443 JYB786424:JYE786443 KHX786424:KIA786443 KRT786424:KRW786443 LBP786424:LBS786443 LLL786424:LLO786443 LVH786424:LVK786443 MFD786424:MFG786443 MOZ786424:MPC786443 MYV786424:MYY786443 NIR786424:NIU786443 NSN786424:NSQ786443 OCJ786424:OCM786443 OMF786424:OMI786443 OWB786424:OWE786443 PFX786424:PGA786443 PPT786424:PPW786443 PZP786424:PZS786443 QJL786424:QJO786443 QTH786424:QTK786443 RDD786424:RDG786443 RMZ786424:RNC786443 RWV786424:RWY786443 SGR786424:SGU786443 SQN786424:SQQ786443 TAJ786424:TAM786443 TKF786424:TKI786443 TUB786424:TUE786443 UDX786424:UEA786443 UNT786424:UNW786443 UXP786424:UXS786443 VHL786424:VHO786443 VRH786424:VRK786443 WBD786424:WBG786443 WKZ786424:WLC786443 WUV786424:WUY786443 D851961:G851980 IJ851960:IM851979 SF851960:SI851979 ACB851960:ACE851979 ALX851960:AMA851979 AVT851960:AVW851979 BFP851960:BFS851979 BPL851960:BPO851979 BZH851960:BZK851979 CJD851960:CJG851979 CSZ851960:CTC851979 DCV851960:DCY851979 DMR851960:DMU851979 DWN851960:DWQ851979 EGJ851960:EGM851979 EQF851960:EQI851979 FAB851960:FAE851979 FJX851960:FKA851979 FTT851960:FTW851979 GDP851960:GDS851979 GNL851960:GNO851979 GXH851960:GXK851979 HHD851960:HHG851979 HQZ851960:HRC851979 IAV851960:IAY851979 IKR851960:IKU851979 IUN851960:IUQ851979 JEJ851960:JEM851979 JOF851960:JOI851979 JYB851960:JYE851979 KHX851960:KIA851979 KRT851960:KRW851979 LBP851960:LBS851979 LLL851960:LLO851979 LVH851960:LVK851979 MFD851960:MFG851979 MOZ851960:MPC851979 MYV851960:MYY851979 NIR851960:NIU851979 NSN851960:NSQ851979 OCJ851960:OCM851979 OMF851960:OMI851979 OWB851960:OWE851979 PFX851960:PGA851979 PPT851960:PPW851979 PZP851960:PZS851979 QJL851960:QJO851979 QTH851960:QTK851979 RDD851960:RDG851979 RMZ851960:RNC851979 RWV851960:RWY851979 SGR851960:SGU851979 SQN851960:SQQ851979 TAJ851960:TAM851979 TKF851960:TKI851979 TUB851960:TUE851979 UDX851960:UEA851979 UNT851960:UNW851979 UXP851960:UXS851979 VHL851960:VHO851979 VRH851960:VRK851979 WBD851960:WBG851979 WKZ851960:WLC851979 WUV851960:WUY851979 D917497:G917516 IJ917496:IM917515 SF917496:SI917515 ACB917496:ACE917515 ALX917496:AMA917515 AVT917496:AVW917515 BFP917496:BFS917515 BPL917496:BPO917515 BZH917496:BZK917515 CJD917496:CJG917515 CSZ917496:CTC917515 DCV917496:DCY917515 DMR917496:DMU917515 DWN917496:DWQ917515 EGJ917496:EGM917515 EQF917496:EQI917515 FAB917496:FAE917515 FJX917496:FKA917515 FTT917496:FTW917515 GDP917496:GDS917515 GNL917496:GNO917515 GXH917496:GXK917515 HHD917496:HHG917515 HQZ917496:HRC917515 IAV917496:IAY917515 IKR917496:IKU917515 IUN917496:IUQ917515 JEJ917496:JEM917515 JOF917496:JOI917515 JYB917496:JYE917515 KHX917496:KIA917515 KRT917496:KRW917515 LBP917496:LBS917515 LLL917496:LLO917515 LVH917496:LVK917515 MFD917496:MFG917515 MOZ917496:MPC917515 MYV917496:MYY917515 NIR917496:NIU917515 NSN917496:NSQ917515 OCJ917496:OCM917515 OMF917496:OMI917515 OWB917496:OWE917515 PFX917496:PGA917515 PPT917496:PPW917515 PZP917496:PZS917515 QJL917496:QJO917515 QTH917496:QTK917515 RDD917496:RDG917515 RMZ917496:RNC917515 RWV917496:RWY917515 SGR917496:SGU917515 SQN917496:SQQ917515 TAJ917496:TAM917515 TKF917496:TKI917515 TUB917496:TUE917515 UDX917496:UEA917515 UNT917496:UNW917515 UXP917496:UXS917515 VHL917496:VHO917515 VRH917496:VRK917515 WBD917496:WBG917515 WKZ917496:WLC917515 WUV917496:WUY917515 D983033:G983052 IJ983032:IM983051 SF983032:SI983051 ACB983032:ACE983051 ALX983032:AMA983051 AVT983032:AVW983051 BFP983032:BFS983051 BPL983032:BPO983051 BZH983032:BZK983051 CJD983032:CJG983051 CSZ983032:CTC983051 DCV983032:DCY983051 DMR983032:DMU983051 DWN983032:DWQ983051 EGJ983032:EGM983051 EQF983032:EQI983051 FAB983032:FAE983051 FJX983032:FKA983051 FTT983032:FTW983051 GDP983032:GDS983051 GNL983032:GNO983051 GXH983032:GXK983051 HHD983032:HHG983051 HQZ983032:HRC983051 IAV983032:IAY983051 IKR983032:IKU983051 IUN983032:IUQ983051 JEJ983032:JEM983051 JOF983032:JOI983051 JYB983032:JYE983051 KHX983032:KIA983051 KRT983032:KRW983051 LBP983032:LBS983051 LLL983032:LLO983051 LVH983032:LVK983051 MFD983032:MFG983051 MOZ983032:MPC983051 MYV983032:MYY983051 NIR983032:NIU983051 NSN983032:NSQ983051 OCJ983032:OCM983051 OMF983032:OMI983051 OWB983032:OWE983051 PFX983032:PGA983051 PPT983032:PPW983051 PZP983032:PZS983051 QJL983032:QJO983051 QTH983032:QTK983051 RDD983032:RDG983051 RMZ983032:RNC983051 RWV983032:RWY983051 SGR983032:SGU983051 SQN983032:SQQ983051 TAJ983032:TAM983051 TKF983032:TKI983051 TUB983032:TUE983051 PPT19:PPW28">
      <formula1>ISNUMBER(D19)</formula1>
    </dataValidation>
    <dataValidation type="decimal" allowBlank="1" showInputMessage="1" showErrorMessage="1" errorTitle="Invalid Entry" error="FTE amount must be between 0 and 1." sqref="H217:O236 H19:O28 H95:O144 H148:O167 H171:O190 H194:O213 H32:O91">
      <formula1>0</formula1>
      <formula2>1</formula2>
    </dataValidation>
  </dataValidations>
  <pageMargins left="0.70866141732283472" right="0.70866141732283472" top="0.74803149606299213" bottom="0.74803149606299213" header="0.31496062992125984" footer="0.31496062992125984"/>
  <pageSetup paperSize="8" scale="31" orientation="portrait"/>
  <headerFooter scaleWithDoc="1" alignWithMargins="0" differentFirst="0" differentOddEven="0"/>
  <drawing r:id="rId2"/>
  <legacyDrawing r:id="rId3"/>
  <controls xmlns="http://schemas.openxmlformats.org/spreadsheetml/2006/main">
    <mc:AlternateContent xmlns:mc="http://schemas.openxmlformats.org/markup-compatibility/2006">
      <mc:Choice Requires="x14">
        <control xmlns:r="http://schemas.openxmlformats.org/officeDocument/2006/relationships" shapeId="49166" r:id="rId4" name="btnOtherDelete">
          <controlPr defaultSize="0" autoLine="0" r:id="rId5">
            <anchor moveWithCells="1">
              <from>
                <xdr:col xmlns:xdr="http://schemas.openxmlformats.org/drawingml/2006/spreadsheetDrawing">4</xdr:col>
                <xdr:colOff xmlns:xdr="http://schemas.openxmlformats.org/drawingml/2006/spreadsheetDrawing">9460</xdr:colOff>
                <xdr:row xmlns:xdr="http://schemas.openxmlformats.org/drawingml/2006/spreadsheetDrawing">214</xdr:row>
                <xdr:rowOff xmlns:xdr="http://schemas.openxmlformats.org/drawingml/2006/spreadsheetDrawing">9525</xdr:rowOff>
              </from>
              <to>
                <xdr:col xmlns:xdr="http://schemas.openxmlformats.org/drawingml/2006/spreadsheetDrawing">5</xdr:col>
                <xdr:colOff xmlns:xdr="http://schemas.openxmlformats.org/drawingml/2006/spreadsheetDrawing">18864</xdr:colOff>
                <xdr:row xmlns:xdr="http://schemas.openxmlformats.org/drawingml/2006/spreadsheetDrawing">215</xdr:row>
                <xdr:rowOff xmlns:xdr="http://schemas.openxmlformats.org/drawingml/2006/spreadsheetDrawing">133350</xdr:rowOff>
              </to>
            </anchor>
          </controlPr>
        </control>
      </mc:Choice>
      <mc:Fallback>
        <control xmlns:r="http://schemas.openxmlformats.org/officeDocument/2006/relationships" shapeId="49166" r:id="rId4" name="btnOtherDelete"/>
      </mc:Fallback>
    </mc:AlternateContent>
    <mc:AlternateContent xmlns:mc="http://schemas.openxmlformats.org/markup-compatibility/2006">
      <mc:Choice Requires="x14">
        <control xmlns:r="http://schemas.openxmlformats.org/officeDocument/2006/relationships" shapeId="49165" r:id="rId6" name="btnOtherAdd">
          <controlPr defaultSize="0" autoLine="0" r:id="rId7">
            <anchor moveWithCells="1">
              <from>
                <xdr:col xmlns:xdr="http://schemas.openxmlformats.org/drawingml/2006/spreadsheetDrawing">3</xdr:col>
                <xdr:colOff xmlns:xdr="http://schemas.openxmlformats.org/drawingml/2006/spreadsheetDrawing">0</xdr:colOff>
                <xdr:row xmlns:xdr="http://schemas.openxmlformats.org/drawingml/2006/spreadsheetDrawing">214</xdr:row>
                <xdr:rowOff xmlns:xdr="http://schemas.openxmlformats.org/drawingml/2006/spreadsheetDrawing">9525</xdr:rowOff>
              </from>
              <to>
                <xdr:col xmlns:xdr="http://schemas.openxmlformats.org/drawingml/2006/spreadsheetDrawing">4</xdr:col>
                <xdr:colOff xmlns:xdr="http://schemas.openxmlformats.org/drawingml/2006/spreadsheetDrawing">0</xdr:colOff>
                <xdr:row xmlns:xdr="http://schemas.openxmlformats.org/drawingml/2006/spreadsheetDrawing">215</xdr:row>
                <xdr:rowOff xmlns:xdr="http://schemas.openxmlformats.org/drawingml/2006/spreadsheetDrawing">133350</xdr:rowOff>
              </to>
            </anchor>
          </controlPr>
        </control>
      </mc:Choice>
      <mc:Fallback>
        <control xmlns:r="http://schemas.openxmlformats.org/officeDocument/2006/relationships" shapeId="49165" r:id="rId6" name="btnOtherAdd"/>
      </mc:Fallback>
    </mc:AlternateContent>
    <mc:AlternateContent xmlns:mc="http://schemas.openxmlformats.org/markup-compatibility/2006">
      <mc:Choice Requires="x14">
        <control xmlns:r="http://schemas.openxmlformats.org/officeDocument/2006/relationships" shapeId="49164" r:id="rId8" name="btnCateringDelete">
          <controlPr defaultSize="0" autoLine="0" r:id="rId9">
            <anchor moveWithCells="1">
              <from>
                <xdr:col xmlns:xdr="http://schemas.openxmlformats.org/drawingml/2006/spreadsheetDrawing">4</xdr:col>
                <xdr:colOff xmlns:xdr="http://schemas.openxmlformats.org/drawingml/2006/spreadsheetDrawing">9460</xdr:colOff>
                <xdr:row xmlns:xdr="http://schemas.openxmlformats.org/drawingml/2006/spreadsheetDrawing">191</xdr:row>
                <xdr:rowOff xmlns:xdr="http://schemas.openxmlformats.org/drawingml/2006/spreadsheetDrawing">9525</xdr:rowOff>
              </from>
              <to>
                <xdr:col xmlns:xdr="http://schemas.openxmlformats.org/drawingml/2006/spreadsheetDrawing">5</xdr:col>
                <xdr:colOff xmlns:xdr="http://schemas.openxmlformats.org/drawingml/2006/spreadsheetDrawing">18864</xdr:colOff>
                <xdr:row xmlns:xdr="http://schemas.openxmlformats.org/drawingml/2006/spreadsheetDrawing">192</xdr:row>
                <xdr:rowOff xmlns:xdr="http://schemas.openxmlformats.org/drawingml/2006/spreadsheetDrawing">133350</xdr:rowOff>
              </to>
            </anchor>
          </controlPr>
        </control>
      </mc:Choice>
      <mc:Fallback>
        <control xmlns:r="http://schemas.openxmlformats.org/officeDocument/2006/relationships" shapeId="49164" r:id="rId8" name="btnCateringDelete"/>
      </mc:Fallback>
    </mc:AlternateContent>
    <mc:AlternateContent xmlns:mc="http://schemas.openxmlformats.org/markup-compatibility/2006">
      <mc:Choice Requires="x14">
        <control xmlns:r="http://schemas.openxmlformats.org/officeDocument/2006/relationships" shapeId="49163" r:id="rId10" name="btnCateringAdd">
          <controlPr defaultSize="0" autoLine="0" r:id="rId11">
            <anchor moveWithCells="1">
              <from>
                <xdr:col xmlns:xdr="http://schemas.openxmlformats.org/drawingml/2006/spreadsheetDrawing">3</xdr:col>
                <xdr:colOff xmlns:xdr="http://schemas.openxmlformats.org/drawingml/2006/spreadsheetDrawing">0</xdr:colOff>
                <xdr:row xmlns:xdr="http://schemas.openxmlformats.org/drawingml/2006/spreadsheetDrawing">191</xdr:row>
                <xdr:rowOff xmlns:xdr="http://schemas.openxmlformats.org/drawingml/2006/spreadsheetDrawing">9525</xdr:rowOff>
              </from>
              <to>
                <xdr:col xmlns:xdr="http://schemas.openxmlformats.org/drawingml/2006/spreadsheetDrawing">4</xdr:col>
                <xdr:colOff xmlns:xdr="http://schemas.openxmlformats.org/drawingml/2006/spreadsheetDrawing">0</xdr:colOff>
                <xdr:row xmlns:xdr="http://schemas.openxmlformats.org/drawingml/2006/spreadsheetDrawing">192</xdr:row>
                <xdr:rowOff xmlns:xdr="http://schemas.openxmlformats.org/drawingml/2006/spreadsheetDrawing">133350</xdr:rowOff>
              </to>
            </anchor>
          </controlPr>
        </control>
      </mc:Choice>
      <mc:Fallback>
        <control xmlns:r="http://schemas.openxmlformats.org/officeDocument/2006/relationships" shapeId="49163" r:id="rId10" name="btnCateringAdd"/>
      </mc:Fallback>
    </mc:AlternateContent>
    <mc:AlternateContent xmlns:mc="http://schemas.openxmlformats.org/markup-compatibility/2006">
      <mc:Choice Requires="x14">
        <control xmlns:r="http://schemas.openxmlformats.org/officeDocument/2006/relationships" shapeId="49162" r:id="rId12" name="btnPremisesDelete">
          <controlPr defaultSize="0" autoLine="0" r:id="rId13">
            <anchor moveWithCells="1">
              <from>
                <xdr:col xmlns:xdr="http://schemas.openxmlformats.org/drawingml/2006/spreadsheetDrawing">4</xdr:col>
                <xdr:colOff xmlns:xdr="http://schemas.openxmlformats.org/drawingml/2006/spreadsheetDrawing">9460</xdr:colOff>
                <xdr:row xmlns:xdr="http://schemas.openxmlformats.org/drawingml/2006/spreadsheetDrawing">168</xdr:row>
                <xdr:rowOff xmlns:xdr="http://schemas.openxmlformats.org/drawingml/2006/spreadsheetDrawing">9525</xdr:rowOff>
              </from>
              <to>
                <xdr:col xmlns:xdr="http://schemas.openxmlformats.org/drawingml/2006/spreadsheetDrawing">5</xdr:col>
                <xdr:colOff xmlns:xdr="http://schemas.openxmlformats.org/drawingml/2006/spreadsheetDrawing">18864</xdr:colOff>
                <xdr:row xmlns:xdr="http://schemas.openxmlformats.org/drawingml/2006/spreadsheetDrawing">169</xdr:row>
                <xdr:rowOff xmlns:xdr="http://schemas.openxmlformats.org/drawingml/2006/spreadsheetDrawing">133350</xdr:rowOff>
              </to>
            </anchor>
          </controlPr>
        </control>
      </mc:Choice>
      <mc:Fallback>
        <control xmlns:r="http://schemas.openxmlformats.org/officeDocument/2006/relationships" shapeId="49162" r:id="rId12" name="btnPremisesDelete"/>
      </mc:Fallback>
    </mc:AlternateContent>
    <mc:AlternateContent xmlns:mc="http://schemas.openxmlformats.org/markup-compatibility/2006">
      <mc:Choice Requires="x14">
        <control xmlns:r="http://schemas.openxmlformats.org/officeDocument/2006/relationships" shapeId="49161" r:id="rId14" name="btnPremisesAdd">
          <controlPr defaultSize="0" autoLine="0" r:id="rId15">
            <anchor moveWithCells="1">
              <from>
                <xdr:col xmlns:xdr="http://schemas.openxmlformats.org/drawingml/2006/spreadsheetDrawing">3</xdr:col>
                <xdr:colOff xmlns:xdr="http://schemas.openxmlformats.org/drawingml/2006/spreadsheetDrawing">0</xdr:colOff>
                <xdr:row xmlns:xdr="http://schemas.openxmlformats.org/drawingml/2006/spreadsheetDrawing">168</xdr:row>
                <xdr:rowOff xmlns:xdr="http://schemas.openxmlformats.org/drawingml/2006/spreadsheetDrawing">9525</xdr:rowOff>
              </from>
              <to>
                <xdr:col xmlns:xdr="http://schemas.openxmlformats.org/drawingml/2006/spreadsheetDrawing">4</xdr:col>
                <xdr:colOff xmlns:xdr="http://schemas.openxmlformats.org/drawingml/2006/spreadsheetDrawing">0</xdr:colOff>
                <xdr:row xmlns:xdr="http://schemas.openxmlformats.org/drawingml/2006/spreadsheetDrawing">169</xdr:row>
                <xdr:rowOff xmlns:xdr="http://schemas.openxmlformats.org/drawingml/2006/spreadsheetDrawing">133350</xdr:rowOff>
              </to>
            </anchor>
          </controlPr>
        </control>
      </mc:Choice>
      <mc:Fallback>
        <control xmlns:r="http://schemas.openxmlformats.org/officeDocument/2006/relationships" shapeId="49161" r:id="rId14" name="btnPremisesAdd"/>
      </mc:Fallback>
    </mc:AlternateContent>
    <mc:AlternateContent xmlns:mc="http://schemas.openxmlformats.org/markup-compatibility/2006">
      <mc:Choice Requires="x14">
        <control xmlns:r="http://schemas.openxmlformats.org/officeDocument/2006/relationships" shapeId="49160" r:id="rId16" name="btnAdministrativeDelete">
          <controlPr defaultSize="0" autoLine="0" r:id="rId17">
            <anchor moveWithCells="1">
              <from>
                <xdr:col xmlns:xdr="http://schemas.openxmlformats.org/drawingml/2006/spreadsheetDrawing">4</xdr:col>
                <xdr:colOff xmlns:xdr="http://schemas.openxmlformats.org/drawingml/2006/spreadsheetDrawing">9460</xdr:colOff>
                <xdr:row xmlns:xdr="http://schemas.openxmlformats.org/drawingml/2006/spreadsheetDrawing">145</xdr:row>
                <xdr:rowOff xmlns:xdr="http://schemas.openxmlformats.org/drawingml/2006/spreadsheetDrawing">9525</xdr:rowOff>
              </from>
              <to>
                <xdr:col xmlns:xdr="http://schemas.openxmlformats.org/drawingml/2006/spreadsheetDrawing">5</xdr:col>
                <xdr:colOff xmlns:xdr="http://schemas.openxmlformats.org/drawingml/2006/spreadsheetDrawing">18864</xdr:colOff>
                <xdr:row xmlns:xdr="http://schemas.openxmlformats.org/drawingml/2006/spreadsheetDrawing">146</xdr:row>
                <xdr:rowOff xmlns:xdr="http://schemas.openxmlformats.org/drawingml/2006/spreadsheetDrawing">133350</xdr:rowOff>
              </to>
            </anchor>
          </controlPr>
        </control>
      </mc:Choice>
      <mc:Fallback>
        <control xmlns:r="http://schemas.openxmlformats.org/officeDocument/2006/relationships" shapeId="49160" r:id="rId16" name="btnAdministrativeDelete"/>
      </mc:Fallback>
    </mc:AlternateContent>
    <mc:AlternateContent xmlns:mc="http://schemas.openxmlformats.org/markup-compatibility/2006">
      <mc:Choice Requires="x14">
        <control xmlns:r="http://schemas.openxmlformats.org/officeDocument/2006/relationships" shapeId="49159" r:id="rId18" name="btnAdministrativeAdd">
          <controlPr defaultSize="0" autoLine="0" r:id="rId19">
            <anchor moveWithCells="1">
              <from>
                <xdr:col xmlns:xdr="http://schemas.openxmlformats.org/drawingml/2006/spreadsheetDrawing">3</xdr:col>
                <xdr:colOff xmlns:xdr="http://schemas.openxmlformats.org/drawingml/2006/spreadsheetDrawing">0</xdr:colOff>
                <xdr:row xmlns:xdr="http://schemas.openxmlformats.org/drawingml/2006/spreadsheetDrawing">145</xdr:row>
                <xdr:rowOff xmlns:xdr="http://schemas.openxmlformats.org/drawingml/2006/spreadsheetDrawing">9525</xdr:rowOff>
              </from>
              <to>
                <xdr:col xmlns:xdr="http://schemas.openxmlformats.org/drawingml/2006/spreadsheetDrawing">4</xdr:col>
                <xdr:colOff xmlns:xdr="http://schemas.openxmlformats.org/drawingml/2006/spreadsheetDrawing">0</xdr:colOff>
                <xdr:row xmlns:xdr="http://schemas.openxmlformats.org/drawingml/2006/spreadsheetDrawing">146</xdr:row>
                <xdr:rowOff xmlns:xdr="http://schemas.openxmlformats.org/drawingml/2006/spreadsheetDrawing">133350</xdr:rowOff>
              </to>
            </anchor>
          </controlPr>
        </control>
      </mc:Choice>
      <mc:Fallback>
        <control xmlns:r="http://schemas.openxmlformats.org/officeDocument/2006/relationships" shapeId="49159" r:id="rId18" name="btnAdministrativeAdd"/>
      </mc:Fallback>
    </mc:AlternateContent>
    <mc:AlternateContent xmlns:mc="http://schemas.openxmlformats.org/markup-compatibility/2006">
      <mc:Choice Requires="x14">
        <control xmlns:r="http://schemas.openxmlformats.org/officeDocument/2006/relationships" shapeId="49158" r:id="rId20" name="btnPupilSupportDelete">
          <controlPr defaultSize="0" autoLine="0" r:id="rId21">
            <anchor moveWithCells="1">
              <from>
                <xdr:col xmlns:xdr="http://schemas.openxmlformats.org/drawingml/2006/spreadsheetDrawing">4</xdr:col>
                <xdr:colOff xmlns:xdr="http://schemas.openxmlformats.org/drawingml/2006/spreadsheetDrawing">9460</xdr:colOff>
                <xdr:row xmlns:xdr="http://schemas.openxmlformats.org/drawingml/2006/spreadsheetDrawing">92</xdr:row>
                <xdr:rowOff xmlns:xdr="http://schemas.openxmlformats.org/drawingml/2006/spreadsheetDrawing">9525</xdr:rowOff>
              </from>
              <to>
                <xdr:col xmlns:xdr="http://schemas.openxmlformats.org/drawingml/2006/spreadsheetDrawing">5</xdr:col>
                <xdr:colOff xmlns:xdr="http://schemas.openxmlformats.org/drawingml/2006/spreadsheetDrawing">18864</xdr:colOff>
                <xdr:row xmlns:xdr="http://schemas.openxmlformats.org/drawingml/2006/spreadsheetDrawing">93</xdr:row>
                <xdr:rowOff xmlns:xdr="http://schemas.openxmlformats.org/drawingml/2006/spreadsheetDrawing">133350</xdr:rowOff>
              </to>
            </anchor>
          </controlPr>
        </control>
      </mc:Choice>
      <mc:Fallback>
        <control xmlns:r="http://schemas.openxmlformats.org/officeDocument/2006/relationships" shapeId="49158" r:id="rId20" name="btnPupilSupportDelete"/>
      </mc:Fallback>
    </mc:AlternateContent>
    <mc:AlternateContent xmlns:mc="http://schemas.openxmlformats.org/markup-compatibility/2006">
      <mc:Choice Requires="x14">
        <control xmlns:r="http://schemas.openxmlformats.org/officeDocument/2006/relationships" shapeId="49157" r:id="rId22" name="btnPupilSupportAdd">
          <controlPr defaultSize="0" autoLine="0" r:id="rId23">
            <anchor moveWithCells="1">
              <from>
                <xdr:col xmlns:xdr="http://schemas.openxmlformats.org/drawingml/2006/spreadsheetDrawing">3</xdr:col>
                <xdr:colOff xmlns:xdr="http://schemas.openxmlformats.org/drawingml/2006/spreadsheetDrawing">0</xdr:colOff>
                <xdr:row xmlns:xdr="http://schemas.openxmlformats.org/drawingml/2006/spreadsheetDrawing">92</xdr:row>
                <xdr:rowOff xmlns:xdr="http://schemas.openxmlformats.org/drawingml/2006/spreadsheetDrawing">9525</xdr:rowOff>
              </from>
              <to>
                <xdr:col xmlns:xdr="http://schemas.openxmlformats.org/drawingml/2006/spreadsheetDrawing">4</xdr:col>
                <xdr:colOff xmlns:xdr="http://schemas.openxmlformats.org/drawingml/2006/spreadsheetDrawing">0</xdr:colOff>
                <xdr:row xmlns:xdr="http://schemas.openxmlformats.org/drawingml/2006/spreadsheetDrawing">93</xdr:row>
                <xdr:rowOff xmlns:xdr="http://schemas.openxmlformats.org/drawingml/2006/spreadsheetDrawing">133350</xdr:rowOff>
              </to>
            </anchor>
          </controlPr>
        </control>
      </mc:Choice>
      <mc:Fallback>
        <control xmlns:r="http://schemas.openxmlformats.org/officeDocument/2006/relationships" shapeId="49157" r:id="rId22" name="btnPupilSupportAdd"/>
      </mc:Fallback>
    </mc:AlternateContent>
    <mc:AlternateContent xmlns:mc="http://schemas.openxmlformats.org/markup-compatibility/2006">
      <mc:Choice Requires="x14">
        <control xmlns:r="http://schemas.openxmlformats.org/officeDocument/2006/relationships" shapeId="49156" r:id="rId24" name="btnTeachingDelete">
          <controlPr defaultSize="0" autoLine="0" r:id="rId25">
            <anchor moveWithCells="1">
              <from>
                <xdr:col xmlns:xdr="http://schemas.openxmlformats.org/drawingml/2006/spreadsheetDrawing">4</xdr:col>
                <xdr:colOff xmlns:xdr="http://schemas.openxmlformats.org/drawingml/2006/spreadsheetDrawing">9460</xdr:colOff>
                <xdr:row xmlns:xdr="http://schemas.openxmlformats.org/drawingml/2006/spreadsheetDrawing">29</xdr:row>
                <xdr:rowOff xmlns:xdr="http://schemas.openxmlformats.org/drawingml/2006/spreadsheetDrawing">9525</xdr:rowOff>
              </from>
              <to>
                <xdr:col xmlns:xdr="http://schemas.openxmlformats.org/drawingml/2006/spreadsheetDrawing">5</xdr:col>
                <xdr:colOff xmlns:xdr="http://schemas.openxmlformats.org/drawingml/2006/spreadsheetDrawing">18864</xdr:colOff>
                <xdr:row xmlns:xdr="http://schemas.openxmlformats.org/drawingml/2006/spreadsheetDrawing">30</xdr:row>
                <xdr:rowOff xmlns:xdr="http://schemas.openxmlformats.org/drawingml/2006/spreadsheetDrawing">133350</xdr:rowOff>
              </to>
            </anchor>
          </controlPr>
        </control>
      </mc:Choice>
      <mc:Fallback>
        <control xmlns:r="http://schemas.openxmlformats.org/officeDocument/2006/relationships" shapeId="49156" r:id="rId24" name="btnTeachingDelete"/>
      </mc:Fallback>
    </mc:AlternateContent>
    <mc:AlternateContent xmlns:mc="http://schemas.openxmlformats.org/markup-compatibility/2006">
      <mc:Choice Requires="x14">
        <control xmlns:r="http://schemas.openxmlformats.org/officeDocument/2006/relationships" shapeId="49155" r:id="rId26" name="btnTeachingAdd">
          <controlPr defaultSize="0" autoLine="0" r:id="rId27">
            <anchor moveWithCells="1">
              <from>
                <xdr:col xmlns:xdr="http://schemas.openxmlformats.org/drawingml/2006/spreadsheetDrawing">3</xdr:col>
                <xdr:colOff xmlns:xdr="http://schemas.openxmlformats.org/drawingml/2006/spreadsheetDrawing">0</xdr:colOff>
                <xdr:row xmlns:xdr="http://schemas.openxmlformats.org/drawingml/2006/spreadsheetDrawing">29</xdr:row>
                <xdr:rowOff xmlns:xdr="http://schemas.openxmlformats.org/drawingml/2006/spreadsheetDrawing">9525</xdr:rowOff>
              </from>
              <to>
                <xdr:col xmlns:xdr="http://schemas.openxmlformats.org/drawingml/2006/spreadsheetDrawing">4</xdr:col>
                <xdr:colOff xmlns:xdr="http://schemas.openxmlformats.org/drawingml/2006/spreadsheetDrawing">0</xdr:colOff>
                <xdr:row xmlns:xdr="http://schemas.openxmlformats.org/drawingml/2006/spreadsheetDrawing">30</xdr:row>
                <xdr:rowOff xmlns:xdr="http://schemas.openxmlformats.org/drawingml/2006/spreadsheetDrawing">133350</xdr:rowOff>
              </to>
            </anchor>
          </controlPr>
        </control>
      </mc:Choice>
      <mc:Fallback>
        <control xmlns:r="http://schemas.openxmlformats.org/officeDocument/2006/relationships" shapeId="49155" r:id="rId26" name="btnTeachingAdd"/>
      </mc:Fallback>
    </mc:AlternateContent>
    <mc:AlternateContent xmlns:mc="http://schemas.openxmlformats.org/markup-compatibility/2006">
      <mc:Choice Requires="x14">
        <control xmlns:r="http://schemas.openxmlformats.org/officeDocument/2006/relationships" shapeId="49154" r:id="rId28" name="btnSLTDelete">
          <controlPr defaultSize="0" autoLine="0" r:id="rId29">
            <anchor moveWithCells="1">
              <from>
                <xdr:col xmlns:xdr="http://schemas.openxmlformats.org/drawingml/2006/spreadsheetDrawing">4</xdr:col>
                <xdr:colOff xmlns:xdr="http://schemas.openxmlformats.org/drawingml/2006/spreadsheetDrawing">9460</xdr:colOff>
                <xdr:row xmlns:xdr="http://schemas.openxmlformats.org/drawingml/2006/spreadsheetDrawing">16</xdr:row>
                <xdr:rowOff xmlns:xdr="http://schemas.openxmlformats.org/drawingml/2006/spreadsheetDrawing">9525</xdr:rowOff>
              </from>
              <to>
                <xdr:col xmlns:xdr="http://schemas.openxmlformats.org/drawingml/2006/spreadsheetDrawing">5</xdr:col>
                <xdr:colOff xmlns:xdr="http://schemas.openxmlformats.org/drawingml/2006/spreadsheetDrawing">18864</xdr:colOff>
                <xdr:row xmlns:xdr="http://schemas.openxmlformats.org/drawingml/2006/spreadsheetDrawing">17</xdr:row>
                <xdr:rowOff xmlns:xdr="http://schemas.openxmlformats.org/drawingml/2006/spreadsheetDrawing">133350</xdr:rowOff>
              </to>
            </anchor>
          </controlPr>
        </control>
      </mc:Choice>
      <mc:Fallback>
        <control xmlns:r="http://schemas.openxmlformats.org/officeDocument/2006/relationships" shapeId="49154" r:id="rId28" name="btnSLTDelete"/>
      </mc:Fallback>
    </mc:AlternateContent>
    <mc:AlternateContent xmlns:mc="http://schemas.openxmlformats.org/markup-compatibility/2006">
      <mc:Choice Requires="x14">
        <control xmlns:r="http://schemas.openxmlformats.org/officeDocument/2006/relationships" shapeId="49153" r:id="rId30" name="btnSLTAdd">
          <controlPr defaultSize="0" autoLine="0" r:id="rId31">
            <anchor moveWithCells="1">
              <from>
                <xdr:col xmlns:xdr="http://schemas.openxmlformats.org/drawingml/2006/spreadsheetDrawing">3</xdr:col>
                <xdr:colOff xmlns:xdr="http://schemas.openxmlformats.org/drawingml/2006/spreadsheetDrawing">0</xdr:colOff>
                <xdr:row xmlns:xdr="http://schemas.openxmlformats.org/drawingml/2006/spreadsheetDrawing">16</xdr:row>
                <xdr:rowOff xmlns:xdr="http://schemas.openxmlformats.org/drawingml/2006/spreadsheetDrawing">9525</xdr:rowOff>
              </from>
              <to>
                <xdr:col xmlns:xdr="http://schemas.openxmlformats.org/drawingml/2006/spreadsheetDrawing">4</xdr:col>
                <xdr:colOff xmlns:xdr="http://schemas.openxmlformats.org/drawingml/2006/spreadsheetDrawing">0</xdr:colOff>
                <xdr:row xmlns:xdr="http://schemas.openxmlformats.org/drawingml/2006/spreadsheetDrawing">17</xdr:row>
                <xdr:rowOff xmlns:xdr="http://schemas.openxmlformats.org/drawingml/2006/spreadsheetDrawing">133350</xdr:rowOff>
              </to>
            </anchor>
          </controlPr>
        </control>
      </mc:Choice>
      <mc:Fallback>
        <control xmlns:r="http://schemas.openxmlformats.org/officeDocument/2006/relationships" shapeId="49153" r:id="rId30" name="btnSLTAdd"/>
      </mc:Fallback>
    </mc:AlternateContent>
  </controls>
  <extLst/>
</worksheet>
</file>

<file path=xl/worksheets/sheet1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5"/>
  <dimension ref="A1:AF50"/>
  <sheetViews>
    <sheetView topLeftCell="A1" showGridLines="0" showRowColHeaders="0" zoomScale="90" view="normal" workbookViewId="0">
      <pane ySplit="4" topLeftCell="A5" activePane="bottomLeft" state="frozen"/>
      <selection pane="bottomLeft" activeCell="F41" sqref="F41"/>
    </sheetView>
  </sheetViews>
  <sheetFormatPr defaultColWidth="0" zeroHeight="true" defaultRowHeight="15"/>
  <cols>
    <col min="1" max="1" width="2.875" style="163" customWidth="1"/>
    <col min="2" max="2" width="23.375" style="163" customWidth="1"/>
    <col min="3" max="3" width="63.125" style="163" customWidth="1"/>
    <col min="4" max="4" width="4.125" style="163" customWidth="1"/>
    <col min="5" max="12" width="13.625" style="163" customWidth="1"/>
    <col min="13" max="13" width="2.625" style="163" customWidth="1"/>
    <col min="14" max="14" width="2.75390625" style="163" customWidth="1"/>
    <col min="15" max="15" width="49.625" style="163" customWidth="1"/>
    <col min="16" max="16" width="2.875" style="163" customWidth="1"/>
    <col min="17" max="17" width="68.375" style="163" bestFit="1" customWidth="1"/>
    <col min="18" max="18" width="109.25390625" style="163" hidden="1" customWidth="1"/>
    <col min="19" max="20" width="15.875" style="163" hidden="1" customWidth="1"/>
    <col min="21" max="21" width="9.125" style="163" hidden="1" customWidth="1"/>
    <col min="22" max="22" width="7.00390625" style="163" hidden="1" customWidth="1"/>
    <col min="23" max="23" width="19.625" style="163" hidden="1" customWidth="1"/>
    <col min="24" max="24" width="21.625" style="163" hidden="1" customWidth="1"/>
    <col min="25" max="25" width="22.625" style="163" hidden="1" customWidth="1"/>
    <col min="26" max="26" width="7.375" style="163" hidden="1" customWidth="1"/>
    <col min="27" max="27" width="9.125" style="163" hidden="1" customWidth="1"/>
    <col min="28" max="28" width="6.25390625" style="163" hidden="1" customWidth="1"/>
    <col min="29" max="29" width="19.75390625" style="163" hidden="1" customWidth="1"/>
    <col min="30" max="30" width="21.75390625" style="163" hidden="1" customWidth="1"/>
    <col min="31" max="31" width="22.75390625" style="163" hidden="1" customWidth="1"/>
    <col min="32" max="32" width="7.625" style="163" hidden="1" customWidth="1"/>
    <col min="33" max="16384" width="9.125" style="163" hidden="1" customWidth="1"/>
  </cols>
  <sheetData>
    <row r="1" spans="1:18" ht="84.75" customHeight="1">
      <c r="A1" s="28"/>
      <c r="B1" s="28"/>
      <c r="C1" s="28"/>
      <c r="D1" s="1241" t="str">
        <f>'G1. Guidance'!D3</f>
        <v>Mainstream School Financial Template 2020/21 v1.2</v>
      </c>
      <c r="E1" s="1242"/>
      <c r="F1" s="1242"/>
      <c r="G1" s="1242"/>
      <c r="H1" s="1242"/>
      <c r="I1" s="1242"/>
      <c r="J1" s="1252"/>
      <c r="K1" s="1252"/>
      <c r="L1" s="1252"/>
      <c r="M1" s="28"/>
      <c r="N1" s="28"/>
      <c r="O1" s="28"/>
      <c r="P1" s="28"/>
      <c r="Q1" s="28"/>
      <c r="R1" s="28"/>
    </row>
    <row r="2" spans="1:18" ht="15.75">
      <c r="A2" s="28"/>
      <c r="B2" s="616" t="s">
        <v>1048</v>
      </c>
      <c r="C2" s="26"/>
      <c r="D2" s="27"/>
      <c r="E2" s="28"/>
      <c r="F2" s="28"/>
      <c r="G2" s="28"/>
      <c r="H2" s="28"/>
      <c r="I2" s="28"/>
      <c r="J2" s="28"/>
      <c r="K2" s="28"/>
      <c r="L2" s="28"/>
      <c r="M2" s="28"/>
      <c r="N2" s="28"/>
      <c r="O2" s="28"/>
      <c r="P2" s="28"/>
      <c r="Q2" s="28"/>
      <c r="R2" s="28"/>
    </row>
    <row r="3" spans="1:18">
      <c r="A3" s="28"/>
      <c r="B3" s="93" t="s">
        <v>1025</v>
      </c>
      <c r="C3" s="28"/>
      <c r="D3" s="27"/>
      <c r="E3" s="28"/>
      <c r="F3" s="28"/>
      <c r="G3" s="28"/>
      <c r="H3" s="28"/>
      <c r="I3" s="28"/>
      <c r="J3" s="28"/>
      <c r="K3" s="28"/>
      <c r="L3" s="28"/>
      <c r="M3" s="28"/>
      <c r="N3" s="28"/>
      <c r="O3" s="28"/>
      <c r="P3" s="28"/>
      <c r="Q3" s="28"/>
      <c r="R3" s="28"/>
    </row>
    <row r="4" spans="1:32">
      <c r="A4" s="26"/>
      <c r="B4" s="109"/>
      <c r="C4" s="109" t="s">
        <v>134</v>
      </c>
      <c r="D4" s="110"/>
      <c r="E4" s="110" t="str">
        <f>'Pupil_Place Numbers'!C3</f>
        <v>2020/21</v>
      </c>
      <c r="F4" s="110" t="str">
        <f>'Pupil_Place Numbers'!D3</f>
        <v>2021/22</v>
      </c>
      <c r="G4" s="110" t="str">
        <f>'Pupil_Place Numbers'!E3</f>
        <v>2022/23</v>
      </c>
      <c r="H4" s="110" t="str">
        <f>'Pupil_Place Numbers'!F3</f>
        <v>2023/24</v>
      </c>
      <c r="I4" s="110" t="str">
        <f>'Pupil_Place Numbers'!G3</f>
        <v>2024/25</v>
      </c>
      <c r="J4" s="110" t="str">
        <f>'Pupil_Place Numbers'!H3</f>
        <v>2025/26</v>
      </c>
      <c r="K4" s="110" t="str">
        <f>'Pupil_Place Numbers'!I3</f>
        <v>2026/27</v>
      </c>
      <c r="L4" s="110" t="str">
        <f>'Pupil_Place Numbers'!J3</f>
        <v>2027/28</v>
      </c>
      <c r="M4" s="110"/>
      <c r="N4" s="109"/>
      <c r="O4" s="110" t="s">
        <v>816</v>
      </c>
      <c r="P4" s="28"/>
      <c r="Q4" s="28"/>
      <c r="R4" s="414" t="s">
        <v>134</v>
      </c>
      <c r="S4" s="163" t="s">
        <v>1151</v>
      </c>
      <c r="T4" s="163" t="s">
        <v>1152</v>
      </c>
      <c r="V4" s="1248" t="s">
        <v>1151</v>
      </c>
      <c r="W4" s="1248"/>
      <c r="X4" s="1248"/>
      <c r="Y4" s="1248"/>
      <c r="Z4" s="1248"/>
      <c r="AB4" s="1248" t="s">
        <v>1152</v>
      </c>
      <c r="AC4" s="1248"/>
      <c r="AD4" s="1248"/>
      <c r="AE4" s="1248"/>
      <c r="AF4" s="1248"/>
    </row>
    <row r="5" spans="1:32" ht="15.75" thickBot="1">
      <c r="A5" s="26"/>
      <c r="B5" s="26"/>
      <c r="C5" s="28"/>
      <c r="D5" s="34"/>
      <c r="E5" s="34"/>
      <c r="F5" s="34"/>
      <c r="G5" s="34"/>
      <c r="H5" s="34"/>
      <c r="I5" s="34"/>
      <c r="J5" s="34"/>
      <c r="K5" s="34"/>
      <c r="L5" s="34"/>
      <c r="M5" s="26"/>
      <c r="N5" s="28"/>
      <c r="O5" s="28"/>
      <c r="P5" s="28"/>
      <c r="Q5" s="28"/>
      <c r="R5" s="28"/>
      <c r="V5" s="163" t="s">
        <v>0</v>
      </c>
      <c r="W5" s="163" t="s">
        <v>1153</v>
      </c>
      <c r="X5" s="163" t="s">
        <v>1154</v>
      </c>
      <c r="Y5" s="163" t="s">
        <v>1155</v>
      </c>
      <c r="Z5" s="163" t="s">
        <v>2</v>
      </c>
      <c r="AB5" s="163" t="s">
        <v>0</v>
      </c>
      <c r="AC5" s="163" t="s">
        <v>1153</v>
      </c>
      <c r="AD5" s="163" t="s">
        <v>1154</v>
      </c>
      <c r="AE5" s="163" t="s">
        <v>1155</v>
      </c>
      <c r="AF5" s="163" t="s">
        <v>2</v>
      </c>
    </row>
    <row r="6" spans="1:18">
      <c r="A6" s="28"/>
      <c r="B6" s="1249" t="s">
        <v>482</v>
      </c>
      <c r="C6" s="544" t="s">
        <v>483</v>
      </c>
      <c r="D6" s="23" t="s">
        <v>135</v>
      </c>
      <c r="E6" s="596">
        <f>IFERROR('G3. Budget'!E242,0)</f>
        <v>108000</v>
      </c>
      <c r="F6" s="596">
        <f>IFERROR('G3. Budget'!F242,0)</f>
        <v>27000</v>
      </c>
      <c r="G6" s="424">
        <f>IFERROR('G3. Budget'!G242,0)</f>
        <v>0</v>
      </c>
      <c r="H6" s="424">
        <f>IFERROR('G3. Budget'!H242,0)</f>
        <v>0</v>
      </c>
      <c r="I6" s="424">
        <f>IFERROR('G3. Budget'!I242,0)</f>
        <v>0</v>
      </c>
      <c r="J6" s="424">
        <f>IFERROR('G3. Budget'!J242,0)</f>
        <v>0</v>
      </c>
      <c r="K6" s="424">
        <f>IFERROR('G3. Budget'!K242,0)</f>
        <v>0</v>
      </c>
      <c r="L6" s="424">
        <f>IFERROR('G3. Budget'!L242,0)</f>
        <v>0</v>
      </c>
      <c r="M6" s="22"/>
      <c r="N6" s="22"/>
      <c r="O6" s="138"/>
      <c r="P6" s="28"/>
      <c r="Q6" s="28"/>
      <c r="R6" t="s">
        <v>484</v>
      </c>
    </row>
    <row r="7" spans="1:18">
      <c r="A7" s="28"/>
      <c r="B7" s="1250"/>
      <c r="C7" s="545" t="s">
        <v>485</v>
      </c>
      <c r="D7" s="27" t="s">
        <v>136</v>
      </c>
      <c r="E7" s="140">
        <f>IFERROR('G3. Budget'!E243,0)</f>
        <v>1</v>
      </c>
      <c r="F7" s="140">
        <f>IFERROR('G3. Budget'!F243,0)</f>
        <v>1</v>
      </c>
      <c r="G7" s="140">
        <f>IFERROR('G3. Budget'!G243,0)</f>
        <v>0</v>
      </c>
      <c r="H7" s="140">
        <f>IFERROR('G3. Budget'!H243,0)</f>
        <v>0</v>
      </c>
      <c r="I7" s="140">
        <f>IFERROR('G3. Budget'!I243,0)</f>
        <v>0</v>
      </c>
      <c r="J7" s="140">
        <f>IFERROR('G3. Budget'!J243,0)</f>
        <v>0</v>
      </c>
      <c r="K7" s="140">
        <f>IFERROR('G3. Budget'!K243,0)</f>
        <v>0</v>
      </c>
      <c r="L7" s="140">
        <f>IFERROR('G3. Budget'!L243,0)</f>
        <v>0</v>
      </c>
      <c r="M7" s="28"/>
      <c r="N7" s="28"/>
      <c r="O7" s="139"/>
      <c r="P7" s="28"/>
      <c r="Q7" s="28"/>
      <c r="R7" t="s">
        <v>486</v>
      </c>
    </row>
    <row r="8" spans="1:18">
      <c r="A8" s="28"/>
      <c r="B8" s="1250"/>
      <c r="C8" s="545"/>
      <c r="D8" s="27"/>
      <c r="E8" s="94"/>
      <c r="F8" s="94"/>
      <c r="G8" s="94"/>
      <c r="H8" s="94"/>
      <c r="I8" s="94"/>
      <c r="J8" s="94"/>
      <c r="K8" s="94"/>
      <c r="L8" s="94"/>
      <c r="M8" s="28"/>
      <c r="N8" s="28"/>
      <c r="O8" s="139"/>
      <c r="P8" s="28"/>
      <c r="Q8" s="28"/>
      <c r="R8"/>
    </row>
    <row r="9" spans="1:18">
      <c r="A9" s="28"/>
      <c r="B9" s="1250"/>
      <c r="C9" s="545" t="s">
        <v>487</v>
      </c>
      <c r="D9" s="27" t="s">
        <v>135</v>
      </c>
      <c r="E9" s="417">
        <f>IFERROR(SUM('G3. Budget'!E115,'G3. Budget'!E117,'G3. Budget'!E120,'G3. Budget'!E151)-'G3. Budget'!E239,0)</f>
        <v>108000</v>
      </c>
      <c r="F9" s="417">
        <f>IFERROR(SUM('G3. Budget'!F115,'G3. Budget'!F117,'G3. Budget'!F120,'G3. Budget'!F151)-'G3. Budget'!F239,0)</f>
        <v>27000</v>
      </c>
      <c r="G9" s="417">
        <f>IFERROR(SUM('G3. Budget'!G115,'G3. Budget'!G117,'G3. Budget'!G120,'G3. Budget'!G151)-'G3. Budget'!G239,0)</f>
        <v>0</v>
      </c>
      <c r="H9" s="417">
        <f>IFERROR(SUM('G3. Budget'!H115,'G3. Budget'!H117,'G3. Budget'!H120,'G3. Budget'!H151)-'G3. Budget'!H239,0)</f>
        <v>0</v>
      </c>
      <c r="I9" s="417">
        <f>IFERROR(SUM('G3. Budget'!I115,'G3. Budget'!I117,'G3. Budget'!I120,'G3. Budget'!I151)-'G3. Budget'!I239,0)</f>
        <v>0</v>
      </c>
      <c r="J9" s="417">
        <f>IFERROR(SUM('G3. Budget'!J115,'G3. Budget'!J117,'G3. Budget'!J120,'G3. Budget'!J151)-'G3. Budget'!J239,0)</f>
        <v>0</v>
      </c>
      <c r="K9" s="417">
        <f>IFERROR(SUM('G3. Budget'!K115,'G3. Budget'!K117,'G3. Budget'!K120,'G3. Budget'!K151)-'G3. Budget'!K239,0)</f>
        <v>0</v>
      </c>
      <c r="L9" s="417">
        <f>IFERROR(SUM('G3. Budget'!L115,'G3. Budget'!L117,'G3. Budget'!L120,'G3. Budget'!L151)-'G3. Budget'!L239,0)</f>
        <v>0</v>
      </c>
      <c r="M9" s="28"/>
      <c r="N9" s="28"/>
      <c r="O9" s="139"/>
      <c r="P9" s="28"/>
      <c r="Q9" s="28"/>
      <c r="R9" t="s">
        <v>488</v>
      </c>
    </row>
    <row r="10" spans="1:18">
      <c r="A10" s="28"/>
      <c r="B10" s="1250"/>
      <c r="C10" s="545" t="s">
        <v>489</v>
      </c>
      <c r="D10" s="27" t="s">
        <v>136</v>
      </c>
      <c r="E10" s="140">
        <f>IFERROR(E9/SUM('G3. Budget'!E115,'G3. Budget'!E117,'G3. Budget'!E120,'G3. Budget'!E151),0)</f>
        <v>1</v>
      </c>
      <c r="F10" s="140">
        <f>IFERROR(F9/SUM('G3. Budget'!F115,'G3. Budget'!F117,'G3. Budget'!F120,'G3. Budget'!F151),0)</f>
        <v>1</v>
      </c>
      <c r="G10" s="140">
        <f>IFERROR(G9/SUM('G3. Budget'!G115,'G3. Budget'!G117,'G3. Budget'!G120,'G3. Budget'!G151),0)</f>
        <v>0</v>
      </c>
      <c r="H10" s="140">
        <f>IFERROR(H9/SUM('G3. Budget'!H115,'G3. Budget'!H117,'G3. Budget'!H120,'G3. Budget'!H151),0)</f>
        <v>0</v>
      </c>
      <c r="I10" s="140">
        <f>IFERROR(I9/SUM('G3. Budget'!I115,'G3. Budget'!I117,'G3. Budget'!I120,'G3. Budget'!I151),0)</f>
        <v>0</v>
      </c>
      <c r="J10" s="140">
        <f>IFERROR(J9/SUM('G3. Budget'!J115,'G3. Budget'!J117,'G3. Budget'!J120,'G3. Budget'!J151),0)</f>
        <v>0</v>
      </c>
      <c r="K10" s="140">
        <f>IFERROR(K9/SUM('G3. Budget'!K115,'G3. Budget'!K117,'G3. Budget'!K120,'G3. Budget'!K151),0)</f>
        <v>0</v>
      </c>
      <c r="L10" s="140">
        <f>IFERROR(L9/SUM('G3. Budget'!L115,'G3. Budget'!L117,'G3. Budget'!L120,'G3. Budget'!L151),0)</f>
        <v>0</v>
      </c>
      <c r="M10" s="28"/>
      <c r="N10" s="28"/>
      <c r="O10" s="139"/>
      <c r="P10" s="28"/>
      <c r="Q10" s="28"/>
      <c r="R10" t="s">
        <v>490</v>
      </c>
    </row>
    <row r="11" spans="1:18">
      <c r="A11" s="28"/>
      <c r="B11" s="1250"/>
      <c r="C11" s="545"/>
      <c r="D11" s="27"/>
      <c r="E11" s="95"/>
      <c r="F11" s="95"/>
      <c r="G11" s="95"/>
      <c r="H11" s="95"/>
      <c r="I11" s="95"/>
      <c r="J11" s="95"/>
      <c r="K11" s="95"/>
      <c r="L11" s="95"/>
      <c r="M11" s="28"/>
      <c r="N11" s="28"/>
      <c r="O11" s="139"/>
      <c r="P11" s="28"/>
      <c r="Q11" s="28"/>
      <c r="R11"/>
    </row>
    <row r="12" spans="1:18">
      <c r="A12" s="28"/>
      <c r="B12" s="1250"/>
      <c r="C12" s="545" t="s">
        <v>491</v>
      </c>
      <c r="D12" s="27" t="s">
        <v>135</v>
      </c>
      <c r="E12" s="417">
        <f>IFERROR('G3. Budget'!E245,0)</f>
        <v>108000</v>
      </c>
      <c r="F12" s="417">
        <f>IFERROR('G3. Budget'!F245,0)</f>
        <v>135000</v>
      </c>
      <c r="G12" s="417">
        <f>IFERROR('G3. Budget'!G245,0)</f>
        <v>135000</v>
      </c>
      <c r="H12" s="417">
        <f>IFERROR('G3. Budget'!H245,0)</f>
        <v>135000</v>
      </c>
      <c r="I12" s="417">
        <f>IFERROR('G3. Budget'!I245,0)</f>
        <v>135000</v>
      </c>
      <c r="J12" s="417">
        <f>IFERROR('G3. Budget'!J245,0)</f>
        <v>135000</v>
      </c>
      <c r="K12" s="417">
        <f>IFERROR('G3. Budget'!K245,0)</f>
        <v>135000</v>
      </c>
      <c r="L12" s="417">
        <f>IFERROR('G3. Budget'!L245,0)</f>
        <v>135000</v>
      </c>
      <c r="M12" s="28"/>
      <c r="N12" s="28"/>
      <c r="O12" s="139"/>
      <c r="P12" s="28"/>
      <c r="Q12" s="28"/>
      <c r="R12" t="s">
        <v>492</v>
      </c>
    </row>
    <row r="13" spans="1:18" ht="15.75" thickBot="1">
      <c r="A13" s="28"/>
      <c r="B13" s="1251"/>
      <c r="C13" s="546" t="s">
        <v>493</v>
      </c>
      <c r="D13" s="142" t="s">
        <v>135</v>
      </c>
      <c r="E13" s="416">
        <f>IFERROR('G3. Budget'!E245-SUM('G3. Budget'!$E140:E140),0)</f>
        <v>108000</v>
      </c>
      <c r="F13" s="416">
        <f>IFERROR('G3. Budget'!F245-SUM('G3. Budget'!$E140:F140),0)</f>
        <v>135000</v>
      </c>
      <c r="G13" s="416">
        <f>IFERROR('G3. Budget'!G245-SUM('G3. Budget'!$E140:G140),0)</f>
        <v>135000</v>
      </c>
      <c r="H13" s="416">
        <f>IFERROR('G3. Budget'!H245-SUM('G3. Budget'!$E140:H140),0)</f>
        <v>135000</v>
      </c>
      <c r="I13" s="416">
        <f>IFERROR('G3. Budget'!I245-SUM('G3. Budget'!$E140:I140),0)</f>
        <v>135000</v>
      </c>
      <c r="J13" s="416">
        <f>IFERROR('G3. Budget'!J245-SUM('G3. Budget'!$E140:J140),0)</f>
        <v>135000</v>
      </c>
      <c r="K13" s="416">
        <f>IFERROR('G3. Budget'!K245-SUM('G3. Budget'!$E140:K140),0)</f>
        <v>135000</v>
      </c>
      <c r="L13" s="416">
        <f>IFERROR('G3. Budget'!L245-SUM('G3. Budget'!$E140:L140),0)</f>
        <v>135000</v>
      </c>
      <c r="M13" s="143"/>
      <c r="N13" s="141"/>
      <c r="O13" s="144"/>
      <c r="P13" s="28"/>
      <c r="Q13" s="28"/>
      <c r="R13" t="s">
        <v>494</v>
      </c>
    </row>
    <row r="14" spans="1:18" ht="15.75" thickBot="1">
      <c r="A14" s="28"/>
      <c r="B14" s="28"/>
      <c r="C14" s="28"/>
      <c r="D14" s="27"/>
      <c r="E14" s="28"/>
      <c r="F14" s="28"/>
      <c r="G14" s="28"/>
      <c r="H14" s="28"/>
      <c r="I14" s="28"/>
      <c r="J14" s="28"/>
      <c r="K14" s="28"/>
      <c r="L14" s="28"/>
      <c r="M14" s="28"/>
      <c r="N14" s="28"/>
      <c r="O14" s="28"/>
      <c r="P14" s="28"/>
      <c r="Q14" s="28"/>
      <c r="R14"/>
    </row>
    <row r="15" spans="1:18">
      <c r="A15" s="28"/>
      <c r="B15" s="1253" t="s">
        <v>495</v>
      </c>
      <c r="C15" s="537" t="s">
        <v>496</v>
      </c>
      <c r="D15" s="23" t="s">
        <v>135</v>
      </c>
      <c r="E15" s="424">
        <f>IFERROR('G3. Budget'!E153/'Pupil_Place Numbers'!C114,0)</f>
        <v>0</v>
      </c>
      <c r="F15" s="424">
        <f>IFERROR('G3. Budget'!F153/'Pupil_Place Numbers'!D114,0)</f>
        <v>0</v>
      </c>
      <c r="G15" s="424">
        <f>IFERROR('G3. Budget'!G153/'Pupil_Place Numbers'!E114,0)</f>
        <v>0</v>
      </c>
      <c r="H15" s="424">
        <f>IFERROR('G3. Budget'!H153/'Pupil_Place Numbers'!F114,0)</f>
        <v>0</v>
      </c>
      <c r="I15" s="424">
        <f>IFERROR('G3. Budget'!I153/'Pupil_Place Numbers'!G114,0)</f>
        <v>0</v>
      </c>
      <c r="J15" s="424">
        <f>IFERROR('G3. Budget'!J153/'Pupil_Place Numbers'!H114,0)</f>
        <v>0</v>
      </c>
      <c r="K15" s="424">
        <f>IFERROR('G3. Budget'!K153/'Pupil_Place Numbers'!I114,0)</f>
        <v>0</v>
      </c>
      <c r="L15" s="424">
        <f>IFERROR('G3. Budget'!L153/'Pupil_Place Numbers'!J114,0)</f>
        <v>0</v>
      </c>
      <c r="M15" s="22"/>
      <c r="N15" s="22"/>
      <c r="O15" s="138"/>
      <c r="P15" s="28"/>
      <c r="Q15" s="28"/>
      <c r="R15" t="s">
        <v>497</v>
      </c>
    </row>
    <row r="16" spans="1:18">
      <c r="A16" s="28"/>
      <c r="B16" s="1254"/>
      <c r="C16" s="538" t="s">
        <v>498</v>
      </c>
      <c r="D16" s="27" t="s">
        <v>135</v>
      </c>
      <c r="E16" s="417">
        <f>IFERROR(SUM('G3. Budget'!E115,'G3. Budget'!E117,'G3. Budget'!E120,'G3. Budget'!E151)/'Pupil_Place Numbers'!C114,0)</f>
        <v>0</v>
      </c>
      <c r="F16" s="417">
        <f>IFERROR(SUM('G3. Budget'!F115,'G3. Budget'!F117,'G3. Budget'!F120,'G3. Budget'!F151)/'Pupil_Place Numbers'!D114,0)</f>
        <v>0</v>
      </c>
      <c r="G16" s="417">
        <f>IFERROR(SUM('G3. Budget'!G115,'G3. Budget'!G117,'G3. Budget'!G120,'G3. Budget'!G151)/'Pupil_Place Numbers'!E114,0)</f>
        <v>0</v>
      </c>
      <c r="H16" s="417">
        <f>IFERROR(SUM('G3. Budget'!H115,'G3. Budget'!H117,'G3. Budget'!H120,'G3. Budget'!H151)/'Pupil_Place Numbers'!F114,0)</f>
        <v>0</v>
      </c>
      <c r="I16" s="417">
        <f>IFERROR(SUM('G3. Budget'!I115,'G3. Budget'!I117,'G3. Budget'!I120,'G3. Budget'!I151)/'Pupil_Place Numbers'!G114,0)</f>
        <v>0</v>
      </c>
      <c r="J16" s="417">
        <f>IFERROR(SUM('G3. Budget'!J115,'G3. Budget'!J117,'G3. Budget'!J120,'G3. Budget'!J151)/'Pupil_Place Numbers'!H114,0)</f>
        <v>0</v>
      </c>
      <c r="K16" s="417">
        <f>IFERROR(SUM('G3. Budget'!K115,'G3. Budget'!K117,'G3. Budget'!K120,'G3. Budget'!K151)/'Pupil_Place Numbers'!I114,0)</f>
        <v>0</v>
      </c>
      <c r="L16" s="417">
        <f>IFERROR(SUM('G3. Budget'!L115,'G3. Budget'!L117,'G3. Budget'!L120,'G3. Budget'!L151)/'Pupil_Place Numbers'!J114,0)</f>
        <v>0</v>
      </c>
      <c r="M16" s="28"/>
      <c r="N16" s="28"/>
      <c r="O16" s="139"/>
      <c r="P16" s="28"/>
      <c r="Q16" s="28"/>
      <c r="R16" t="s">
        <v>499</v>
      </c>
    </row>
    <row r="17" spans="1:18" ht="15.75" thickBot="1">
      <c r="A17" s="28"/>
      <c r="B17" s="1255"/>
      <c r="C17" s="539" t="s">
        <v>734</v>
      </c>
      <c r="D17" s="145" t="s">
        <v>136</v>
      </c>
      <c r="E17" s="146">
        <f>IFERROR('G3. Budget'!E140/'G3. Budget'!E153,0)</f>
        <v>0</v>
      </c>
      <c r="F17" s="146">
        <f>IFERROR('G3. Budget'!F140/'G3. Budget'!F153,0)</f>
        <v>0</v>
      </c>
      <c r="G17" s="146">
        <f>IFERROR('G3. Budget'!G140/'G3. Budget'!G153,0)</f>
        <v>0</v>
      </c>
      <c r="H17" s="146">
        <f>IFERROR('G3. Budget'!H140/'G3. Budget'!H153,0)</f>
        <v>0</v>
      </c>
      <c r="I17" s="146">
        <f>IFERROR('G3. Budget'!I140/'G3. Budget'!I153,0)</f>
        <v>0</v>
      </c>
      <c r="J17" s="146">
        <f>IFERROR('G3. Budget'!J140/'G3. Budget'!J153,0)</f>
        <v>0</v>
      </c>
      <c r="K17" s="146">
        <f>IFERROR('G3. Budget'!K140/'G3. Budget'!K153,0)</f>
        <v>0</v>
      </c>
      <c r="L17" s="146">
        <f>IFERROR('G3. Budget'!L140/'G3. Budget'!L153,0)</f>
        <v>0</v>
      </c>
      <c r="M17" s="141"/>
      <c r="N17" s="141"/>
      <c r="O17" s="144"/>
      <c r="P17" s="28"/>
      <c r="Q17" s="28"/>
      <c r="R17" t="s">
        <v>500</v>
      </c>
    </row>
    <row r="18" spans="1:18" ht="15.75" thickBot="1">
      <c r="A18" s="28"/>
      <c r="B18" s="28"/>
      <c r="C18" s="28"/>
      <c r="D18" s="27"/>
      <c r="E18" s="95"/>
      <c r="F18" s="95"/>
      <c r="G18" s="95"/>
      <c r="H18" s="95"/>
      <c r="I18" s="95"/>
      <c r="J18" s="95"/>
      <c r="K18" s="95"/>
      <c r="L18" s="95"/>
      <c r="M18" s="28"/>
      <c r="N18" s="28"/>
      <c r="O18" s="28"/>
      <c r="P18" s="28"/>
      <c r="Q18" s="28"/>
      <c r="R18"/>
    </row>
    <row r="19" spans="1:32">
      <c r="A19" s="28"/>
      <c r="B19" s="1249" t="s">
        <v>501</v>
      </c>
      <c r="C19" s="537" t="s">
        <v>1023</v>
      </c>
      <c r="D19" s="23"/>
      <c r="E19" s="425">
        <f>IFERROR(ROUND('Pupil_Place Numbers'!C114/'G4. Staff'!H249,1),0)</f>
        <v>0</v>
      </c>
      <c r="F19" s="425">
        <f>IFERROR(ROUND('Pupil_Place Numbers'!D114/'G4. Staff'!I249,1),0)</f>
        <v>0</v>
      </c>
      <c r="G19" s="425">
        <f>IFERROR(ROUND('Pupil_Place Numbers'!E114/'G4. Staff'!J249,1),0)</f>
        <v>0</v>
      </c>
      <c r="H19" s="425">
        <f>IFERROR(ROUND('Pupil_Place Numbers'!F114/'G4. Staff'!K249,1),0)</f>
        <v>0</v>
      </c>
      <c r="I19" s="425">
        <f>IFERROR(ROUND('Pupil_Place Numbers'!G114/'G4. Staff'!L249,1),0)</f>
        <v>0</v>
      </c>
      <c r="J19" s="425">
        <f>IFERROR(ROUND('Pupil_Place Numbers'!H114/'G4. Staff'!M249,1),0)</f>
        <v>0</v>
      </c>
      <c r="K19" s="425">
        <f>IFERROR(ROUND('Pupil_Place Numbers'!I114/'G4. Staff'!N249,1),0)</f>
        <v>0</v>
      </c>
      <c r="L19" s="425">
        <f>IFERROR(ROUND('Pupil_Place Numbers'!J114/'G4. Staff'!O249,1),0)</f>
        <v>0</v>
      </c>
      <c r="M19" s="22"/>
      <c r="N19" s="22"/>
      <c r="O19" s="138"/>
      <c r="P19" s="28"/>
      <c r="Q19" s="28" t="str">
        <f>IF(T19=FALSE,"","Text will flag red if the ratio is lower than " &amp; S19 &amp; " or higher than " &amp; T19 &amp; ".")</f>
        <v/>
      </c>
      <c r="R19" t="s">
        <v>502</v>
      </c>
      <c r="S19" s="163" t="b">
        <f>IF(School_Type_Value="AP",V19,IF(AND(OR(School_Type_Value="Mainstream",School_Type_Value="Mainstream (LA Presumption)"),Age_Range_Value="Primary"),W19,IF(AND(OR(School_Type_Value="Mainstream",School_Type_Value="Mainstream (LA Presumption)"),OR(Age_Range_Value="Secondary (11-16)",Age_Range_Value="Secondary (11-18)")),X19,IF(AND(OR(School_Type_Value="Mainstream",School_Type_Value="Mainstream (LA Presumption)"),OR(Age_Range_Value="All-Through (4-16)",Age_Range_Value="All-Through (4-18)")),Y19,IF(School_Type_Value="Special",Z19)))))</f>
        <v>0</v>
      </c>
      <c r="T19" s="163" t="b">
        <f>IF(School_Type_Value="AP",AB19,IF(AND(OR(School_Type_Value="Mainstream",School_Type_Value="Mainstream (LA Presumption)"),Age_Range_Value="Primary"),AC19,IF(AND(OR(School_Type_Value="Mainstream",School_Type_Value="Mainstream (LA Presumption)"),OR(Age_Range_Value="Secondary (11-16)",Age_Range_Value="Secondary (11-18)")),AD19,IF(AND(OR(School_Type_Value="Mainstream",School_Type_Value="Mainstream (LA Presumption)"),OR(Age_Range_Value="All-Through (4-16)",Age_Range_Value="All-Through (4-18)")),AE19,IF(School_Type_Value="Special",AF19)))))</f>
        <v>0</v>
      </c>
      <c r="V19" s="371">
        <v>0.6</v>
      </c>
      <c r="W19" s="371">
        <v>8</v>
      </c>
      <c r="X19" s="371">
        <v>8</v>
      </c>
      <c r="Y19" s="371">
        <v>7.8</v>
      </c>
      <c r="Z19" s="371">
        <v>1.4</v>
      </c>
      <c r="AB19" s="371">
        <v>2.8</v>
      </c>
      <c r="AC19" s="371">
        <v>11</v>
      </c>
      <c r="AD19" s="371">
        <v>10.6</v>
      </c>
      <c r="AE19" s="371">
        <v>10.8</v>
      </c>
      <c r="AF19" s="371">
        <v>2.3</v>
      </c>
    </row>
    <row r="20" spans="1:32" ht="15.75" thickBot="1">
      <c r="A20" s="28"/>
      <c r="B20" s="1251"/>
      <c r="C20" s="540" t="s">
        <v>1024</v>
      </c>
      <c r="D20" s="145"/>
      <c r="E20" s="426">
        <f>IFERROR(ROUND('Pupil_Place Numbers'!C114/SUM('G4. Staff'!H242:H243),1),0)</f>
        <v>0</v>
      </c>
      <c r="F20" s="426">
        <f>IFERROR(ROUND('Pupil_Place Numbers'!D114/SUM('G4. Staff'!I242:I243),1),0)</f>
        <v>0</v>
      </c>
      <c r="G20" s="426">
        <f>IFERROR(ROUND('Pupil_Place Numbers'!E114/SUM('G4. Staff'!J242:J243),1),0)</f>
        <v>0</v>
      </c>
      <c r="H20" s="426">
        <f>IFERROR(ROUND('Pupil_Place Numbers'!F114/SUM('G4. Staff'!K242:K243),1),0)</f>
        <v>0</v>
      </c>
      <c r="I20" s="426">
        <f>IFERROR(ROUND('Pupil_Place Numbers'!G114/SUM('G4. Staff'!L242:L243),1),0)</f>
        <v>0</v>
      </c>
      <c r="J20" s="426">
        <f>IFERROR(ROUND('Pupil_Place Numbers'!H114/SUM('G4. Staff'!M242:M243),1),0)</f>
        <v>0</v>
      </c>
      <c r="K20" s="426">
        <f>IFERROR(ROUND('Pupil_Place Numbers'!I114/SUM('G4. Staff'!N242:N243),1),0)</f>
        <v>0</v>
      </c>
      <c r="L20" s="426">
        <f>IFERROR(ROUND('Pupil_Place Numbers'!J114/SUM('G4. Staff'!O242:O243),1),0)</f>
        <v>0</v>
      </c>
      <c r="M20" s="141"/>
      <c r="N20" s="141"/>
      <c r="O20" s="144"/>
      <c r="P20" s="28"/>
      <c r="Q20" s="28" t="str">
        <f>IF(T20=FALSE,"","Text will flag red if the ratio is lower than " &amp; S20 &amp; " or higher than " &amp; T20 &amp; ".")</f>
        <v/>
      </c>
      <c r="R20" t="s">
        <v>503</v>
      </c>
      <c r="S20" s="163" t="b">
        <f>IF(School_Type_Value="AP",V20,IF(AND(OR(School_Type_Value="Mainstream",School_Type_Value="Mainstream (LA Presumption)"),Age_Range_Value="Primary"),W20,IF(AND(OR(School_Type_Value="Mainstream",School_Type_Value="Mainstream (LA Presumption)"),OR(Age_Range_Value="Secondary (11-16)",Age_Range_Value="Secondary (11-18)")),X20,IF(AND(OR(School_Type_Value="Mainstream",School_Type_Value="Mainstream (LA Presumption)"),OR(Age_Range_Value="All-Through (4-16)",Age_Range_Value="All-Through (4-18)")),Y20,IF(School_Type_Value="Special",Z20)))))</f>
        <v>0</v>
      </c>
      <c r="T20" s="163" t="b">
        <f>IF(School_Type_Value="AP",AB20,IF(AND(OR(School_Type_Value="Mainstream",School_Type_Value="Mainstream (LA Presumption)"),Age_Range_Value="Primary"),AC20,IF(AND(OR(School_Type_Value="Mainstream",School_Type_Value="Mainstream (LA Presumption)"),OR(Age_Range_Value="Secondary (11-16)",Age_Range_Value="Secondary (11-18)")),AD20,IF(AND(OR(School_Type_Value="Mainstream",School_Type_Value="Mainstream (LA Presumption)"),OR(Age_Range_Value="All-Through (4-16)",Age_Range_Value="All-Through (4-18)")),AE20,IF(School_Type_Value="Special",AF20)))))</f>
        <v>0</v>
      </c>
      <c r="V20" s="371">
        <v>1.1</v>
      </c>
      <c r="W20" s="371">
        <v>18</v>
      </c>
      <c r="X20" s="371">
        <v>14.1</v>
      </c>
      <c r="Y20" s="371">
        <v>16.6</v>
      </c>
      <c r="Z20" s="371">
        <v>4.9</v>
      </c>
      <c r="AB20" s="371">
        <v>6.8</v>
      </c>
      <c r="AC20" s="371">
        <v>24</v>
      </c>
      <c r="AD20" s="371">
        <v>17.5</v>
      </c>
      <c r="AE20" s="371">
        <v>23.1</v>
      </c>
      <c r="AF20" s="371">
        <v>7.6</v>
      </c>
    </row>
    <row r="21" spans="1:18" ht="15.75" thickBot="1">
      <c r="A21" s="28"/>
      <c r="B21" s="33"/>
      <c r="C21" s="541"/>
      <c r="D21" s="27"/>
      <c r="E21" s="95"/>
      <c r="F21" s="95"/>
      <c r="G21" s="95"/>
      <c r="H21" s="95"/>
      <c r="I21" s="95"/>
      <c r="J21" s="95"/>
      <c r="K21" s="95"/>
      <c r="L21" s="95"/>
      <c r="M21" s="28"/>
      <c r="N21" s="28"/>
      <c r="O21" s="28"/>
      <c r="P21" s="28"/>
      <c r="Q21" s="28"/>
      <c r="R21"/>
    </row>
    <row r="22" spans="1:18">
      <c r="A22" s="28"/>
      <c r="B22" s="1249" t="s">
        <v>504</v>
      </c>
      <c r="C22" s="537" t="s">
        <v>505</v>
      </c>
      <c r="D22" s="23" t="s">
        <v>135</v>
      </c>
      <c r="E22" s="424">
        <f>IFERROR('G3. Budget'!E239/'Pupil_Place Numbers'!C114,0)</f>
        <v>0</v>
      </c>
      <c r="F22" s="424">
        <f>IFERROR('G3. Budget'!F239/'Pupil_Place Numbers'!D114,0)</f>
        <v>0</v>
      </c>
      <c r="G22" s="424">
        <f>IFERROR('G3. Budget'!G239/'Pupil_Place Numbers'!E114,0)</f>
        <v>0</v>
      </c>
      <c r="H22" s="424">
        <f>IFERROR('G3. Budget'!H239/'Pupil_Place Numbers'!F114,0)</f>
        <v>0</v>
      </c>
      <c r="I22" s="424">
        <f>IFERROR('G3. Budget'!I239/'Pupil_Place Numbers'!G114,0)</f>
        <v>0</v>
      </c>
      <c r="J22" s="424">
        <f>IFERROR('G3. Budget'!J239/'Pupil_Place Numbers'!H114,0)</f>
        <v>0</v>
      </c>
      <c r="K22" s="424">
        <f>IFERROR('G3. Budget'!K239/'Pupil_Place Numbers'!I114,0)</f>
        <v>0</v>
      </c>
      <c r="L22" s="424">
        <f>IFERROR('G3. Budget'!L239/'Pupil_Place Numbers'!J114,0)</f>
        <v>0</v>
      </c>
      <c r="M22" s="22"/>
      <c r="N22" s="22"/>
      <c r="O22" s="138"/>
      <c r="P22" s="28"/>
      <c r="Q22" s="28"/>
      <c r="R22" t="s">
        <v>506</v>
      </c>
    </row>
    <row r="23" spans="1:18">
      <c r="A23" s="28"/>
      <c r="B23" s="1250"/>
      <c r="C23" s="542" t="s">
        <v>507</v>
      </c>
      <c r="D23" s="27" t="s">
        <v>135</v>
      </c>
      <c r="E23" s="417">
        <f>IFERROR(SUM('G3. Budget'!E169,'G3. Budget'!E185)/'Pupil_Place Numbers'!C114,0)</f>
        <v>0</v>
      </c>
      <c r="F23" s="417">
        <f>IFERROR(SUM('G3. Budget'!F169,'G3. Budget'!F185)/'Pupil_Place Numbers'!D114,0)</f>
        <v>0</v>
      </c>
      <c r="G23" s="417">
        <f>IFERROR(SUM('G3. Budget'!G169,'G3. Budget'!G185)/'Pupil_Place Numbers'!E114,0)</f>
        <v>0</v>
      </c>
      <c r="H23" s="417">
        <f>IFERROR(SUM('G3. Budget'!H169,'G3. Budget'!H185)/'Pupil_Place Numbers'!F114,0)</f>
        <v>0</v>
      </c>
      <c r="I23" s="417">
        <f>IFERROR(SUM('G3. Budget'!I169,'G3. Budget'!I185)/'Pupil_Place Numbers'!G114,0)</f>
        <v>0</v>
      </c>
      <c r="J23" s="417">
        <f>IFERROR(SUM('G3. Budget'!J169,'G3. Budget'!J185)/'Pupil_Place Numbers'!H114,0)</f>
        <v>0</v>
      </c>
      <c r="K23" s="417">
        <f>IFERROR(SUM('G3. Budget'!K169,'G3. Budget'!K185)/'Pupil_Place Numbers'!I114,0)</f>
        <v>0</v>
      </c>
      <c r="L23" s="417">
        <f>IFERROR(SUM('G3. Budget'!L169,'G3. Budget'!L185)/'Pupil_Place Numbers'!J114,0)</f>
        <v>0</v>
      </c>
      <c r="M23" s="28"/>
      <c r="N23" s="28"/>
      <c r="O23" s="139"/>
      <c r="P23" s="28"/>
      <c r="Q23" s="28"/>
      <c r="R23" t="s">
        <v>508</v>
      </c>
    </row>
    <row r="24" spans="1:18">
      <c r="A24" s="28"/>
      <c r="B24" s="1250"/>
      <c r="C24" s="542" t="s">
        <v>509</v>
      </c>
      <c r="D24" s="27" t="s">
        <v>135</v>
      </c>
      <c r="E24" s="417">
        <f>IFERROR(SUM('G3. Budget'!E198,'G3. Budget'!E209,'G3. Budget'!E217,'G3. Budget'!E237)/'Pupil_Place Numbers'!C114,0)</f>
        <v>0</v>
      </c>
      <c r="F24" s="417">
        <f>IFERROR(SUM('G3. Budget'!F198,'G3. Budget'!F209,'G3. Budget'!F217,'G3. Budget'!F237)/'Pupil_Place Numbers'!D114,0)</f>
        <v>0</v>
      </c>
      <c r="G24" s="417">
        <f>IFERROR(SUM('G3. Budget'!G198,'G3. Budget'!G209,'G3. Budget'!G217,'G3. Budget'!G237)/'Pupil_Place Numbers'!E114,0)</f>
        <v>0</v>
      </c>
      <c r="H24" s="417">
        <f>IFERROR(SUM('G3. Budget'!H198,'G3. Budget'!H209,'G3. Budget'!H217,'G3. Budget'!H237)/'Pupil_Place Numbers'!F114,0)</f>
        <v>0</v>
      </c>
      <c r="I24" s="417">
        <f>IFERROR(SUM('G3. Budget'!I198,'G3. Budget'!I209,'G3. Budget'!I217,'G3. Budget'!I237)/'Pupil_Place Numbers'!G114,0)</f>
        <v>0</v>
      </c>
      <c r="J24" s="417">
        <f>IFERROR(SUM('G3. Budget'!J198,'G3. Budget'!J209,'G3. Budget'!J217,'G3. Budget'!J237)/'Pupil_Place Numbers'!H114,0)</f>
        <v>0</v>
      </c>
      <c r="K24" s="417">
        <f>IFERROR(SUM('G3. Budget'!K198,'G3. Budget'!K209,'G3. Budget'!K217,'G3. Budget'!K237)/'Pupil_Place Numbers'!I114,0)</f>
        <v>0</v>
      </c>
      <c r="L24" s="417">
        <f>IFERROR(SUM('G3. Budget'!L198,'G3. Budget'!L209,'G3. Budget'!L217,'G3. Budget'!L237)/'Pupil_Place Numbers'!J114,0)</f>
        <v>0</v>
      </c>
      <c r="M24" s="95"/>
      <c r="N24" s="28"/>
      <c r="O24" s="139"/>
      <c r="P24" s="28"/>
      <c r="Q24" s="28"/>
      <c r="R24" t="s">
        <v>510</v>
      </c>
    </row>
    <row r="25" spans="1:18">
      <c r="A25" s="28"/>
      <c r="B25" s="1250"/>
      <c r="C25" s="541"/>
      <c r="D25" s="27"/>
      <c r="E25" s="95"/>
      <c r="F25" s="95"/>
      <c r="G25" s="95"/>
      <c r="H25" s="95"/>
      <c r="I25" s="95"/>
      <c r="J25" s="95"/>
      <c r="K25" s="95"/>
      <c r="L25" s="95"/>
      <c r="M25" s="95"/>
      <c r="N25" s="28"/>
      <c r="O25" s="139"/>
      <c r="P25" s="28"/>
      <c r="Q25" s="28"/>
      <c r="R25"/>
    </row>
    <row r="26" spans="1:32">
      <c r="A26" s="28"/>
      <c r="B26" s="1250"/>
      <c r="C26" s="538" t="s">
        <v>511</v>
      </c>
      <c r="D26" s="27" t="s">
        <v>136</v>
      </c>
      <c r="E26" s="140">
        <f>IFERROR(SUM('G3. Budget'!E169,'G3. Budget'!E185)/'G3. Budget'!E239,0)</f>
        <v>0</v>
      </c>
      <c r="F26" s="140">
        <f>IFERROR(SUM('G3. Budget'!F169,'G3. Budget'!F185)/'G3. Budget'!F239,0)</f>
        <v>0</v>
      </c>
      <c r="G26" s="140">
        <f>IFERROR(SUM('G3. Budget'!G169,'G3. Budget'!G185)/'G3. Budget'!G239,0)</f>
        <v>0</v>
      </c>
      <c r="H26" s="140">
        <f>IFERROR(SUM('G3. Budget'!H169,'G3. Budget'!H185)/'G3. Budget'!H239,0)</f>
        <v>0</v>
      </c>
      <c r="I26" s="140">
        <f>IFERROR(SUM('G3. Budget'!I169,'G3. Budget'!I185)/'G3. Budget'!I239,0)</f>
        <v>0</v>
      </c>
      <c r="J26" s="140">
        <f>IFERROR(SUM('G3. Budget'!J169,'G3. Budget'!J185)/'G3. Budget'!J239,0)</f>
        <v>0</v>
      </c>
      <c r="K26" s="140">
        <f>IFERROR(SUM('G3. Budget'!K169,'G3. Budget'!K185)/'G3. Budget'!K239,0)</f>
        <v>0</v>
      </c>
      <c r="L26" s="140">
        <f>IFERROR(SUM('G3. Budget'!L169,'G3. Budget'!L185)/'G3. Budget'!L239,0)</f>
        <v>0</v>
      </c>
      <c r="M26" s="28"/>
      <c r="N26" s="28"/>
      <c r="O26" s="139"/>
      <c r="P26" s="28"/>
      <c r="Q26" s="28" t="str">
        <f>IF(T26=FALSE,"","Text will flag red if the percentage is lower than " &amp; TEXT(S26,"0.0%") &amp; " or higher than " &amp; TEXT(T26,"0.0%") &amp; ".")</f>
        <v/>
      </c>
      <c r="R26" t="s">
        <v>512</v>
      </c>
      <c r="S26" s="699" t="b">
        <f>IF(School_Type_Value="AP",V26,IF(AND(OR(School_Type_Value="Mainstream",School_Type_Value="Mainstream (LA Presumption)"),Age_Range_Value="Primary"),W26,IF(AND(OR(School_Type_Value="Mainstream",School_Type_Value="Mainstream (LA Presumption)"),OR(Age_Range_Value="Secondary (11-16)",Age_Range_Value="Secondary (11-18)")),X26,IF(AND(OR(School_Type_Value="Mainstream",School_Type_Value="Mainstream (LA Presumption)"),OR(Age_Range_Value="All-Through (4-16)",Age_Range_Value="All-Through (4-18)")),Y26,IF(School_Type_Value="Special",Z26)))))</f>
        <v>0</v>
      </c>
      <c r="T26" s="699" t="b">
        <f>IF(School_Type_Value="AP",AB26,IF(AND(OR(School_Type_Value="Mainstream",School_Type_Value="Mainstream (LA Presumption)"),Age_Range_Value="Primary"),AC26,IF(AND(OR(School_Type_Value="Mainstream",School_Type_Value="Mainstream (LA Presumption)"),OR(Age_Range_Value="Secondary (11-16)",Age_Range_Value="Secondary (11-18)")),AD26,IF(AND(OR(School_Type_Value="Mainstream",School_Type_Value="Mainstream (LA Presumption)"),OR(Age_Range_Value="All-Through (4-16)",Age_Range_Value="All-Through (4-18)")),AE26,IF(School_Type_Value="Special",AF26)))))</f>
        <v>0</v>
      </c>
      <c r="V26" s="698">
        <v>0.55</v>
      </c>
      <c r="W26" s="698">
        <v>0.6</v>
      </c>
      <c r="X26" s="698">
        <v>0.62</v>
      </c>
      <c r="Y26" s="698">
        <v>0.59</v>
      </c>
      <c r="Z26" s="698">
        <v>0.63</v>
      </c>
      <c r="AB26" s="698">
        <v>0.75</v>
      </c>
      <c r="AC26" s="698">
        <v>0.75</v>
      </c>
      <c r="AD26" s="698">
        <v>0.79</v>
      </c>
      <c r="AE26" s="698">
        <v>0.75</v>
      </c>
      <c r="AF26" s="698">
        <v>0.82</v>
      </c>
    </row>
    <row r="27" spans="1:32">
      <c r="A27" s="28"/>
      <c r="B27" s="1250"/>
      <c r="C27" s="542" t="s">
        <v>513</v>
      </c>
      <c r="D27" s="27" t="s">
        <v>136</v>
      </c>
      <c r="E27" s="140">
        <f>IFERROR(SUM('G3. Budget'!E162:E163)/'G3. Budget'!E239,0)</f>
        <v>0</v>
      </c>
      <c r="F27" s="140">
        <f>IFERROR(SUM('G3. Budget'!F162:F163)/'G3. Budget'!F239,0)</f>
        <v>0</v>
      </c>
      <c r="G27" s="140">
        <f>IFERROR(SUM('G3. Budget'!G162:G163)/'G3. Budget'!G239,0)</f>
        <v>0</v>
      </c>
      <c r="H27" s="140">
        <f>IFERROR(SUM('G3. Budget'!H162:H163)/'G3. Budget'!H239,0)</f>
        <v>0</v>
      </c>
      <c r="I27" s="140">
        <f>IFERROR(SUM('G3. Budget'!I162:I163)/'G3. Budget'!I239,0)</f>
        <v>0</v>
      </c>
      <c r="J27" s="140">
        <f>IFERROR(SUM('G3. Budget'!J162:J163)/'G3. Budget'!J239,0)</f>
        <v>0</v>
      </c>
      <c r="K27" s="140">
        <f>IFERROR(SUM('G3. Budget'!K162:K163)/'G3. Budget'!K239,0)</f>
        <v>0</v>
      </c>
      <c r="L27" s="140">
        <f>IFERROR(SUM('G3. Budget'!L162:L163)/'G3. Budget'!L239,0)</f>
        <v>0</v>
      </c>
      <c r="M27" s="28"/>
      <c r="N27" s="28"/>
      <c r="O27" s="139"/>
      <c r="P27" s="28"/>
      <c r="Q27" s="28" t="str">
        <f>IF(T27=FALSE,"","Text will flag red if the percentage is lower than " &amp; TEXT(S27,"0.0%") &amp; " or higher than " &amp; TEXT(T27,"0.0%") &amp; ".")</f>
        <v/>
      </c>
      <c r="R27" t="s">
        <v>514</v>
      </c>
      <c r="S27" s="699" t="b">
        <f>IF(School_Type_Value="AP",V27,IF(AND(OR(School_Type_Value="Mainstream",School_Type_Value="Mainstream (LA Presumption)"),Age_Range_Value="Primary"),W27,IF(AND(OR(School_Type_Value="Mainstream",School_Type_Value="Mainstream (LA Presumption)"),OR(Age_Range_Value="Secondary (11-16)",Age_Range_Value="Secondary (11-18)")),X27,IF(AND(OR(School_Type_Value="Mainstream",School_Type_Value="Mainstream (LA Presumption)"),OR(Age_Range_Value="All-Through (4-16)",Age_Range_Value="All-Through (4-18)")),Y27,IF(School_Type_Value="Special",Z27)))))</f>
        <v>0</v>
      </c>
      <c r="T27" s="699" t="b">
        <f>IF(School_Type_Value="AP",AB27,IF(AND(OR(School_Type_Value="Mainstream",School_Type_Value="Mainstream (LA Presumption)"),Age_Range_Value="Primary"),AC27,IF(AND(OR(School_Type_Value="Mainstream",School_Type_Value="Mainstream (LA Presumption)"),OR(Age_Range_Value="Secondary (11-16)",Age_Range_Value="Secondary (11-18)")),AD27,IF(AND(OR(School_Type_Value="Mainstream",School_Type_Value="Mainstream (LA Presumption)"),OR(Age_Range_Value="All-Through (4-16)",Age_Range_Value="All-Through (4-18)")),AE27,IF(School_Type_Value="Special",AF27)))))</f>
        <v>0</v>
      </c>
      <c r="V27" s="698">
        <v>0.34</v>
      </c>
      <c r="W27" s="698">
        <v>0.41</v>
      </c>
      <c r="X27" s="698">
        <v>0.493</v>
      </c>
      <c r="Y27" s="698">
        <v>0.41</v>
      </c>
      <c r="Z27" s="698">
        <v>0.31</v>
      </c>
      <c r="AB27" s="698">
        <v>0.54</v>
      </c>
      <c r="AC27" s="698">
        <v>0.5</v>
      </c>
      <c r="AD27" s="698">
        <v>0.593</v>
      </c>
      <c r="AE27" s="698">
        <v>0.52</v>
      </c>
      <c r="AF27" s="698">
        <v>0.43</v>
      </c>
    </row>
    <row r="28" spans="1:32">
      <c r="A28" s="28"/>
      <c r="B28" s="1250"/>
      <c r="C28" s="542" t="s">
        <v>515</v>
      </c>
      <c r="D28" s="27" t="s">
        <v>136</v>
      </c>
      <c r="E28" s="140">
        <f>IFERROR('G3. Budget'!E164/'G3. Budget'!E239,0)</f>
        <v>0</v>
      </c>
      <c r="F28" s="140">
        <f>IFERROR('G3. Budget'!F164/'G3. Budget'!F239,0)</f>
        <v>0</v>
      </c>
      <c r="G28" s="140">
        <f>IFERROR('G3. Budget'!G164/'G3. Budget'!G239,0)</f>
        <v>0</v>
      </c>
      <c r="H28" s="140">
        <f>IFERROR('G3. Budget'!H164/'G3. Budget'!H239,0)</f>
        <v>0</v>
      </c>
      <c r="I28" s="140">
        <f>IFERROR('G3. Budget'!I164/'G3. Budget'!I239,0)</f>
        <v>0</v>
      </c>
      <c r="J28" s="140">
        <f>IFERROR('G3. Budget'!J164/'G3. Budget'!J239,0)</f>
        <v>0</v>
      </c>
      <c r="K28" s="140">
        <f>IFERROR('G3. Budget'!K164/'G3. Budget'!K239,0)</f>
        <v>0</v>
      </c>
      <c r="L28" s="140">
        <f>IFERROR('G3. Budget'!L164/'G3. Budget'!L239,0)</f>
        <v>0</v>
      </c>
      <c r="M28" s="28"/>
      <c r="N28" s="28"/>
      <c r="O28" s="139"/>
      <c r="P28" s="28"/>
      <c r="Q28" s="28" t="str">
        <f>IF(T28=FALSE,"","Text will flag red if the percentage is higher than " &amp; TEXT(T28,"0.0%") &amp; ".")</f>
        <v/>
      </c>
      <c r="R28" t="s">
        <v>516</v>
      </c>
      <c r="T28" s="699" t="b">
        <f>IF(School_Type_Value="AP",AB28,IF(AND(OR(School_Type_Value="Mainstream",School_Type_Value="Mainstream (LA Presumption)"),Age_Range_Value="Primary"),AC28,IF(AND(OR(School_Type_Value="Mainstream",School_Type_Value="Mainstream (LA Presumption)"),OR(Age_Range_Value="Secondary (11-16)",Age_Range_Value="Secondary (11-18)")),AD28,IF(AND(OR(School_Type_Value="Mainstream",School_Type_Value="Mainstream (LA Presumption)"),OR(Age_Range_Value="All-Through (4-16)",Age_Range_Value="All-Through (4-18)")),AE28,IF(School_Type_Value="Special",AF28)))))</f>
        <v>0</v>
      </c>
      <c r="V28" s="698"/>
      <c r="W28" s="698"/>
      <c r="X28" s="698"/>
      <c r="Y28" s="698"/>
      <c r="Z28" s="698"/>
      <c r="AB28" s="698">
        <v>0.19</v>
      </c>
      <c r="AC28" s="698">
        <v>0.18</v>
      </c>
      <c r="AD28" s="698">
        <v>0.105</v>
      </c>
      <c r="AE28" s="698">
        <v>0.17</v>
      </c>
      <c r="AF28" s="698">
        <v>0.34</v>
      </c>
    </row>
    <row r="29" spans="1:32">
      <c r="A29" s="28"/>
      <c r="B29" s="1250"/>
      <c r="C29" s="542" t="s">
        <v>517</v>
      </c>
      <c r="D29" s="27" t="s">
        <v>136</v>
      </c>
      <c r="E29" s="140">
        <f>IFERROR(SUM('G3. Budget'!E165:E168)/'G3. Budget'!E239,0)</f>
        <v>0</v>
      </c>
      <c r="F29" s="140">
        <f>IFERROR(SUM('G3. Budget'!F165:F168)/'G3. Budget'!F239,0)</f>
        <v>0</v>
      </c>
      <c r="G29" s="140">
        <f>IFERROR(SUM('G3. Budget'!G165:G168)/'G3. Budget'!G239,0)</f>
        <v>0</v>
      </c>
      <c r="H29" s="140">
        <f>IFERROR(SUM('G3. Budget'!H165:H168)/'G3. Budget'!H239,0)</f>
        <v>0</v>
      </c>
      <c r="I29" s="140">
        <f>IFERROR(SUM('G3. Budget'!I165:I168)/'G3. Budget'!I239,0)</f>
        <v>0</v>
      </c>
      <c r="J29" s="140">
        <f>IFERROR(SUM('G3. Budget'!J165:J168)/'G3. Budget'!J239,0)</f>
        <v>0</v>
      </c>
      <c r="K29" s="140">
        <f>IFERROR(SUM('G3. Budget'!K165:K168)/'G3. Budget'!K239,0)</f>
        <v>0</v>
      </c>
      <c r="L29" s="140">
        <f>IFERROR(SUM('G3. Budget'!L165:L168)/'G3. Budget'!L239,0)</f>
        <v>0</v>
      </c>
      <c r="M29" s="28"/>
      <c r="N29" s="28"/>
      <c r="O29" s="139"/>
      <c r="P29" s="28"/>
      <c r="Q29" s="28" t="str">
        <f>IF(T29=FALSE,"","Text will flag red if the percentage is higher than " &amp; TEXT(T29,"0.0%") &amp; ".")</f>
        <v/>
      </c>
      <c r="R29" t="s">
        <v>518</v>
      </c>
      <c r="T29" s="699" t="b">
        <f>IF(School_Type_Value="AP",AB29,IF(AND(OR(School_Type_Value="Mainstream",School_Type_Value="Mainstream (LA Presumption)"),Age_Range_Value="Primary"),AC29,IF(AND(OR(School_Type_Value="Mainstream",School_Type_Value="Mainstream (LA Presumption)"),OR(Age_Range_Value="Secondary (11-16)",Age_Range_Value="Secondary (11-18)")),AD29,IF(AND(OR(School_Type_Value="Mainstream",School_Type_Value="Mainstream (LA Presumption)"),OR(Age_Range_Value="All-Through (4-16)",Age_Range_Value="All-Through (4-18)")),AE29,IF(School_Type_Value="Special",AF29)))))</f>
        <v>0</v>
      </c>
      <c r="V29" s="698"/>
      <c r="W29" s="698"/>
      <c r="X29" s="698"/>
      <c r="Y29" s="698"/>
      <c r="Z29" s="698"/>
      <c r="AB29" s="698">
        <v>0.1</v>
      </c>
      <c r="AC29" s="698">
        <v>0.1</v>
      </c>
      <c r="AD29" s="698">
        <v>0.125</v>
      </c>
      <c r="AE29" s="698">
        <v>0.1</v>
      </c>
      <c r="AF29" s="698">
        <v>0.1</v>
      </c>
    </row>
    <row r="30" spans="1:18">
      <c r="A30" s="28"/>
      <c r="B30" s="1250"/>
      <c r="C30" s="541"/>
      <c r="D30" s="27"/>
      <c r="E30" s="95"/>
      <c r="F30" s="95"/>
      <c r="G30" s="95"/>
      <c r="H30" s="95"/>
      <c r="I30" s="95"/>
      <c r="J30" s="95"/>
      <c r="K30" s="95"/>
      <c r="L30" s="95"/>
      <c r="M30" s="28"/>
      <c r="N30" s="28"/>
      <c r="O30" s="139"/>
      <c r="P30" s="28"/>
      <c r="Q30" s="28"/>
      <c r="R30"/>
    </row>
    <row r="31" spans="1:18">
      <c r="A31" s="28"/>
      <c r="B31" s="1250"/>
      <c r="C31" s="538" t="s">
        <v>519</v>
      </c>
      <c r="D31" s="27" t="s">
        <v>136</v>
      </c>
      <c r="E31" s="140">
        <f>IFERROR(SUM('G3. Budget'!E198,'G3. Budget'!E209,'G3. Budget'!E217,'G3. Budget'!E237)/'G3. Budget'!E239,0)</f>
        <v>0</v>
      </c>
      <c r="F31" s="140">
        <f>IFERROR(SUM('G3. Budget'!F198,'G3. Budget'!F209,'G3. Budget'!F217,'G3. Budget'!F237)/'G3. Budget'!F239,0)</f>
        <v>0</v>
      </c>
      <c r="G31" s="140">
        <f>IFERROR(SUM('G3. Budget'!G198,'G3. Budget'!G209,'G3. Budget'!G217,'G3. Budget'!G237)/'G3. Budget'!G239,0)</f>
        <v>0</v>
      </c>
      <c r="H31" s="140">
        <f>IFERROR(SUM('G3. Budget'!H198,'G3. Budget'!H209,'G3. Budget'!H217,'G3. Budget'!H237)/'G3. Budget'!H239,0)</f>
        <v>0</v>
      </c>
      <c r="I31" s="140">
        <f>IFERROR(SUM('G3. Budget'!I198,'G3. Budget'!I209,'G3. Budget'!I217,'G3. Budget'!I237)/'G3. Budget'!I239,0)</f>
        <v>0</v>
      </c>
      <c r="J31" s="140">
        <f>IFERROR(SUM('G3. Budget'!J198,'G3. Budget'!J209,'G3. Budget'!J217,'G3. Budget'!J237)/'G3. Budget'!J239,0)</f>
        <v>0</v>
      </c>
      <c r="K31" s="140">
        <f>IFERROR(SUM('G3. Budget'!K198,'G3. Budget'!K209,'G3. Budget'!K217,'G3. Budget'!K237)/'G3. Budget'!K239,0)</f>
        <v>0</v>
      </c>
      <c r="L31" s="140">
        <f>IFERROR(SUM('G3. Budget'!L198,'G3. Budget'!L209,'G3. Budget'!L217,'G3. Budget'!L237)/'G3. Budget'!L239,0)</f>
        <v>0</v>
      </c>
      <c r="M31" s="95"/>
      <c r="N31" s="28"/>
      <c r="O31" s="139"/>
      <c r="P31" s="28"/>
      <c r="Q31" s="28"/>
      <c r="R31" t="s">
        <v>520</v>
      </c>
    </row>
    <row r="32" spans="1:18">
      <c r="A32" s="28"/>
      <c r="B32" s="1250"/>
      <c r="C32" s="542" t="s">
        <v>521</v>
      </c>
      <c r="D32" s="27" t="s">
        <v>136</v>
      </c>
      <c r="E32" s="140">
        <f>IFERROR('G3. Budget'!E198/'G3. Budget'!E239,0)</f>
        <v>0</v>
      </c>
      <c r="F32" s="140">
        <f>IFERROR('G3. Budget'!F198/'G3. Budget'!F239,0)</f>
        <v>0</v>
      </c>
      <c r="G32" s="140">
        <f>IFERROR('G3. Budget'!G198/'G3. Budget'!G239,0)</f>
        <v>0</v>
      </c>
      <c r="H32" s="140">
        <f>IFERROR('G3. Budget'!H198/'G3. Budget'!H239,0)</f>
        <v>0</v>
      </c>
      <c r="I32" s="140">
        <f>IFERROR('G3. Budget'!I198/'G3. Budget'!I239,0)</f>
        <v>0</v>
      </c>
      <c r="J32" s="140">
        <f>IFERROR('G3. Budget'!J198/'G3. Budget'!J239,0)</f>
        <v>0</v>
      </c>
      <c r="K32" s="140">
        <f>IFERROR('G3. Budget'!K198/'G3. Budget'!K239,0)</f>
        <v>0</v>
      </c>
      <c r="L32" s="140">
        <f>IFERROR('G3. Budget'!L198/'G3. Budget'!L239,0)</f>
        <v>0</v>
      </c>
      <c r="M32" s="28"/>
      <c r="N32" s="28"/>
      <c r="O32" s="139"/>
      <c r="P32" s="28"/>
      <c r="Q32" s="28"/>
      <c r="R32" t="s">
        <v>522</v>
      </c>
    </row>
    <row r="33" spans="1:18">
      <c r="A33" s="28"/>
      <c r="B33" s="1250"/>
      <c r="C33" s="542" t="s">
        <v>523</v>
      </c>
      <c r="D33" s="27" t="s">
        <v>136</v>
      </c>
      <c r="E33" s="140">
        <f>IFERROR('G3. Budget'!E209/'G3. Budget'!E239,0)</f>
        <v>0</v>
      </c>
      <c r="F33" s="140">
        <f>IFERROR('G3. Budget'!F209/'G3. Budget'!F239,0)</f>
        <v>0</v>
      </c>
      <c r="G33" s="140">
        <f>IFERROR('G3. Budget'!G209/'G3. Budget'!G239,0)</f>
        <v>0</v>
      </c>
      <c r="H33" s="140">
        <f>IFERROR('G3. Budget'!H209/'G3. Budget'!H239,0)</f>
        <v>0</v>
      </c>
      <c r="I33" s="140">
        <f>IFERROR('G3. Budget'!I209/'G3. Budget'!I239,0)</f>
        <v>0</v>
      </c>
      <c r="J33" s="140">
        <f>IFERROR('G3. Budget'!J209/'G3. Budget'!J239,0)</f>
        <v>0</v>
      </c>
      <c r="K33" s="140">
        <f>IFERROR('G3. Budget'!K209/'G3. Budget'!K239,0)</f>
        <v>0</v>
      </c>
      <c r="L33" s="140">
        <f>IFERROR('G3. Budget'!L209/'G3. Budget'!L239,0)</f>
        <v>0</v>
      </c>
      <c r="M33" s="28"/>
      <c r="N33" s="28"/>
      <c r="O33" s="139"/>
      <c r="P33" s="28"/>
      <c r="Q33" s="28"/>
      <c r="R33" t="s">
        <v>524</v>
      </c>
    </row>
    <row r="34" spans="1:18" ht="15.75" thickBot="1">
      <c r="A34" s="28"/>
      <c r="B34" s="1251"/>
      <c r="C34" s="543" t="s">
        <v>525</v>
      </c>
      <c r="D34" s="145" t="s">
        <v>136</v>
      </c>
      <c r="E34" s="146">
        <f>IFERROR(SUM('G3. Budget'!E217,'G3. Budget'!E237)/'G3. Budget'!E239,0)</f>
        <v>0</v>
      </c>
      <c r="F34" s="146">
        <f>IFERROR(SUM('G3. Budget'!F217,'G3. Budget'!F237)/'G3. Budget'!F239,0)</f>
        <v>0</v>
      </c>
      <c r="G34" s="146">
        <f>IFERROR(SUM('G3. Budget'!G217,'G3. Budget'!G237)/'G3. Budget'!G239,0)</f>
        <v>0</v>
      </c>
      <c r="H34" s="146">
        <f>IFERROR(SUM('G3. Budget'!H217,'G3. Budget'!H237)/'G3. Budget'!H239,0)</f>
        <v>0</v>
      </c>
      <c r="I34" s="146">
        <f>IFERROR(SUM('G3. Budget'!I217,'G3. Budget'!I237)/'G3. Budget'!I239,0)</f>
        <v>0</v>
      </c>
      <c r="J34" s="146">
        <f>IFERROR(SUM('G3. Budget'!J217,'G3. Budget'!J237)/'G3. Budget'!J239,0)</f>
        <v>0</v>
      </c>
      <c r="K34" s="146">
        <f>IFERROR(SUM('G3. Budget'!K217,'G3. Budget'!K237)/'G3. Budget'!K239,0)</f>
        <v>0</v>
      </c>
      <c r="L34" s="146">
        <f>IFERROR(SUM('G3. Budget'!L217,'G3. Budget'!L237)/'G3. Budget'!L239,0)</f>
        <v>0</v>
      </c>
      <c r="M34" s="141"/>
      <c r="N34" s="141"/>
      <c r="O34" s="144"/>
      <c r="P34" s="28"/>
      <c r="Q34" s="28"/>
      <c r="R34" t="s">
        <v>526</v>
      </c>
    </row>
    <row r="35" spans="1:18" ht="15.75" thickBot="1">
      <c r="A35" s="28"/>
      <c r="B35" s="28"/>
      <c r="C35" s="28"/>
      <c r="D35" s="27"/>
      <c r="E35" s="95"/>
      <c r="F35" s="95"/>
      <c r="G35" s="95"/>
      <c r="H35" s="95"/>
      <c r="I35" s="95"/>
      <c r="J35" s="95"/>
      <c r="K35" s="95"/>
      <c r="L35" s="95"/>
      <c r="M35" s="28"/>
      <c r="N35" s="28"/>
      <c r="O35" s="28"/>
      <c r="P35" s="28"/>
      <c r="Q35" s="28"/>
      <c r="R35"/>
    </row>
    <row r="36" spans="1:18">
      <c r="A36" s="28"/>
      <c r="B36" s="1249" t="s">
        <v>527</v>
      </c>
      <c r="C36" s="537" t="s">
        <v>1019</v>
      </c>
      <c r="D36" s="23" t="s">
        <v>135</v>
      </c>
      <c r="E36" s="415">
        <f>IFERROR('G4. Staff'!T242/'G4. Staff'!H242,0)</f>
        <v>0</v>
      </c>
      <c r="F36" s="415">
        <f>IFERROR('G4. Staff'!U242/'G4. Staff'!I242,0)</f>
        <v>0</v>
      </c>
      <c r="G36" s="415">
        <f>IFERROR('G4. Staff'!V242/'G4. Staff'!J242,0)</f>
        <v>0</v>
      </c>
      <c r="H36" s="415">
        <f>IFERROR('G4. Staff'!W242/'G4. Staff'!K242,0)</f>
        <v>0</v>
      </c>
      <c r="I36" s="415">
        <f>IFERROR('G4. Staff'!X242/'G4. Staff'!L242,0)</f>
        <v>0</v>
      </c>
      <c r="J36" s="415">
        <f>IFERROR('G4. Staff'!Y242/'G4. Staff'!M242,0)</f>
        <v>0</v>
      </c>
      <c r="K36" s="415">
        <f>IFERROR('G4. Staff'!Z242/'G4. Staff'!N242,0)</f>
        <v>0</v>
      </c>
      <c r="L36" s="415">
        <f>IFERROR('G4. Staff'!AA242/'G4. Staff'!O242,0)</f>
        <v>0</v>
      </c>
      <c r="M36" s="22"/>
      <c r="N36" s="22"/>
      <c r="O36" s="138"/>
      <c r="P36" s="28"/>
      <c r="Q36" s="28"/>
      <c r="R36" t="s">
        <v>1022</v>
      </c>
    </row>
    <row r="37" spans="1:18">
      <c r="A37" s="28"/>
      <c r="B37" s="1250"/>
      <c r="C37" s="538" t="s">
        <v>1020</v>
      </c>
      <c r="D37" s="27" t="s">
        <v>135</v>
      </c>
      <c r="E37" s="96">
        <f>IFERROR('G4. Staff'!T243/'G4. Staff'!H243,0)</f>
        <v>0</v>
      </c>
      <c r="F37" s="96">
        <f>IFERROR('G4. Staff'!U243/'G4. Staff'!I243,0)</f>
        <v>0</v>
      </c>
      <c r="G37" s="96">
        <f>IFERROR('G4. Staff'!V243/'G4. Staff'!J243,0)</f>
        <v>0</v>
      </c>
      <c r="H37" s="96">
        <f>IFERROR('G4. Staff'!W243/'G4. Staff'!K243,0)</f>
        <v>0</v>
      </c>
      <c r="I37" s="96">
        <f>IFERROR('G4. Staff'!X243/'G4. Staff'!L243,0)</f>
        <v>0</v>
      </c>
      <c r="J37" s="96">
        <f>IFERROR('G4. Staff'!Y243/'G4. Staff'!M243,0)</f>
        <v>0</v>
      </c>
      <c r="K37" s="96">
        <f>IFERROR('G4. Staff'!Z243/'G4. Staff'!N243,0)</f>
        <v>0</v>
      </c>
      <c r="L37" s="96">
        <f>IFERROR('G4. Staff'!AA243/'G4. Staff'!O243,0)</f>
        <v>0</v>
      </c>
      <c r="M37" s="28"/>
      <c r="N37" s="28"/>
      <c r="O37" s="139"/>
      <c r="P37" s="28"/>
      <c r="Q37" s="28"/>
      <c r="R37" t="s">
        <v>1022</v>
      </c>
    </row>
    <row r="38" spans="1:18" ht="15.75" thickBot="1">
      <c r="A38" s="28"/>
      <c r="B38" s="1251"/>
      <c r="C38" s="539" t="s">
        <v>1021</v>
      </c>
      <c r="D38" s="145" t="s">
        <v>135</v>
      </c>
      <c r="E38" s="416">
        <f>IFERROR('G4. Staff'!T244/'G4. Staff'!H244,0)</f>
        <v>0</v>
      </c>
      <c r="F38" s="416">
        <f>IFERROR('G4. Staff'!U244/'G4. Staff'!I244,0)</f>
        <v>0</v>
      </c>
      <c r="G38" s="416">
        <f>IFERROR('G4. Staff'!V244/'G4. Staff'!J244,0)</f>
        <v>0</v>
      </c>
      <c r="H38" s="416">
        <f>IFERROR('G4. Staff'!W244/'G4. Staff'!K244,0)</f>
        <v>0</v>
      </c>
      <c r="I38" s="416">
        <f>IFERROR('G4. Staff'!X244/'G4. Staff'!L244,0)</f>
        <v>0</v>
      </c>
      <c r="J38" s="416">
        <f>IFERROR('G4. Staff'!Y244/'G4. Staff'!M244,0)</f>
        <v>0</v>
      </c>
      <c r="K38" s="416">
        <f>IFERROR('G4. Staff'!Z244/'G4. Staff'!N244,0)</f>
        <v>0</v>
      </c>
      <c r="L38" s="416">
        <f>IFERROR('G4. Staff'!AA244/'G4. Staff'!O244,0)</f>
        <v>0</v>
      </c>
      <c r="M38" s="141"/>
      <c r="N38" s="141"/>
      <c r="O38" s="144"/>
      <c r="P38" s="28"/>
      <c r="Q38" s="28"/>
      <c r="R38" t="s">
        <v>1022</v>
      </c>
    </row>
    <row r="39"/>
    <row r="40"/>
    <row r="41"/>
    <row r="42"/>
    <row r="43"/>
    <row r="44"/>
    <row r="45"/>
    <row r="46"/>
    <row r="47"/>
    <row r="48"/>
    <row r="49"/>
    <row r="50"/>
  </sheetData>
  <sheetProtection algorithmName="SHA-512" hashValue="I6Y9z5qgtRAX20JZd5tSK0lkYBKj+NziuPUnXzmDZFySbs3Y9VXqGpB+WvzeVBqDuYPgX6nUudpv2LhtNQE+ng==" saltValue="6YQ1saOvifPpbcB7M3xTUw==" spinCount="100000" sheet="1" objects="1" scenarios="1"/>
  <mergeCells count="8">
    <mergeCell ref="V4:Z4"/>
    <mergeCell ref="AB4:AF4"/>
    <mergeCell ref="B36:B38"/>
    <mergeCell ref="D1:L1"/>
    <mergeCell ref="B6:B13"/>
    <mergeCell ref="B15:B17"/>
    <mergeCell ref="B19:B20"/>
    <mergeCell ref="B22:B34"/>
  </mergeCells>
  <conditionalFormatting sqref="E26:L27 E19:L20">
    <cfRule type="expression" dxfId="1" priority="1">
      <formula>AND($T19&lt;&gt;FALSE,OR(E19&lt;$S19,E19&gt;$T19))</formula>
    </cfRule>
  </conditionalFormatting>
  <conditionalFormatting sqref="E28:L29">
    <cfRule type="expression" dxfId="0" priority="2">
      <formula>AND($T28&lt;&gt;FALSE,E28&gt;$T28)</formula>
    </cfRule>
  </conditionalFormatting>
  <pageMargins left="0.7" right="0.7" top="0.75" bottom="0.75" header="0.3" footer="0.3"/>
  <pageSetup paperSize="9" orientation="portrait"/>
  <headerFooter scaleWithDoc="1" alignWithMargins="0" differentFirst="0" differentOddEven="0"/>
  <drawing r:id="rId2"/>
  <extLst/>
</worksheet>
</file>

<file path=xl/worksheets/sheet1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6"/>
  <dimension ref="A1:BM160"/>
  <sheetViews>
    <sheetView topLeftCell="BE1" showGridLines="0" view="normal" workbookViewId="0">
      <pane ySplit="1" topLeftCell="A2" activePane="bottomLeft" state="frozen"/>
      <selection pane="bottomLeft" activeCell="BI11" sqref="BI11"/>
    </sheetView>
  </sheetViews>
  <sheetFormatPr defaultColWidth="0" zeroHeight="true" defaultRowHeight="15"/>
  <cols>
    <col min="1" max="1" width="30.625" style="157" customWidth="1"/>
    <col min="2" max="2" width="9.00390625" style="157" customWidth="1"/>
    <col min="3" max="3" width="28.00390625" style="157" bestFit="1" customWidth="1"/>
    <col min="4" max="4" width="27.75390625" style="157" customWidth="1"/>
    <col min="5" max="5" width="10.875" style="157" bestFit="1" customWidth="1"/>
    <col min="6" max="6" width="27.75390625" style="157" customWidth="1"/>
    <col min="7" max="8" width="24.375" style="157" bestFit="1" customWidth="1"/>
    <col min="9" max="9" width="22.375" style="157" bestFit="1" customWidth="1"/>
    <col min="10" max="10" width="17.875" style="157" customWidth="1"/>
    <col min="11" max="13" width="48.625" style="157" bestFit="1" customWidth="1"/>
    <col min="14" max="14" width="42.375" style="157" bestFit="1" customWidth="1"/>
    <col min="15" max="15" width="19.125" style="157" bestFit="1" customWidth="1"/>
    <col min="16" max="16" width="20.25390625" style="157" customWidth="1"/>
    <col min="17" max="18" width="21.625" style="157" bestFit="1" customWidth="1"/>
    <col min="19" max="19" width="18.625" style="157" customWidth="1"/>
    <col min="20" max="20" width="9.125" style="157" customWidth="1"/>
    <col min="21" max="21" width="34.25390625" style="157" bestFit="1" customWidth="1"/>
    <col min="22" max="22" width="35.125" style="157" bestFit="1" customWidth="1"/>
    <col min="23" max="23" width="26.00390625" style="157" bestFit="1" customWidth="1"/>
    <col min="24" max="24" width="45.00390625" style="157" bestFit="1" customWidth="1"/>
    <col min="25" max="25" width="7.625" style="157" bestFit="1" customWidth="1"/>
    <col min="26" max="26" width="34.25390625" style="157" bestFit="1" customWidth="1"/>
    <col min="27" max="27" width="10.875" style="157" bestFit="1" customWidth="1"/>
    <col min="28" max="28" width="8.00390625" style="157" customWidth="1"/>
    <col min="29" max="29" width="17.25390625" style="157" bestFit="1" customWidth="1"/>
    <col min="30" max="30" width="23.00390625" style="157" customWidth="1"/>
    <col min="31" max="31" width="8.00390625" style="157" customWidth="1"/>
    <col min="32" max="33" width="15.25390625" style="157" customWidth="1"/>
    <col min="34" max="34" width="9.00390625" style="157" customWidth="1"/>
    <col min="35" max="36" width="16.375" style="157" bestFit="1" customWidth="1"/>
    <col min="37" max="39" width="16.75390625" style="157" bestFit="1" customWidth="1"/>
    <col min="40" max="40" width="9.00390625" style="157" customWidth="1"/>
    <col min="41" max="41" width="25.00390625" style="157" bestFit="1" customWidth="1"/>
    <col min="42" max="42" width="11.00390625" style="157" bestFit="1" customWidth="1"/>
    <col min="43" max="44" width="10.00390625" style="157" bestFit="1" customWidth="1"/>
    <col min="45" max="45" width="9.00390625" style="157" customWidth="1"/>
    <col min="46" max="46" width="19.875" style="157" customWidth="1"/>
    <col min="47" max="47" width="21.625" style="157" bestFit="1" customWidth="1"/>
    <col min="48" max="48" width="13.25390625" style="157" bestFit="1" customWidth="1"/>
    <col min="49" max="49" width="15.625" style="157" bestFit="1" customWidth="1"/>
    <col min="50" max="50" width="9.00390625" style="157" customWidth="1"/>
    <col min="51" max="51" width="18.00390625" style="157" customWidth="1"/>
    <col min="52" max="52" width="11.375" style="157" bestFit="1" customWidth="1"/>
    <col min="53" max="54" width="9.00390625" style="157" customWidth="1"/>
    <col min="55" max="55" width="16.25390625" style="157" bestFit="1" customWidth="1"/>
    <col min="56" max="56" width="18.25390625" style="157" bestFit="1" customWidth="1"/>
    <col min="57" max="57" width="9.00390625" style="157" customWidth="1"/>
    <col min="58" max="58" width="63.375" style="157" bestFit="1" customWidth="1"/>
    <col min="59" max="59" width="10.125" style="157" bestFit="1" customWidth="1"/>
    <col min="60" max="60" width="9.00390625" style="157" customWidth="1"/>
    <col min="61" max="61" width="49.00390625" style="157" bestFit="1" customWidth="1"/>
    <col min="62" max="62" width="42.75390625" style="157" bestFit="1" customWidth="1"/>
    <col min="63" max="63" width="48.375" style="157" bestFit="1" customWidth="1"/>
    <col min="64" max="64" width="38.125" style="157" bestFit="1" customWidth="1"/>
    <col min="65" max="65" width="9.00390625" style="157" customWidth="1"/>
    <col min="66" max="16384" width="9.00390625" style="157" hidden="1" customWidth="1"/>
  </cols>
  <sheetData>
    <row r="1" spans="1:61" ht="78.75">
      <c r="A1" s="366" t="s">
        <v>712</v>
      </c>
      <c r="B1" s="367" t="s">
        <v>480</v>
      </c>
      <c r="C1" s="367" t="s">
        <v>331</v>
      </c>
      <c r="D1" s="367" t="s">
        <v>155</v>
      </c>
      <c r="E1" s="367" t="s">
        <v>481</v>
      </c>
      <c r="F1" s="367" t="s">
        <v>170</v>
      </c>
      <c r="G1" s="367" t="s">
        <v>171</v>
      </c>
      <c r="H1" s="367" t="s">
        <v>1051</v>
      </c>
      <c r="I1" s="367" t="s">
        <v>158</v>
      </c>
      <c r="J1" s="367" t="s">
        <v>159</v>
      </c>
      <c r="K1" s="367" t="s">
        <v>138</v>
      </c>
      <c r="L1" s="367" t="s">
        <v>139</v>
      </c>
      <c r="M1" s="367" t="s">
        <v>140</v>
      </c>
      <c r="N1" s="367" t="s">
        <v>141</v>
      </c>
      <c r="O1" s="368" t="s">
        <v>47</v>
      </c>
      <c r="P1" s="368" t="s">
        <v>1143</v>
      </c>
      <c r="Q1" s="368" t="s">
        <v>49</v>
      </c>
      <c r="R1" s="367" t="s">
        <v>50</v>
      </c>
      <c r="S1" s="368" t="s">
        <v>1073</v>
      </c>
      <c r="U1" s="368" t="s">
        <v>1198</v>
      </c>
      <c r="V1" s="368"/>
      <c r="AC1" s="367" t="s">
        <v>813</v>
      </c>
      <c r="AE1" s="163"/>
      <c r="AF1" s="365" t="s">
        <v>811</v>
      </c>
      <c r="AG1" s="409"/>
      <c r="AH1" s="64"/>
      <c r="AI1" s="351"/>
      <c r="AJ1" s="64"/>
      <c r="AK1" s="64"/>
      <c r="AL1" s="64"/>
      <c r="AM1" s="64"/>
      <c r="AO1" s="367" t="s">
        <v>812</v>
      </c>
      <c r="AT1" s="367" t="s">
        <v>717</v>
      </c>
      <c r="AY1" s="367" t="s">
        <v>159</v>
      </c>
      <c r="AZ1" s="367" t="s">
        <v>711</v>
      </c>
      <c r="BB1" s="367" t="s">
        <v>1205</v>
      </c>
      <c r="BF1" s="367" t="s">
        <v>1206</v>
      </c>
      <c r="BI1" s="367" t="s">
        <v>1207</v>
      </c>
    </row>
    <row r="2" spans="2:64">
      <c r="B2" s="157" t="s">
        <v>168</v>
      </c>
      <c r="C2" s="157" t="s">
        <v>0</v>
      </c>
      <c r="D2" s="157" t="s">
        <v>156</v>
      </c>
      <c r="E2" s="157">
        <v>301</v>
      </c>
      <c r="F2" s="157" t="s">
        <v>172</v>
      </c>
      <c r="G2" s="157" t="s">
        <v>173</v>
      </c>
      <c r="H2" s="157">
        <f>IF(LA_Name_Value="Bournemouth, Christchurch &amp; Poole","Bournemouth",LA_Name_Value)</f>
        <v>0</v>
      </c>
      <c r="I2" s="536">
        <v>44075</v>
      </c>
      <c r="J2" s="157" t="s">
        <v>160</v>
      </c>
      <c r="K2" s="157" t="s">
        <v>148</v>
      </c>
      <c r="L2" s="157" t="str">
        <f t="array" aca="true" ref="L2">INDEX($K$2:$K$13,SMALL(IF($K$2:$K$13&lt;&gt;'G2. Cover Sheet'!$C$29,ROW($K$2:$K$13)-1),ROW($1:$1)))</f>
        <v>Autistic Spectrum Disorder (ASD)</v>
      </c>
      <c r="M2" s="157" t="str">
        <f t="array" aca="true" ref="M2">INDEX($L$2:$L$12,SMALL(IF($L$2:$L$12&lt;&gt;'G2. Cover Sheet'!$C$31,ROW($L$2:$L$12)-1),ROW($1:$1)))</f>
        <v>Autistic Spectrum Disorder (ASD)</v>
      </c>
      <c r="N2" s="157" t="str">
        <f t="array" aca="true" ref="N2">INDEX($M$2:$M$11,SMALL(IF($M$2:$M$11&lt;&gt;'G2. Cover Sheet'!$C$33,ROW($M$2:$M$11)-1),ROW($1:$1)))</f>
        <v>Autistic Spectrum Disorder (ASD)</v>
      </c>
      <c r="O2" s="157" t="s">
        <v>168</v>
      </c>
      <c r="P2" s="157" t="s">
        <v>168</v>
      </c>
      <c r="Q2" s="157" t="s">
        <v>168</v>
      </c>
      <c r="R2" s="157" t="s">
        <v>166</v>
      </c>
      <c r="S2" s="638">
        <f>(12-MOD(MONTH(Opening_Date_Value) - 9, 12))/12</f>
        <v>1</v>
      </c>
      <c r="U2" s="607" t="s">
        <v>1199</v>
      </c>
      <c r="V2" s="607" t="s">
        <v>1200</v>
      </c>
      <c r="W2" s="607" t="s">
        <v>1201</v>
      </c>
      <c r="X2" s="608" t="s">
        <v>1202</v>
      </c>
      <c r="Y2" s="609"/>
      <c r="Z2" s="608" t="s">
        <v>1203</v>
      </c>
      <c r="AA2" s="609"/>
      <c r="AB2"/>
      <c r="AC2" s="355" t="s">
        <v>159</v>
      </c>
      <c r="AD2" s="610" t="s">
        <v>785</v>
      </c>
      <c r="AF2" s="354" t="s">
        <v>475</v>
      </c>
      <c r="AG2" s="354" t="s">
        <v>477</v>
      </c>
      <c r="AH2" s="355" t="s">
        <v>160</v>
      </c>
      <c r="AI2" s="355" t="s">
        <v>161</v>
      </c>
      <c r="AJ2" s="355" t="s">
        <v>162</v>
      </c>
      <c r="AK2" s="355" t="s">
        <v>163</v>
      </c>
      <c r="AL2" s="355" t="s">
        <v>164</v>
      </c>
      <c r="AM2" s="355" t="s">
        <v>165</v>
      </c>
      <c r="AO2" s="355" t="s">
        <v>331</v>
      </c>
      <c r="AP2" s="355" t="s">
        <v>461</v>
      </c>
      <c r="AQ2" s="355" t="s">
        <v>462</v>
      </c>
      <c r="AR2" s="355" t="s">
        <v>463</v>
      </c>
      <c r="AT2" s="1256" t="s">
        <v>1204</v>
      </c>
      <c r="AU2" s="1257"/>
      <c r="AV2" s="1257"/>
      <c r="AW2" s="1258"/>
      <c r="AY2" s="157" t="s">
        <v>477</v>
      </c>
      <c r="AZ2" s="157" t="s">
        <v>477</v>
      </c>
      <c r="BB2" s="369" t="s">
        <v>580</v>
      </c>
      <c r="BC2" s="369" t="s">
        <v>170</v>
      </c>
      <c r="BD2" s="369" t="s">
        <v>718</v>
      </c>
      <c r="BF2" s="635" t="s">
        <v>1078</v>
      </c>
      <c r="BG2" s="635" t="s">
        <v>1062</v>
      </c>
      <c r="BI2" s="635" t="s">
        <v>1063</v>
      </c>
      <c r="BJ2" s="635" t="s">
        <v>1064</v>
      </c>
      <c r="BK2" s="635" t="s">
        <v>1065</v>
      </c>
      <c r="BL2" s="635" t="s">
        <v>1066</v>
      </c>
    </row>
    <row r="3" spans="2:64">
      <c r="B3" s="157" t="s">
        <v>169</v>
      </c>
      <c r="C3" s="157" t="s">
        <v>1</v>
      </c>
      <c r="D3" s="157" t="s">
        <v>157</v>
      </c>
      <c r="E3" s="157">
        <v>302</v>
      </c>
      <c r="F3" s="157" t="s">
        <v>174</v>
      </c>
      <c r="G3" s="157" t="s">
        <v>173</v>
      </c>
      <c r="H3" s="157" t="str">
        <f>IF(LA_Name_Value="Bournemouth, Christchurch &amp; Poole","Dorset","")</f>
        <v/>
      </c>
      <c r="I3" s="536">
        <v>44105</v>
      </c>
      <c r="J3" s="157" t="s">
        <v>161</v>
      </c>
      <c r="K3" s="157" t="s">
        <v>146</v>
      </c>
      <c r="L3" s="157" t="str">
        <f t="array" aca="true" ref="L3">INDEX($K$2:$K$13,SMALL(IF($K$2:$K$13&lt;&gt;'G2. Cover Sheet'!$C$29,ROW($K$2:$K$13)-1),ROW($2:$2)))</f>
        <v>Behaviour, Emotional and Social Difficulty (BESD)</v>
      </c>
      <c r="M3" s="157" t="str">
        <f t="array" aca="true" ref="M3">INDEX($L$2:$L$12,SMALL(IF($L$2:$L$12&lt;&gt;'G2. Cover Sheet'!$C$31,ROW($L$2:$L$12)-1),ROW($2:$2)))</f>
        <v>Behaviour, Emotional and Social Difficulty (BESD)</v>
      </c>
      <c r="N3" s="157" t="str">
        <f t="array" aca="true" ref="N3">INDEX($M$2:$M$11,SMALL(IF($M$2:$M$11&lt;&gt;'G2. Cover Sheet'!$C$33,ROW($M$2:$M$11)-1),ROW($2:$2)))</f>
        <v>Behaviour, Emotional and Social Difficulty (BESD)</v>
      </c>
      <c r="O3" s="157" t="s">
        <v>169</v>
      </c>
      <c r="P3" s="157" t="s">
        <v>169</v>
      </c>
      <c r="Q3" s="157" t="s">
        <v>169</v>
      </c>
      <c r="R3" s="157" t="s">
        <v>167</v>
      </c>
      <c r="U3" s="370">
        <v>10000</v>
      </c>
      <c r="V3" s="370">
        <v>4000</v>
      </c>
      <c r="W3" s="370">
        <v>18</v>
      </c>
      <c r="X3" s="371" t="s">
        <v>714</v>
      </c>
      <c r="Y3" s="372">
        <v>250</v>
      </c>
      <c r="Z3" s="371" t="s">
        <v>461</v>
      </c>
      <c r="AA3" s="352">
        <f>135000*0.8</f>
        <v>108000</v>
      </c>
      <c r="AB3" s="532"/>
      <c r="AC3" s="611" t="s">
        <v>477</v>
      </c>
      <c r="AD3" s="534">
        <v>12</v>
      </c>
      <c r="AF3" s="350">
        <v>6</v>
      </c>
      <c r="AG3" s="410">
        <v>0</v>
      </c>
      <c r="AH3" s="411">
        <v>80500</v>
      </c>
      <c r="AI3" s="411">
        <v>0</v>
      </c>
      <c r="AJ3" s="411">
        <v>0</v>
      </c>
      <c r="AK3" s="411">
        <v>125000</v>
      </c>
      <c r="AL3" s="411">
        <v>125000</v>
      </c>
      <c r="AM3" s="411">
        <v>0</v>
      </c>
      <c r="AO3" s="613" t="s">
        <v>0</v>
      </c>
      <c r="AP3" s="412">
        <v>0</v>
      </c>
      <c r="AQ3" s="412">
        <v>0</v>
      </c>
      <c r="AR3" s="412">
        <v>0</v>
      </c>
      <c r="AT3" s="371" t="s">
        <v>1076</v>
      </c>
      <c r="AU3" s="371" t="s">
        <v>1077</v>
      </c>
      <c r="AV3" s="371" t="s">
        <v>715</v>
      </c>
      <c r="AW3" s="371" t="s">
        <v>716</v>
      </c>
      <c r="AY3" s="157" t="s">
        <v>160</v>
      </c>
      <c r="AZ3" s="157" t="s">
        <v>160</v>
      </c>
      <c r="BB3" s="371">
        <v>825</v>
      </c>
      <c r="BC3" s="371" t="s">
        <v>195</v>
      </c>
      <c r="BD3" s="811">
        <v>1.0156360164</v>
      </c>
      <c r="BF3" s="371" t="s">
        <v>1056</v>
      </c>
      <c r="BG3" s="636">
        <v>6240</v>
      </c>
      <c r="BI3" s="371" t="s">
        <v>1149</v>
      </c>
      <c r="BJ3" s="750">
        <v>0</v>
      </c>
      <c r="BK3" s="637">
        <v>0.138</v>
      </c>
      <c r="BL3" s="637">
        <v>0.138</v>
      </c>
    </row>
    <row r="4" spans="2:64" customHeight="1">
      <c r="B4" s="157" t="s">
        <v>645</v>
      </c>
      <c r="C4" s="157" t="s">
        <v>1031</v>
      </c>
      <c r="D4" s="158"/>
      <c r="E4" s="158">
        <v>370</v>
      </c>
      <c r="F4" s="158" t="s">
        <v>175</v>
      </c>
      <c r="G4" s="158" t="s">
        <v>176</v>
      </c>
      <c r="H4" s="157" t="str">
        <f>IF(LA_Name_Value="Bournemouth, Christchurch &amp; Poole","Poole","")</f>
        <v/>
      </c>
      <c r="I4" s="536">
        <v>44136</v>
      </c>
      <c r="J4" s="157" t="s">
        <v>162</v>
      </c>
      <c r="K4" s="157" t="s">
        <v>150</v>
      </c>
      <c r="L4" s="157" t="str">
        <f t="array" aca="true" ref="L4">INDEX($K$2:$K$13,SMALL(IF($K$2:$K$13&lt;&gt;'G2. Cover Sheet'!$C$29,ROW($K$2:$K$13)-1),ROW($3:$3)))</f>
        <v>Hearing Impairment (HI)</v>
      </c>
      <c r="M4" s="157" t="str">
        <f t="array" aca="true" ref="M4">INDEX($L$2:$L$12,SMALL(IF($L$2:$L$12&lt;&gt;'G2. Cover Sheet'!$C$31,ROW($L$2:$L$12)-1),ROW($3:$3)))</f>
        <v>Hearing Impairment (HI)</v>
      </c>
      <c r="N4" s="157" t="str">
        <f t="array" aca="true" ref="N4">INDEX($M$2:$M$11,SMALL(IF($M$2:$M$11&lt;&gt;'G2. Cover Sheet'!$C$33,ROW($M$2:$M$11)-1),ROW($3:$3)))</f>
        <v>Hearing Impairment (HI)</v>
      </c>
      <c r="U4" s="373"/>
      <c r="V4" s="373"/>
      <c r="W4" s="373"/>
      <c r="X4" s="371" t="s">
        <v>713</v>
      </c>
      <c r="Y4" s="372">
        <v>500</v>
      </c>
      <c r="Z4" s="371" t="s">
        <v>462</v>
      </c>
      <c r="AA4" s="352">
        <f>135000*0.2</f>
        <v>27000</v>
      </c>
      <c r="AB4" s="532"/>
      <c r="AC4" s="611" t="s">
        <v>160</v>
      </c>
      <c r="AD4" s="534">
        <v>7</v>
      </c>
      <c r="AF4" s="350">
        <v>5</v>
      </c>
      <c r="AG4" s="410">
        <v>0</v>
      </c>
      <c r="AH4" s="411">
        <v>67500</v>
      </c>
      <c r="AI4" s="411">
        <v>0</v>
      </c>
      <c r="AJ4" s="411">
        <v>0</v>
      </c>
      <c r="AK4" s="411">
        <v>93500</v>
      </c>
      <c r="AL4" s="411">
        <v>93500</v>
      </c>
      <c r="AM4" s="411">
        <v>0</v>
      </c>
      <c r="AO4" s="613" t="s">
        <v>1</v>
      </c>
      <c r="AP4" s="412">
        <v>0</v>
      </c>
      <c r="AQ4" s="412">
        <v>0</v>
      </c>
      <c r="AR4" s="412">
        <v>0</v>
      </c>
      <c r="AT4" s="374">
        <v>1345</v>
      </c>
      <c r="AU4" s="374">
        <v>995</v>
      </c>
      <c r="AV4" s="374">
        <v>2345</v>
      </c>
      <c r="AW4" s="374">
        <v>310</v>
      </c>
      <c r="AY4" s="157" t="s">
        <v>161</v>
      </c>
      <c r="AZ4" s="157" t="s">
        <v>371</v>
      </c>
      <c r="BB4" s="371">
        <v>881</v>
      </c>
      <c r="BC4" s="371" t="s">
        <v>222</v>
      </c>
      <c r="BD4" s="811">
        <v>1.0156360164</v>
      </c>
      <c r="BF4" s="371" t="s">
        <v>1057</v>
      </c>
      <c r="BG4" s="636">
        <v>9500</v>
      </c>
      <c r="BI4" s="371" t="s">
        <v>1179</v>
      </c>
      <c r="BJ4" s="750">
        <v>0</v>
      </c>
      <c r="BK4" s="637">
        <v>0.138</v>
      </c>
      <c r="BL4" s="637">
        <v>0.138</v>
      </c>
    </row>
    <row r="5" spans="3:64">
      <c r="C5" s="157" t="s">
        <v>2</v>
      </c>
      <c r="E5" s="157">
        <v>800</v>
      </c>
      <c r="F5" s="157" t="s">
        <v>177</v>
      </c>
      <c r="G5" s="157" t="s">
        <v>178</v>
      </c>
      <c r="I5" s="536">
        <v>44166</v>
      </c>
      <c r="J5" s="157" t="s">
        <v>163</v>
      </c>
      <c r="K5" s="157" t="s">
        <v>143</v>
      </c>
      <c r="L5" s="157" t="str">
        <f t="array" aca="true" ref="L5">INDEX($K$2:$K$13,SMALL(IF($K$2:$K$13&lt;&gt;'G2. Cover Sheet'!$C$29,ROW($K$2:$K$13)-1),ROW($4:$4)))</f>
        <v>Moderate Learning Difficulty (MLD)</v>
      </c>
      <c r="M5" s="157" t="str">
        <f t="array" aca="true" ref="M5">INDEX($L$2:$L$12,SMALL(IF($L$2:$L$12&lt;&gt;'G2. Cover Sheet'!$C$31,ROW($L$2:$L$12)-1),ROW($4:$4)))</f>
        <v>Moderate Learning Difficulty (MLD)</v>
      </c>
      <c r="N5" s="157" t="str">
        <f t="array" aca="true" ref="N5">INDEX($M$2:$M$11,SMALL(IF($M$2:$M$11&lt;&gt;'G2. Cover Sheet'!$C$33,ROW($M$2:$M$11)-1),ROW($4:$4)))</f>
        <v>Moderate Learning Difficulty (MLD)</v>
      </c>
      <c r="AC5" s="611" t="s">
        <v>161</v>
      </c>
      <c r="AD5" s="612">
        <v>5</v>
      </c>
      <c r="AF5" s="350">
        <v>4</v>
      </c>
      <c r="AG5" s="410">
        <v>0</v>
      </c>
      <c r="AH5" s="411">
        <v>54000</v>
      </c>
      <c r="AI5" s="411">
        <v>125000</v>
      </c>
      <c r="AJ5" s="411">
        <v>125000</v>
      </c>
      <c r="AK5" s="411">
        <v>62500</v>
      </c>
      <c r="AL5" s="411">
        <v>62500</v>
      </c>
      <c r="AM5" s="411">
        <v>0</v>
      </c>
      <c r="AO5" s="613" t="s">
        <v>1031</v>
      </c>
      <c r="AP5" s="412">
        <v>0</v>
      </c>
      <c r="AQ5" s="412">
        <v>0</v>
      </c>
      <c r="AR5" s="412">
        <v>0</v>
      </c>
      <c r="AY5" s="157" t="s">
        <v>162</v>
      </c>
      <c r="AZ5" s="157" t="s">
        <v>371</v>
      </c>
      <c r="BB5" s="371">
        <v>886</v>
      </c>
      <c r="BC5" s="371" t="s">
        <v>242</v>
      </c>
      <c r="BD5" s="811">
        <v>1.0364</v>
      </c>
      <c r="BF5" s="371" t="s">
        <v>1058</v>
      </c>
      <c r="BG5" s="636">
        <v>8788</v>
      </c>
      <c r="BI5" s="371" t="s">
        <v>1146</v>
      </c>
      <c r="BJ5" s="750">
        <v>0</v>
      </c>
      <c r="BK5" s="637">
        <v>0.138</v>
      </c>
      <c r="BL5" s="637">
        <v>0.138</v>
      </c>
    </row>
    <row r="6" spans="3:64">
      <c r="C6" s="157" t="s">
        <v>3</v>
      </c>
      <c r="E6" s="157">
        <v>822</v>
      </c>
      <c r="F6" s="157" t="s">
        <v>179</v>
      </c>
      <c r="G6" s="157" t="s">
        <v>180</v>
      </c>
      <c r="I6" s="536">
        <v>44197</v>
      </c>
      <c r="J6" s="157" t="s">
        <v>164</v>
      </c>
      <c r="K6" s="157" t="s">
        <v>151</v>
      </c>
      <c r="L6" s="157" t="str">
        <f t="array" aca="true" ref="L6">INDEX($K$2:$K$13,SMALL(IF($K$2:$K$13&lt;&gt;'G2. Cover Sheet'!$C$29,ROW($K$2:$K$13)-1),ROW($5:$5)))</f>
        <v>Multi-Sensory Impairment (MSI)</v>
      </c>
      <c r="M6" s="157" t="str">
        <f t="array" aca="true" ref="M6">INDEX($L$2:$L$12,SMALL(IF($L$2:$L$12&lt;&gt;'G2. Cover Sheet'!$C$31,ROW($L$2:$L$12)-1),ROW($5:$5)))</f>
        <v>Multi-Sensory Impairment (MSI)</v>
      </c>
      <c r="N6" s="157" t="str">
        <f t="array" aca="true" ref="N6">INDEX($M$2:$M$11,SMALL(IF($M$2:$M$11&lt;&gt;'G2. Cover Sheet'!$C$33,ROW($M$2:$M$11)-1),ROW($5:$5)))</f>
        <v>Multi-Sensory Impairment (MSI)</v>
      </c>
      <c r="AC6" s="611" t="s">
        <v>162</v>
      </c>
      <c r="AD6" s="612">
        <v>5</v>
      </c>
      <c r="AF6" s="350">
        <v>3</v>
      </c>
      <c r="AG6" s="410">
        <v>0</v>
      </c>
      <c r="AH6" s="411">
        <v>40500</v>
      </c>
      <c r="AI6" s="411">
        <v>93500</v>
      </c>
      <c r="AJ6" s="411">
        <v>93500</v>
      </c>
      <c r="AK6" s="411">
        <v>54000</v>
      </c>
      <c r="AL6" s="411">
        <v>54000</v>
      </c>
      <c r="AM6" s="411">
        <v>0</v>
      </c>
      <c r="AO6" s="353" t="s">
        <v>2</v>
      </c>
      <c r="AP6" s="413">
        <f>170000*0.5</f>
        <v>85000</v>
      </c>
      <c r="AQ6" s="413">
        <f>170000*0.3</f>
        <v>51000</v>
      </c>
      <c r="AR6" s="413">
        <f>170000*0.2</f>
        <v>34000</v>
      </c>
      <c r="AT6" s="1256" t="s">
        <v>1075</v>
      </c>
      <c r="AU6" s="1257"/>
      <c r="AV6" s="1257"/>
      <c r="AW6" s="1258"/>
      <c r="AY6" s="157" t="s">
        <v>163</v>
      </c>
      <c r="AZ6" s="157" t="s">
        <v>710</v>
      </c>
      <c r="BB6" s="371">
        <v>919</v>
      </c>
      <c r="BC6" s="371" t="s">
        <v>235</v>
      </c>
      <c r="BD6" s="811">
        <v>1.0156360164</v>
      </c>
      <c r="BF6" s="371" t="s">
        <v>1059</v>
      </c>
      <c r="BG6" s="636">
        <v>50000</v>
      </c>
      <c r="BI6" s="371" t="s">
        <v>1144</v>
      </c>
      <c r="BJ6" s="750">
        <v>0</v>
      </c>
      <c r="BK6" s="637">
        <v>0</v>
      </c>
      <c r="BL6" s="637">
        <v>0.138</v>
      </c>
    </row>
    <row r="7" spans="5:64">
      <c r="E7" s="157">
        <v>303</v>
      </c>
      <c r="F7" s="157" t="s">
        <v>181</v>
      </c>
      <c r="G7" s="157" t="s">
        <v>173</v>
      </c>
      <c r="I7" s="536">
        <v>44228</v>
      </c>
      <c r="J7" s="157" t="s">
        <v>165</v>
      </c>
      <c r="K7" s="157" t="s">
        <v>152</v>
      </c>
      <c r="L7" s="157" t="str">
        <f t="array" aca="true" ref="L7">INDEX($K$2:$K$13,SMALL(IF($K$2:$K$13&lt;&gt;'G2. Cover Sheet'!$C$29,ROW($K$2:$K$13)-1),ROW($6:$6)))</f>
        <v>Physical Disability (PD)</v>
      </c>
      <c r="M7" s="157" t="str">
        <f t="array" aca="true" ref="M7">INDEX($L$2:$L$12,SMALL(IF($L$2:$L$12&lt;&gt;'G2. Cover Sheet'!$C$31,ROW($L$2:$L$12)-1),ROW($6:$6)))</f>
        <v>Physical Disability (PD)</v>
      </c>
      <c r="N7" s="157" t="str">
        <f t="array" aca="true" ref="N7">INDEX($M$2:$M$11,SMALL(IF($M$2:$M$11&lt;&gt;'G2. Cover Sheet'!$C$33,ROW($M$2:$M$11)-1),ROW($6:$6)))</f>
        <v>Physical Disability (PD)</v>
      </c>
      <c r="AC7" s="611" t="s">
        <v>163</v>
      </c>
      <c r="AD7" s="612">
        <v>12</v>
      </c>
      <c r="AF7" s="350">
        <v>2</v>
      </c>
      <c r="AG7" s="410">
        <v>0</v>
      </c>
      <c r="AH7" s="411">
        <v>27000</v>
      </c>
      <c r="AI7" s="411">
        <v>62500</v>
      </c>
      <c r="AJ7" s="411">
        <v>62500</v>
      </c>
      <c r="AK7" s="411">
        <v>40500</v>
      </c>
      <c r="AL7" s="411">
        <v>40500</v>
      </c>
      <c r="AM7" s="411">
        <v>0</v>
      </c>
      <c r="AO7" s="353" t="s">
        <v>3</v>
      </c>
      <c r="AP7" s="413">
        <f>315000*0.5</f>
        <v>157500</v>
      </c>
      <c r="AQ7" s="413">
        <f>315000*0.3</f>
        <v>94500</v>
      </c>
      <c r="AR7" s="413">
        <f>315000*0.2</f>
        <v>63000</v>
      </c>
      <c r="AT7" s="371" t="s">
        <v>1076</v>
      </c>
      <c r="AU7" s="371" t="s">
        <v>1077</v>
      </c>
      <c r="AV7" s="371" t="s">
        <v>715</v>
      </c>
      <c r="AW7" s="371" t="s">
        <v>716</v>
      </c>
      <c r="AY7" s="157" t="s">
        <v>164</v>
      </c>
      <c r="AZ7" s="157" t="s">
        <v>710</v>
      </c>
      <c r="BB7" s="371">
        <v>938</v>
      </c>
      <c r="BC7" s="371" t="s">
        <v>321</v>
      </c>
      <c r="BD7" s="811">
        <v>1.0561</v>
      </c>
      <c r="BF7" s="371" t="s">
        <v>1060</v>
      </c>
      <c r="BG7" s="636">
        <v>50000</v>
      </c>
      <c r="BI7" s="371" t="s">
        <v>1145</v>
      </c>
      <c r="BJ7" s="750">
        <v>0</v>
      </c>
      <c r="BK7" s="637">
        <v>0.138</v>
      </c>
      <c r="BL7" s="637">
        <v>0.138</v>
      </c>
    </row>
    <row r="8" spans="5:64">
      <c r="E8" s="157">
        <v>330</v>
      </c>
      <c r="F8" s="157" t="s">
        <v>182</v>
      </c>
      <c r="G8" s="157" t="s">
        <v>183</v>
      </c>
      <c r="I8" s="536">
        <v>44256</v>
      </c>
      <c r="K8" s="157" t="s">
        <v>145</v>
      </c>
      <c r="L8" s="157" t="str">
        <f t="array" aca="true" ref="L8">INDEX($K$2:$K$13,SMALL(IF($K$2:$K$13&lt;&gt;'G2. Cover Sheet'!$C$29,ROW($K$2:$K$13)-1),ROW($7:$7)))</f>
        <v>Profound and Multiple Learning Difficulty (PMLD)</v>
      </c>
      <c r="M8" s="157" t="str">
        <f t="array" aca="true" ref="M8">INDEX($L$2:$L$12,SMALL(IF($L$2:$L$12&lt;&gt;'G2. Cover Sheet'!$C$31,ROW($L$2:$L$12)-1),ROW($7:$7)))</f>
        <v>Profound and Multiple Learning Difficulty (PMLD)</v>
      </c>
      <c r="N8" s="157" t="str">
        <f t="array" aca="true" ref="N8">INDEX($M$2:$M$11,SMALL(IF($M$2:$M$11&lt;&gt;'G2. Cover Sheet'!$C$33,ROW($M$2:$M$11)-1),ROW($7:$7)))</f>
        <v>Profound and Multiple Learning Difficulty (PMLD)</v>
      </c>
      <c r="AC8" s="611" t="s">
        <v>164</v>
      </c>
      <c r="AD8" s="612">
        <v>12</v>
      </c>
      <c r="AF8" s="350">
        <v>1</v>
      </c>
      <c r="AG8" s="410">
        <v>0</v>
      </c>
      <c r="AH8" s="411">
        <v>13500</v>
      </c>
      <c r="AI8" s="411">
        <v>31000</v>
      </c>
      <c r="AJ8" s="411">
        <v>31000</v>
      </c>
      <c r="AK8" s="411">
        <v>27000</v>
      </c>
      <c r="AL8" s="411">
        <v>27000</v>
      </c>
      <c r="AM8" s="411">
        <v>0</v>
      </c>
      <c r="AT8" s="374">
        <v>1320</v>
      </c>
      <c r="AU8" s="374">
        <v>935</v>
      </c>
      <c r="AV8" s="374">
        <v>2300</v>
      </c>
      <c r="AW8" s="374">
        <v>300</v>
      </c>
      <c r="AY8" s="157" t="s">
        <v>165</v>
      </c>
      <c r="AZ8" s="157" t="s">
        <v>371</v>
      </c>
      <c r="BF8" s="371" t="s">
        <v>1061</v>
      </c>
      <c r="BG8" s="636">
        <v>50000</v>
      </c>
      <c r="BI8" s="371" t="s">
        <v>1147</v>
      </c>
      <c r="BJ8" s="750">
        <v>0</v>
      </c>
      <c r="BK8" s="637">
        <v>0</v>
      </c>
      <c r="BL8" s="637">
        <v>0.138</v>
      </c>
    </row>
    <row r="9" spans="5:64">
      <c r="E9" s="157">
        <v>889</v>
      </c>
      <c r="F9" s="157" t="s">
        <v>184</v>
      </c>
      <c r="G9" s="157" t="s">
        <v>185</v>
      </c>
      <c r="I9" s="536">
        <v>44287</v>
      </c>
      <c r="K9" s="157" t="s">
        <v>144</v>
      </c>
      <c r="L9" s="157" t="str">
        <f t="array" aca="true" ref="L9">INDEX($K$2:$K$13,SMALL(IF($K$2:$K$13&lt;&gt;'G2. Cover Sheet'!$C$29,ROW($K$2:$K$13)-1),ROW($8:$8)))</f>
        <v>Severe Learning Difficulty (SLD)</v>
      </c>
      <c r="M9" s="157" t="str">
        <f t="array" aca="true" ref="M9">INDEX($L$2:$L$12,SMALL(IF($L$2:$L$12&lt;&gt;'G2. Cover Sheet'!$C$31,ROW($L$2:$L$12)-1),ROW($8:$8)))</f>
        <v>Severe Learning Difficulty (SLD)</v>
      </c>
      <c r="N9" s="157" t="str">
        <f t="array" aca="true" ref="N9">INDEX($M$2:$M$11,SMALL(IF($M$2:$M$11&lt;&gt;'G2. Cover Sheet'!$C$33,ROW($M$2:$M$11)-1),ROW($8:$8)))</f>
        <v>Severe Learning Difficulty (SLD)</v>
      </c>
      <c r="AC9" s="611" t="s">
        <v>478</v>
      </c>
      <c r="AD9" s="612">
        <v>2</v>
      </c>
      <c r="AF9" s="350">
        <v>0</v>
      </c>
      <c r="AG9" s="410">
        <v>0</v>
      </c>
      <c r="AH9" s="411">
        <v>0</v>
      </c>
      <c r="AI9" s="411">
        <v>0</v>
      </c>
      <c r="AJ9" s="411">
        <v>0</v>
      </c>
      <c r="AK9" s="411">
        <v>0</v>
      </c>
      <c r="AL9" s="411">
        <v>0</v>
      </c>
      <c r="AM9" s="411">
        <v>0</v>
      </c>
      <c r="AT9"/>
      <c r="AU9"/>
      <c r="AV9"/>
      <c r="AW9"/>
      <c r="AY9" s="157" t="s">
        <v>478</v>
      </c>
      <c r="AZ9" s="157" t="s">
        <v>3</v>
      </c>
      <c r="BB9" s="367" t="s">
        <v>1093</v>
      </c>
      <c r="BI9" s="371" t="s">
        <v>1148</v>
      </c>
      <c r="BJ9" s="750">
        <v>0</v>
      </c>
      <c r="BK9" s="637">
        <v>0</v>
      </c>
      <c r="BL9" s="637">
        <v>0.138</v>
      </c>
    </row>
    <row r="10" spans="5:61">
      <c r="E10" s="157">
        <v>890</v>
      </c>
      <c r="F10" s="157" t="s">
        <v>186</v>
      </c>
      <c r="G10" s="157" t="s">
        <v>185</v>
      </c>
      <c r="I10" s="536">
        <v>44317</v>
      </c>
      <c r="K10" s="157" t="s">
        <v>142</v>
      </c>
      <c r="L10" s="157" t="str">
        <f t="array" aca="true" ref="L10">INDEX($K$2:$K$13,SMALL(IF($K$2:$K$13&lt;&gt;'G2. Cover Sheet'!$C$29,ROW($K$2:$K$13)-1),ROW($9:$9)))</f>
        <v>Specific Learning Difficulty (SpLD)</v>
      </c>
      <c r="M10" s="157" t="str">
        <f t="array" aca="true" ref="M10">INDEX($L$2:$L$12,SMALL(IF($L$2:$L$12&lt;&gt;'G2. Cover Sheet'!$C$31,ROW($L$2:$L$12)-1),ROW($9:$9)))</f>
        <v>Specific Learning Difficulty (SpLD)</v>
      </c>
      <c r="N10" s="157" t="str">
        <f t="array" aca="true" ref="N10">INDEX($M$2:$M$11,SMALL(IF($M$2:$M$11&lt;&gt;'G2. Cover Sheet'!$C$33,ROW($M$2:$M$11)-1),ROW($9:$9)))</f>
        <v>Specific Learning Difficulty (SpLD)</v>
      </c>
      <c r="AC10" s="611" t="s">
        <v>165</v>
      </c>
      <c r="AD10" s="612">
        <v>0</v>
      </c>
      <c r="AF10" s="350" t="s">
        <v>476</v>
      </c>
      <c r="AG10" s="410">
        <v>0</v>
      </c>
      <c r="AH10" s="411">
        <v>283000</v>
      </c>
      <c r="AI10" s="411">
        <v>312000</v>
      </c>
      <c r="AJ10" s="411">
        <v>312000</v>
      </c>
      <c r="AK10" s="411">
        <v>402500</v>
      </c>
      <c r="AL10" s="411">
        <v>402500</v>
      </c>
      <c r="AM10" s="411">
        <v>0</v>
      </c>
      <c r="AT10"/>
      <c r="AU10"/>
      <c r="AV10"/>
      <c r="AW10"/>
      <c r="AY10" s="157" t="s">
        <v>478</v>
      </c>
      <c r="BB10" s="369" t="s">
        <v>580</v>
      </c>
      <c r="BC10" s="369" t="s">
        <v>170</v>
      </c>
      <c r="BD10" s="369" t="s">
        <v>718</v>
      </c>
      <c r="BI10" s="371" t="s">
        <v>1208</v>
      </c>
    </row>
    <row r="11" spans="5:56">
      <c r="E11" s="157">
        <v>350</v>
      </c>
      <c r="F11" s="157" t="s">
        <v>187</v>
      </c>
      <c r="G11" s="157" t="s">
        <v>185</v>
      </c>
      <c r="I11" s="536">
        <v>44348</v>
      </c>
      <c r="K11" s="157" t="s">
        <v>147</v>
      </c>
      <c r="L11" s="157" t="str">
        <f t="array" aca="true" ref="L11">INDEX($K$2:$K$13,SMALL(IF($K$2:$K$13&lt;&gt;'G2. Cover Sheet'!$C$29,ROW($K$2:$K$13)-1),ROW($10:$10)))</f>
        <v>Speech, Language and Communication Needs (SLCN)</v>
      </c>
      <c r="M11" s="157" t="str">
        <f t="array" aca="true" ref="M11">INDEX($L$2:$L$12,SMALL(IF($L$2:$L$12&lt;&gt;'G2. Cover Sheet'!$C$31,ROW($L$2:$L$12)-1),ROW($10:$10)))</f>
        <v>Speech, Language and Communication Needs (SLCN)</v>
      </c>
      <c r="AF11" s="157" t="s">
        <v>1027</v>
      </c>
      <c r="AT11"/>
      <c r="AU11"/>
      <c r="AV11"/>
      <c r="AW11"/>
      <c r="BB11" s="371">
        <v>825</v>
      </c>
      <c r="BC11" s="371" t="s">
        <v>195</v>
      </c>
      <c r="BD11" s="639">
        <v>1.0156360164</v>
      </c>
    </row>
    <row r="12" spans="5:56">
      <c r="E12" s="157">
        <v>839</v>
      </c>
      <c r="F12" s="157" t="s">
        <v>1050</v>
      </c>
      <c r="G12" s="157" t="s">
        <v>178</v>
      </c>
      <c r="I12" s="536">
        <v>44378</v>
      </c>
      <c r="K12" s="157" t="s">
        <v>149</v>
      </c>
      <c r="L12" s="157" t="str">
        <f t="array" aca="true" ref="L12">INDEX($K$2:$K$13,SMALL(IF($K$2:$K$13&lt;&gt;'G2. Cover Sheet'!$C$29,ROW($K$2:$K$13)-1),ROW($11:$11)))</f>
        <v>Visual Impairment (VI)</v>
      </c>
      <c r="AT12"/>
      <c r="AU12"/>
      <c r="AV12"/>
      <c r="AW12"/>
      <c r="BB12" s="371">
        <v>881</v>
      </c>
      <c r="BC12" s="371" t="s">
        <v>222</v>
      </c>
      <c r="BD12" s="639">
        <v>1.0156360164</v>
      </c>
    </row>
    <row r="13" spans="5:56">
      <c r="E13" s="157">
        <v>867</v>
      </c>
      <c r="F13" s="157" t="s">
        <v>188</v>
      </c>
      <c r="G13" s="157" t="s">
        <v>189</v>
      </c>
      <c r="I13" s="536">
        <v>44409</v>
      </c>
      <c r="K13" s="157" t="s">
        <v>130</v>
      </c>
      <c r="AT13"/>
      <c r="AU13"/>
      <c r="AV13"/>
      <c r="AW13"/>
      <c r="BB13" s="371">
        <v>886</v>
      </c>
      <c r="BC13" s="371" t="s">
        <v>242</v>
      </c>
      <c r="BD13" s="639">
        <v>1.0364</v>
      </c>
    </row>
    <row r="14" spans="5:56">
      <c r="E14" s="157">
        <v>380</v>
      </c>
      <c r="F14" s="157" t="s">
        <v>190</v>
      </c>
      <c r="G14" s="157" t="s">
        <v>176</v>
      </c>
      <c r="I14" s="536">
        <v>44440</v>
      </c>
      <c r="AT14"/>
      <c r="AU14"/>
      <c r="AV14"/>
      <c r="AW14"/>
      <c r="BB14" s="371">
        <v>919</v>
      </c>
      <c r="BC14" s="371" t="s">
        <v>235</v>
      </c>
      <c r="BD14" s="639">
        <v>1.0156360164</v>
      </c>
    </row>
    <row r="15" spans="5:65">
      <c r="E15" s="157">
        <v>304</v>
      </c>
      <c r="F15" s="157" t="s">
        <v>191</v>
      </c>
      <c r="G15" s="157" t="s">
        <v>173</v>
      </c>
      <c r="I15" s="536">
        <v>44470</v>
      </c>
      <c r="AT15"/>
      <c r="AU15"/>
      <c r="AV15"/>
      <c r="AW15"/>
      <c r="BB15" s="371">
        <v>938</v>
      </c>
      <c r="BC15" s="371" t="s">
        <v>321</v>
      </c>
      <c r="BD15" s="639">
        <v>1.0561</v>
      </c>
      <c r="BF15"/>
      <c r="BG15"/>
      <c r="BH15"/>
      <c r="BI15"/>
      <c r="BJ15"/>
      <c r="BK15"/>
      <c r="BL15"/>
      <c r="BM15"/>
    </row>
    <row r="16" spans="5:65">
      <c r="E16" s="157">
        <v>846</v>
      </c>
      <c r="F16" s="157" t="s">
        <v>192</v>
      </c>
      <c r="G16" s="157" t="s">
        <v>189</v>
      </c>
      <c r="I16" s="536">
        <v>44501</v>
      </c>
      <c r="AT16"/>
      <c r="AU16"/>
      <c r="AV16"/>
      <c r="AW16"/>
      <c r="BF16"/>
      <c r="BG16"/>
      <c r="BH16"/>
      <c r="BI16"/>
      <c r="BJ16"/>
      <c r="BK16"/>
      <c r="BL16"/>
      <c r="BM16"/>
    </row>
    <row r="17" spans="5:65">
      <c r="E17" s="157">
        <v>801</v>
      </c>
      <c r="F17" s="157" t="s">
        <v>193</v>
      </c>
      <c r="G17" s="157" t="s">
        <v>178</v>
      </c>
      <c r="I17" s="536">
        <v>44531</v>
      </c>
      <c r="K17" s="158"/>
      <c r="AT17" s="375"/>
      <c r="AU17" s="375"/>
      <c r="AV17" s="375"/>
      <c r="AW17" s="375"/>
      <c r="BF17"/>
      <c r="BG17"/>
      <c r="BH17"/>
      <c r="BI17"/>
      <c r="BJ17"/>
      <c r="BK17"/>
      <c r="BL17"/>
      <c r="BM17"/>
    </row>
    <row r="18" spans="5:65">
      <c r="E18" s="157">
        <v>305</v>
      </c>
      <c r="F18" s="157" t="s">
        <v>194</v>
      </c>
      <c r="G18" s="157" t="s">
        <v>173</v>
      </c>
      <c r="I18" s="536">
        <v>44562</v>
      </c>
      <c r="BF18"/>
      <c r="BG18"/>
      <c r="BH18"/>
      <c r="BI18"/>
      <c r="BJ18"/>
      <c r="BK18"/>
      <c r="BL18"/>
      <c r="BM18"/>
    </row>
    <row r="19" spans="5:65">
      <c r="E19" s="157">
        <v>825</v>
      </c>
      <c r="F19" s="157" t="s">
        <v>195</v>
      </c>
      <c r="G19" s="157" t="s">
        <v>189</v>
      </c>
      <c r="I19" s="536">
        <v>44593</v>
      </c>
      <c r="BF19"/>
      <c r="BG19"/>
      <c r="BH19"/>
      <c r="BI19"/>
      <c r="BJ19"/>
      <c r="BK19"/>
      <c r="BL19"/>
      <c r="BM19"/>
    </row>
    <row r="20" spans="5:65">
      <c r="E20" s="157">
        <v>351</v>
      </c>
      <c r="F20" s="157" t="s">
        <v>196</v>
      </c>
      <c r="G20" s="157" t="s">
        <v>185</v>
      </c>
      <c r="I20" s="536">
        <v>44621</v>
      </c>
      <c r="BF20"/>
      <c r="BG20"/>
      <c r="BH20"/>
      <c r="BI20"/>
      <c r="BJ20"/>
      <c r="BK20"/>
      <c r="BL20"/>
      <c r="BM20"/>
    </row>
    <row r="21" spans="5:65">
      <c r="E21" s="157">
        <v>381</v>
      </c>
      <c r="F21" s="157" t="s">
        <v>197</v>
      </c>
      <c r="G21" s="157" t="s">
        <v>176</v>
      </c>
      <c r="I21" s="536">
        <v>44652</v>
      </c>
      <c r="BF21"/>
      <c r="BG21"/>
      <c r="BH21"/>
      <c r="BI21"/>
      <c r="BJ21"/>
      <c r="BK21"/>
      <c r="BL21"/>
      <c r="BM21"/>
    </row>
    <row r="22" spans="5:65">
      <c r="E22" s="157">
        <v>873</v>
      </c>
      <c r="F22" s="157" t="s">
        <v>198</v>
      </c>
      <c r="G22" s="157" t="s">
        <v>180</v>
      </c>
      <c r="I22" s="536">
        <v>44682</v>
      </c>
      <c r="BF22"/>
      <c r="BG22"/>
      <c r="BH22"/>
      <c r="BI22"/>
      <c r="BJ22"/>
      <c r="BK22"/>
      <c r="BL22"/>
      <c r="BM22"/>
    </row>
    <row r="23" spans="5:61">
      <c r="E23" s="157">
        <v>202</v>
      </c>
      <c r="F23" s="157" t="s">
        <v>199</v>
      </c>
      <c r="G23" s="157" t="s">
        <v>200</v>
      </c>
      <c r="I23" s="536">
        <v>44713</v>
      </c>
      <c r="BI23"/>
    </row>
    <row r="24" spans="5:61">
      <c r="E24" s="157">
        <v>823</v>
      </c>
      <c r="F24" s="157" t="s">
        <v>201</v>
      </c>
      <c r="G24" s="157" t="s">
        <v>180</v>
      </c>
      <c r="I24" s="536">
        <v>44743</v>
      </c>
      <c r="BI24"/>
    </row>
    <row r="25" spans="5:9">
      <c r="E25" s="157">
        <v>895</v>
      </c>
      <c r="F25" s="157" t="s">
        <v>202</v>
      </c>
      <c r="G25" s="157" t="s">
        <v>185</v>
      </c>
      <c r="I25" s="536">
        <v>44774</v>
      </c>
    </row>
    <row r="26" spans="5:9">
      <c r="E26" s="157">
        <v>896</v>
      </c>
      <c r="F26" s="157" t="s">
        <v>574</v>
      </c>
      <c r="G26" s="157" t="s">
        <v>185</v>
      </c>
      <c r="I26" s="536">
        <v>44805</v>
      </c>
    </row>
    <row r="27" spans="5:9">
      <c r="E27" s="157">
        <v>201</v>
      </c>
      <c r="F27" s="157" t="s">
        <v>203</v>
      </c>
      <c r="G27" s="157" t="s">
        <v>200</v>
      </c>
      <c r="I27" s="536">
        <v>44835</v>
      </c>
    </row>
    <row r="28" spans="5:9">
      <c r="E28" s="157">
        <v>908</v>
      </c>
      <c r="F28" s="157" t="s">
        <v>204</v>
      </c>
      <c r="G28" s="157" t="s">
        <v>178</v>
      </c>
      <c r="I28" s="536">
        <v>44866</v>
      </c>
    </row>
    <row r="29" spans="5:9">
      <c r="E29" s="157">
        <v>331</v>
      </c>
      <c r="F29" s="157" t="s">
        <v>205</v>
      </c>
      <c r="G29" s="157" t="s">
        <v>183</v>
      </c>
      <c r="I29" s="536">
        <v>44896</v>
      </c>
    </row>
    <row r="30" spans="5:9">
      <c r="E30" s="157">
        <v>306</v>
      </c>
      <c r="F30" s="157" t="s">
        <v>206</v>
      </c>
      <c r="G30" s="157" t="s">
        <v>173</v>
      </c>
      <c r="I30" s="536">
        <v>44927</v>
      </c>
    </row>
    <row r="31" spans="5:9">
      <c r="E31" s="157">
        <v>909</v>
      </c>
      <c r="F31" s="157" t="s">
        <v>207</v>
      </c>
      <c r="G31" s="157" t="s">
        <v>185</v>
      </c>
      <c r="I31" s="536">
        <v>44958</v>
      </c>
    </row>
    <row r="32" spans="5:9">
      <c r="E32" s="157">
        <v>841</v>
      </c>
      <c r="F32" s="157" t="s">
        <v>208</v>
      </c>
      <c r="G32" s="157" t="s">
        <v>209</v>
      </c>
      <c r="I32" s="536">
        <v>44986</v>
      </c>
    </row>
    <row r="33" spans="5:9">
      <c r="E33" s="157">
        <v>831</v>
      </c>
      <c r="F33" s="157" t="s">
        <v>210</v>
      </c>
      <c r="G33" s="157" t="s">
        <v>211</v>
      </c>
      <c r="I33" s="536">
        <v>45017</v>
      </c>
    </row>
    <row r="34" spans="5:9">
      <c r="E34" s="157">
        <v>830</v>
      </c>
      <c r="F34" s="157" t="s">
        <v>212</v>
      </c>
      <c r="G34" s="157" t="s">
        <v>211</v>
      </c>
      <c r="I34" s="536">
        <v>45047</v>
      </c>
    </row>
    <row r="35" spans="5:9">
      <c r="E35" s="157">
        <v>878</v>
      </c>
      <c r="F35" s="157" t="s">
        <v>213</v>
      </c>
      <c r="G35" s="157" t="s">
        <v>178</v>
      </c>
      <c r="I35" s="536">
        <v>45078</v>
      </c>
    </row>
    <row r="36" spans="5:9">
      <c r="E36" s="157">
        <v>371</v>
      </c>
      <c r="F36" s="157" t="s">
        <v>214</v>
      </c>
      <c r="G36" s="157" t="s">
        <v>176</v>
      </c>
      <c r="I36" s="536">
        <v>45108</v>
      </c>
    </row>
    <row r="37" spans="5:9">
      <c r="E37" s="157">
        <v>838</v>
      </c>
      <c r="F37" s="157" t="s">
        <v>215</v>
      </c>
      <c r="G37" s="157" t="s">
        <v>178</v>
      </c>
      <c r="I37" s="536">
        <v>45139</v>
      </c>
    </row>
    <row r="38" spans="5:9">
      <c r="E38" s="157">
        <v>332</v>
      </c>
      <c r="F38" s="157" t="s">
        <v>216</v>
      </c>
      <c r="G38" s="157" t="s">
        <v>183</v>
      </c>
      <c r="I38" s="536">
        <v>45170</v>
      </c>
    </row>
    <row r="39" spans="5:9">
      <c r="E39" s="157">
        <v>840</v>
      </c>
      <c r="F39" s="157" t="s">
        <v>217</v>
      </c>
      <c r="G39" s="157" t="s">
        <v>209</v>
      </c>
      <c r="I39" s="536">
        <v>45200</v>
      </c>
    </row>
    <row r="40" spans="5:9">
      <c r="E40" s="157">
        <v>307</v>
      </c>
      <c r="F40" s="157" t="s">
        <v>218</v>
      </c>
      <c r="G40" s="157" t="s">
        <v>173</v>
      </c>
      <c r="I40" s="536">
        <v>45231</v>
      </c>
    </row>
    <row r="41" spans="5:9">
      <c r="E41" s="157">
        <v>811</v>
      </c>
      <c r="F41" s="157" t="s">
        <v>219</v>
      </c>
      <c r="G41" s="157" t="s">
        <v>176</v>
      </c>
      <c r="I41" s="536">
        <v>45261</v>
      </c>
    </row>
    <row r="42" spans="5:9">
      <c r="E42" s="157">
        <v>845</v>
      </c>
      <c r="F42" s="157" t="s">
        <v>220</v>
      </c>
      <c r="G42" s="157" t="s">
        <v>189</v>
      </c>
      <c r="I42" s="536">
        <v>45292</v>
      </c>
    </row>
    <row r="43" spans="5:9">
      <c r="E43" s="157">
        <v>308</v>
      </c>
      <c r="F43" s="157" t="s">
        <v>221</v>
      </c>
      <c r="G43" s="157" t="s">
        <v>173</v>
      </c>
      <c r="I43" s="536">
        <v>45323</v>
      </c>
    </row>
    <row r="44" spans="5:9">
      <c r="E44" s="157">
        <v>881</v>
      </c>
      <c r="F44" s="157" t="s">
        <v>222</v>
      </c>
      <c r="G44" s="157" t="s">
        <v>180</v>
      </c>
      <c r="I44" s="536">
        <v>45352</v>
      </c>
    </row>
    <row r="45" spans="5:9">
      <c r="E45" s="157">
        <v>390</v>
      </c>
      <c r="F45" s="157" t="s">
        <v>223</v>
      </c>
      <c r="G45" s="157" t="s">
        <v>209</v>
      </c>
      <c r="I45" s="536">
        <v>45383</v>
      </c>
    </row>
    <row r="46" spans="5:9">
      <c r="E46" s="157">
        <v>916</v>
      </c>
      <c r="F46" s="157" t="s">
        <v>224</v>
      </c>
      <c r="G46" s="157" t="s">
        <v>178</v>
      </c>
      <c r="I46" s="536">
        <v>45413</v>
      </c>
    </row>
    <row r="47" spans="5:9">
      <c r="E47" s="157">
        <v>203</v>
      </c>
      <c r="F47" s="157" t="s">
        <v>225</v>
      </c>
      <c r="G47" s="157" t="s">
        <v>173</v>
      </c>
      <c r="I47" s="536">
        <v>45444</v>
      </c>
    </row>
    <row r="48" spans="5:9">
      <c r="E48" s="157">
        <v>204</v>
      </c>
      <c r="F48" s="157" t="s">
        <v>226</v>
      </c>
      <c r="G48" s="157" t="s">
        <v>200</v>
      </c>
      <c r="I48" s="536">
        <v>45474</v>
      </c>
    </row>
    <row r="49" spans="5:9">
      <c r="E49" s="157">
        <v>876</v>
      </c>
      <c r="F49" s="157" t="s">
        <v>227</v>
      </c>
      <c r="G49" s="157" t="s">
        <v>185</v>
      </c>
      <c r="I49" s="536">
        <v>45505</v>
      </c>
    </row>
    <row r="50" spans="5:9">
      <c r="E50" s="157">
        <v>205</v>
      </c>
      <c r="F50" s="157" t="s">
        <v>228</v>
      </c>
      <c r="G50" s="157" t="s">
        <v>200</v>
      </c>
      <c r="I50" s="536">
        <v>45536</v>
      </c>
    </row>
    <row r="51" spans="5:9">
      <c r="E51" s="157">
        <v>850</v>
      </c>
      <c r="F51" s="157" t="s">
        <v>229</v>
      </c>
      <c r="G51" s="157" t="s">
        <v>189</v>
      </c>
      <c r="I51" s="536">
        <v>45566</v>
      </c>
    </row>
    <row r="52" spans="5:9">
      <c r="E52" s="157">
        <v>309</v>
      </c>
      <c r="F52" s="157" t="s">
        <v>230</v>
      </c>
      <c r="G52" s="157" t="s">
        <v>200</v>
      </c>
      <c r="I52" s="536">
        <v>45597</v>
      </c>
    </row>
    <row r="53" spans="5:9">
      <c r="E53" s="157">
        <v>310</v>
      </c>
      <c r="F53" s="157" t="s">
        <v>231</v>
      </c>
      <c r="G53" s="157" t="s">
        <v>173</v>
      </c>
      <c r="I53" s="536">
        <v>45627</v>
      </c>
    </row>
    <row r="54" spans="5:9">
      <c r="E54" s="157">
        <v>805</v>
      </c>
      <c r="F54" s="157" t="s">
        <v>232</v>
      </c>
      <c r="G54" s="157" t="s">
        <v>209</v>
      </c>
      <c r="I54" s="536">
        <v>45658</v>
      </c>
    </row>
    <row r="55" spans="5:9">
      <c r="E55" s="157">
        <v>311</v>
      </c>
      <c r="F55" s="157" t="s">
        <v>233</v>
      </c>
      <c r="G55" s="157" t="s">
        <v>173</v>
      </c>
      <c r="I55" s="536">
        <v>45689</v>
      </c>
    </row>
    <row r="56" spans="5:9">
      <c r="E56" s="157">
        <v>884</v>
      </c>
      <c r="F56" s="157" t="s">
        <v>234</v>
      </c>
      <c r="G56" s="157" t="s">
        <v>183</v>
      </c>
      <c r="I56" s="536">
        <v>45717</v>
      </c>
    </row>
    <row r="57" spans="5:9">
      <c r="E57" s="157">
        <v>919</v>
      </c>
      <c r="F57" s="157" t="s">
        <v>235</v>
      </c>
      <c r="G57" s="157" t="s">
        <v>180</v>
      </c>
      <c r="I57" s="536">
        <v>45748</v>
      </c>
    </row>
    <row r="58" spans="5:9">
      <c r="E58" s="157">
        <v>312</v>
      </c>
      <c r="F58" s="157" t="s">
        <v>236</v>
      </c>
      <c r="G58" s="157" t="s">
        <v>173</v>
      </c>
      <c r="I58" s="536">
        <v>45778</v>
      </c>
    </row>
    <row r="59" spans="5:9">
      <c r="E59" s="157">
        <v>313</v>
      </c>
      <c r="F59" s="157" t="s">
        <v>237</v>
      </c>
      <c r="G59" s="157" t="s">
        <v>173</v>
      </c>
      <c r="I59" s="536">
        <v>45809</v>
      </c>
    </row>
    <row r="60" spans="5:9">
      <c r="E60" s="157">
        <v>921</v>
      </c>
      <c r="F60" s="157" t="s">
        <v>238</v>
      </c>
      <c r="G60" s="157" t="s">
        <v>189</v>
      </c>
      <c r="I60" s="536">
        <v>45839</v>
      </c>
    </row>
    <row r="61" spans="5:9">
      <c r="E61" s="157">
        <v>420</v>
      </c>
      <c r="F61" s="157" t="s">
        <v>239</v>
      </c>
      <c r="G61" s="157" t="s">
        <v>178</v>
      </c>
      <c r="I61" s="536">
        <v>45870</v>
      </c>
    </row>
    <row r="62" spans="5:9">
      <c r="E62" s="157">
        <v>206</v>
      </c>
      <c r="F62" s="157" t="s">
        <v>240</v>
      </c>
      <c r="G62" s="157" t="s">
        <v>200</v>
      </c>
      <c r="I62" s="536">
        <v>45901</v>
      </c>
    </row>
    <row r="63" spans="5:9">
      <c r="E63" s="157">
        <v>207</v>
      </c>
      <c r="F63" s="157" t="s">
        <v>241</v>
      </c>
      <c r="G63" s="157" t="s">
        <v>200</v>
      </c>
      <c r="I63" s="536">
        <v>45931</v>
      </c>
    </row>
    <row r="64" spans="5:9">
      <c r="E64" s="157">
        <v>886</v>
      </c>
      <c r="F64" s="157" t="s">
        <v>242</v>
      </c>
      <c r="G64" s="157" t="s">
        <v>189</v>
      </c>
      <c r="I64" s="536">
        <v>45962</v>
      </c>
    </row>
    <row r="65" spans="5:9">
      <c r="E65" s="157">
        <v>810</v>
      </c>
      <c r="F65" s="157" t="s">
        <v>243</v>
      </c>
      <c r="G65" s="157" t="s">
        <v>176</v>
      </c>
      <c r="I65" s="536">
        <v>45992</v>
      </c>
    </row>
    <row r="66" spans="5:9">
      <c r="E66" s="157">
        <v>314</v>
      </c>
      <c r="F66" s="157" t="s">
        <v>244</v>
      </c>
      <c r="G66" s="157" t="s">
        <v>173</v>
      </c>
      <c r="I66" s="536">
        <v>46023</v>
      </c>
    </row>
    <row r="67" spans="5:9">
      <c r="E67" s="157">
        <v>382</v>
      </c>
      <c r="F67" s="157" t="s">
        <v>245</v>
      </c>
      <c r="G67" s="157" t="s">
        <v>176</v>
      </c>
      <c r="I67" s="536">
        <v>46054</v>
      </c>
    </row>
    <row r="68" spans="5:9">
      <c r="E68" s="157">
        <v>340</v>
      </c>
      <c r="F68" s="157" t="s">
        <v>246</v>
      </c>
      <c r="G68" s="157" t="s">
        <v>185</v>
      </c>
      <c r="I68" s="536">
        <v>46082</v>
      </c>
    </row>
    <row r="69" spans="5:9">
      <c r="E69" s="157">
        <v>208</v>
      </c>
      <c r="F69" s="157" t="s">
        <v>247</v>
      </c>
      <c r="G69" s="157" t="s">
        <v>200</v>
      </c>
      <c r="I69" s="536">
        <v>46113</v>
      </c>
    </row>
    <row r="70" spans="5:9">
      <c r="E70" s="157">
        <v>888</v>
      </c>
      <c r="F70" s="157" t="s">
        <v>248</v>
      </c>
      <c r="G70" s="157" t="s">
        <v>185</v>
      </c>
      <c r="I70" s="536">
        <v>46143</v>
      </c>
    </row>
    <row r="71" spans="5:9">
      <c r="E71" s="157">
        <v>383</v>
      </c>
      <c r="F71" s="157" t="s">
        <v>249</v>
      </c>
      <c r="G71" s="157" t="s">
        <v>176</v>
      </c>
      <c r="I71" s="536">
        <v>46174</v>
      </c>
    </row>
    <row r="72" spans="5:9">
      <c r="E72" s="157">
        <v>856</v>
      </c>
      <c r="F72" s="157" t="s">
        <v>250</v>
      </c>
      <c r="G72" s="157" t="s">
        <v>211</v>
      </c>
      <c r="I72" s="536">
        <v>46204</v>
      </c>
    </row>
    <row r="73" spans="5:9">
      <c r="E73" s="157">
        <v>855</v>
      </c>
      <c r="F73" s="157" t="s">
        <v>251</v>
      </c>
      <c r="G73" s="157" t="s">
        <v>211</v>
      </c>
      <c r="I73" s="536">
        <v>46235</v>
      </c>
    </row>
    <row r="74" spans="5:7">
      <c r="E74" s="157">
        <v>209</v>
      </c>
      <c r="F74" s="157" t="s">
        <v>252</v>
      </c>
      <c r="G74" s="157" t="s">
        <v>200</v>
      </c>
    </row>
    <row r="75" spans="5:7">
      <c r="E75" s="157">
        <v>925</v>
      </c>
      <c r="F75" s="157" t="s">
        <v>253</v>
      </c>
      <c r="G75" s="157" t="s">
        <v>211</v>
      </c>
    </row>
    <row r="76" spans="5:7">
      <c r="E76" s="157">
        <v>341</v>
      </c>
      <c r="F76" s="157" t="s">
        <v>254</v>
      </c>
      <c r="G76" s="157" t="s">
        <v>185</v>
      </c>
    </row>
    <row r="77" spans="5:7">
      <c r="E77" s="157">
        <v>821</v>
      </c>
      <c r="F77" s="157" t="s">
        <v>255</v>
      </c>
      <c r="G77" s="157" t="s">
        <v>180</v>
      </c>
    </row>
    <row r="78" spans="5:7">
      <c r="E78" s="157">
        <v>352</v>
      </c>
      <c r="F78" s="157" t="s">
        <v>256</v>
      </c>
      <c r="G78" s="157" t="s">
        <v>185</v>
      </c>
    </row>
    <row r="79" spans="5:7">
      <c r="E79" s="157">
        <v>887</v>
      </c>
      <c r="F79" s="157" t="s">
        <v>257</v>
      </c>
      <c r="G79" s="157" t="s">
        <v>189</v>
      </c>
    </row>
    <row r="80" spans="5:7">
      <c r="E80" s="157">
        <v>315</v>
      </c>
      <c r="F80" s="157" t="s">
        <v>258</v>
      </c>
      <c r="G80" s="157" t="s">
        <v>173</v>
      </c>
    </row>
    <row r="81" spans="5:7">
      <c r="E81" s="157">
        <v>806</v>
      </c>
      <c r="F81" s="157" t="s">
        <v>259</v>
      </c>
      <c r="G81" s="157" t="s">
        <v>209</v>
      </c>
    </row>
    <row r="82" spans="5:7">
      <c r="E82" s="157">
        <v>826</v>
      </c>
      <c r="F82" s="157" t="s">
        <v>260</v>
      </c>
      <c r="G82" s="157" t="s">
        <v>189</v>
      </c>
    </row>
    <row r="83" spans="5:7">
      <c r="E83" s="157">
        <v>391</v>
      </c>
      <c r="F83" s="157" t="s">
        <v>261</v>
      </c>
      <c r="G83" s="157" t="s">
        <v>209</v>
      </c>
    </row>
    <row r="84" spans="5:7">
      <c r="E84" s="157">
        <v>316</v>
      </c>
      <c r="F84" s="157" t="s">
        <v>262</v>
      </c>
      <c r="G84" s="157" t="s">
        <v>173</v>
      </c>
    </row>
    <row r="85" spans="5:7">
      <c r="E85" s="157">
        <v>926</v>
      </c>
      <c r="F85" s="157" t="s">
        <v>263</v>
      </c>
      <c r="G85" s="157" t="s">
        <v>180</v>
      </c>
    </row>
    <row r="86" spans="5:7">
      <c r="E86" s="157">
        <v>812</v>
      </c>
      <c r="F86" s="157" t="s">
        <v>264</v>
      </c>
      <c r="G86" s="157" t="s">
        <v>176</v>
      </c>
    </row>
    <row r="87" spans="5:7">
      <c r="E87" s="157">
        <v>813</v>
      </c>
      <c r="F87" s="157" t="s">
        <v>265</v>
      </c>
      <c r="G87" s="157" t="s">
        <v>176</v>
      </c>
    </row>
    <row r="88" spans="5:7">
      <c r="E88" s="157">
        <v>802</v>
      </c>
      <c r="F88" s="157" t="s">
        <v>266</v>
      </c>
      <c r="G88" s="157" t="s">
        <v>178</v>
      </c>
    </row>
    <row r="89" spans="5:7">
      <c r="E89" s="157">
        <v>392</v>
      </c>
      <c r="F89" s="157" t="s">
        <v>267</v>
      </c>
      <c r="G89" s="157" t="s">
        <v>209</v>
      </c>
    </row>
    <row r="90" spans="5:7">
      <c r="E90" s="157">
        <v>815</v>
      </c>
      <c r="F90" s="157" t="s">
        <v>268</v>
      </c>
      <c r="G90" s="157" t="s">
        <v>176</v>
      </c>
    </row>
    <row r="91" spans="5:7">
      <c r="E91" s="157">
        <v>928</v>
      </c>
      <c r="F91" s="157" t="s">
        <v>269</v>
      </c>
      <c r="G91" s="157" t="s">
        <v>211</v>
      </c>
    </row>
    <row r="92" spans="5:7">
      <c r="E92" s="157">
        <v>929</v>
      </c>
      <c r="F92" s="157" t="s">
        <v>270</v>
      </c>
      <c r="G92" s="157" t="s">
        <v>209</v>
      </c>
    </row>
    <row r="93" spans="5:7">
      <c r="E93" s="157">
        <v>892</v>
      </c>
      <c r="F93" s="157" t="s">
        <v>271</v>
      </c>
      <c r="G93" s="157" t="s">
        <v>211</v>
      </c>
    </row>
    <row r="94" spans="5:7">
      <c r="E94" s="157">
        <v>891</v>
      </c>
      <c r="F94" s="157" t="s">
        <v>272</v>
      </c>
      <c r="G94" s="157" t="s">
        <v>211</v>
      </c>
    </row>
    <row r="95" spans="5:7">
      <c r="E95" s="157">
        <v>353</v>
      </c>
      <c r="F95" s="157" t="s">
        <v>273</v>
      </c>
      <c r="G95" s="157" t="s">
        <v>185</v>
      </c>
    </row>
    <row r="96" spans="5:7">
      <c r="E96" s="157">
        <v>931</v>
      </c>
      <c r="F96" s="157" t="s">
        <v>274</v>
      </c>
      <c r="G96" s="157" t="s">
        <v>189</v>
      </c>
    </row>
    <row r="97" spans="5:7">
      <c r="E97" s="157">
        <v>874</v>
      </c>
      <c r="F97" s="157" t="s">
        <v>275</v>
      </c>
      <c r="G97" s="157" t="s">
        <v>180</v>
      </c>
    </row>
    <row r="98" spans="5:7">
      <c r="E98" s="157">
        <v>879</v>
      </c>
      <c r="F98" s="157" t="s">
        <v>276</v>
      </c>
      <c r="G98" s="157" t="s">
        <v>178</v>
      </c>
    </row>
    <row r="99" spans="5:7">
      <c r="E99" s="157">
        <v>851</v>
      </c>
      <c r="F99" s="157" t="s">
        <v>277</v>
      </c>
      <c r="G99" s="157" t="s">
        <v>189</v>
      </c>
    </row>
    <row r="100" spans="5:7">
      <c r="E100" s="157">
        <v>870</v>
      </c>
      <c r="F100" s="157" t="s">
        <v>278</v>
      </c>
      <c r="G100" s="157" t="s">
        <v>189</v>
      </c>
    </row>
    <row r="101" spans="5:7">
      <c r="E101" s="157">
        <v>317</v>
      </c>
      <c r="F101" s="157" t="s">
        <v>279</v>
      </c>
      <c r="G101" s="157" t="s">
        <v>173</v>
      </c>
    </row>
    <row r="102" spans="5:7">
      <c r="E102" s="157">
        <v>807</v>
      </c>
      <c r="F102" s="157" t="s">
        <v>280</v>
      </c>
      <c r="G102" s="157" t="s">
        <v>209</v>
      </c>
    </row>
    <row r="103" spans="5:7">
      <c r="E103" s="157">
        <v>318</v>
      </c>
      <c r="F103" s="157" t="s">
        <v>281</v>
      </c>
      <c r="G103" s="157" t="s">
        <v>173</v>
      </c>
    </row>
    <row r="104" spans="5:7">
      <c r="E104" s="157">
        <v>354</v>
      </c>
      <c r="F104" s="157" t="s">
        <v>282</v>
      </c>
      <c r="G104" s="157" t="s">
        <v>185</v>
      </c>
    </row>
    <row r="105" spans="5:7">
      <c r="E105" s="157">
        <v>372</v>
      </c>
      <c r="F105" s="157" t="s">
        <v>283</v>
      </c>
      <c r="G105" s="157" t="s">
        <v>176</v>
      </c>
    </row>
    <row r="106" spans="5:7">
      <c r="E106" s="157">
        <v>857</v>
      </c>
      <c r="F106" s="157" t="s">
        <v>284</v>
      </c>
      <c r="G106" s="157" t="s">
        <v>211</v>
      </c>
    </row>
    <row r="107" spans="5:7">
      <c r="E107" s="157">
        <v>355</v>
      </c>
      <c r="F107" s="157" t="s">
        <v>285</v>
      </c>
      <c r="G107" s="157" t="s">
        <v>185</v>
      </c>
    </row>
    <row r="108" spans="5:7">
      <c r="E108" s="157">
        <v>333</v>
      </c>
      <c r="F108" s="157" t="s">
        <v>286</v>
      </c>
      <c r="G108" s="157" t="s">
        <v>183</v>
      </c>
    </row>
    <row r="109" spans="5:7">
      <c r="E109" s="157">
        <v>343</v>
      </c>
      <c r="F109" s="157" t="s">
        <v>287</v>
      </c>
      <c r="G109" s="157" t="s">
        <v>185</v>
      </c>
    </row>
    <row r="110" spans="5:7">
      <c r="E110" s="157">
        <v>373</v>
      </c>
      <c r="F110" s="157" t="s">
        <v>288</v>
      </c>
      <c r="G110" s="157" t="s">
        <v>176</v>
      </c>
    </row>
    <row r="111" spans="5:7">
      <c r="E111" s="157">
        <v>893</v>
      </c>
      <c r="F111" s="157" t="s">
        <v>289</v>
      </c>
      <c r="G111" s="157" t="s">
        <v>183</v>
      </c>
    </row>
    <row r="112" spans="5:7">
      <c r="E112" s="157">
        <v>871</v>
      </c>
      <c r="F112" s="157" t="s">
        <v>290</v>
      </c>
      <c r="G112" s="157" t="s">
        <v>189</v>
      </c>
    </row>
    <row r="113" spans="5:7">
      <c r="E113" s="157">
        <v>334</v>
      </c>
      <c r="F113" s="157" t="s">
        <v>291</v>
      </c>
      <c r="G113" s="157" t="s">
        <v>183</v>
      </c>
    </row>
    <row r="114" spans="5:7">
      <c r="E114" s="157">
        <v>933</v>
      </c>
      <c r="F114" s="157" t="s">
        <v>292</v>
      </c>
      <c r="G114" s="157" t="s">
        <v>178</v>
      </c>
    </row>
    <row r="115" spans="5:7">
      <c r="E115" s="157">
        <v>803</v>
      </c>
      <c r="F115" s="157" t="s">
        <v>293</v>
      </c>
      <c r="G115" s="157" t="s">
        <v>178</v>
      </c>
    </row>
    <row r="116" spans="5:7">
      <c r="E116" s="157">
        <v>393</v>
      </c>
      <c r="F116" s="157" t="s">
        <v>294</v>
      </c>
      <c r="G116" s="157" t="s">
        <v>209</v>
      </c>
    </row>
    <row r="117" spans="5:7">
      <c r="E117" s="157">
        <v>852</v>
      </c>
      <c r="F117" s="157" t="s">
        <v>295</v>
      </c>
      <c r="G117" s="157" t="s">
        <v>189</v>
      </c>
    </row>
    <row r="118" spans="5:7">
      <c r="E118" s="157">
        <v>882</v>
      </c>
      <c r="F118" s="157" t="s">
        <v>296</v>
      </c>
      <c r="G118" s="157" t="s">
        <v>180</v>
      </c>
    </row>
    <row r="119" spans="5:7">
      <c r="E119" s="157">
        <v>210</v>
      </c>
      <c r="F119" s="157" t="s">
        <v>297</v>
      </c>
      <c r="G119" s="157" t="s">
        <v>200</v>
      </c>
    </row>
    <row r="120" spans="5:7">
      <c r="E120" s="157">
        <v>342</v>
      </c>
      <c r="F120" s="157" t="s">
        <v>298</v>
      </c>
      <c r="G120" s="157" t="s">
        <v>185</v>
      </c>
    </row>
    <row r="121" spans="5:7">
      <c r="E121" s="157">
        <v>860</v>
      </c>
      <c r="F121" s="157" t="s">
        <v>299</v>
      </c>
      <c r="G121" s="157" t="s">
        <v>183</v>
      </c>
    </row>
    <row r="122" spans="5:7">
      <c r="E122" s="157">
        <v>356</v>
      </c>
      <c r="F122" s="157" t="s">
        <v>300</v>
      </c>
      <c r="G122" s="157" t="s">
        <v>185</v>
      </c>
    </row>
    <row r="123" spans="5:7">
      <c r="E123" s="157">
        <v>808</v>
      </c>
      <c r="F123" s="157" t="s">
        <v>301</v>
      </c>
      <c r="G123" s="157" t="s">
        <v>209</v>
      </c>
    </row>
    <row r="124" spans="5:7">
      <c r="E124" s="157">
        <v>861</v>
      </c>
      <c r="F124" s="157" t="s">
        <v>302</v>
      </c>
      <c r="G124" s="157" t="s">
        <v>183</v>
      </c>
    </row>
    <row r="125" spans="5:7">
      <c r="E125" s="157">
        <v>935</v>
      </c>
      <c r="F125" s="157" t="s">
        <v>303</v>
      </c>
      <c r="G125" s="157" t="s">
        <v>180</v>
      </c>
    </row>
    <row r="126" spans="5:7">
      <c r="E126" s="157">
        <v>394</v>
      </c>
      <c r="F126" s="157" t="s">
        <v>304</v>
      </c>
      <c r="G126" s="157" t="s">
        <v>209</v>
      </c>
    </row>
    <row r="127" spans="5:7">
      <c r="E127" s="157">
        <v>936</v>
      </c>
      <c r="F127" s="157" t="s">
        <v>305</v>
      </c>
      <c r="G127" s="157" t="s">
        <v>189</v>
      </c>
    </row>
    <row r="128" spans="5:7">
      <c r="E128" s="157">
        <v>319</v>
      </c>
      <c r="F128" s="157" t="s">
        <v>306</v>
      </c>
      <c r="G128" s="157" t="s">
        <v>173</v>
      </c>
    </row>
    <row r="129" spans="5:7">
      <c r="E129" s="157">
        <v>866</v>
      </c>
      <c r="F129" s="157" t="s">
        <v>307</v>
      </c>
      <c r="G129" s="157" t="s">
        <v>178</v>
      </c>
    </row>
    <row r="130" spans="5:7">
      <c r="E130" s="157">
        <v>357</v>
      </c>
      <c r="F130" s="157" t="s">
        <v>308</v>
      </c>
      <c r="G130" s="157" t="s">
        <v>185</v>
      </c>
    </row>
    <row r="131" spans="5:7">
      <c r="E131" s="157">
        <v>894</v>
      </c>
      <c r="F131" s="157" t="s">
        <v>309</v>
      </c>
      <c r="G131" s="157" t="s">
        <v>183</v>
      </c>
    </row>
    <row r="132" spans="5:7">
      <c r="E132" s="157">
        <v>883</v>
      </c>
      <c r="F132" s="157" t="s">
        <v>310</v>
      </c>
      <c r="G132" s="157" t="s">
        <v>180</v>
      </c>
    </row>
    <row r="133" spans="5:7">
      <c r="E133" s="157">
        <v>880</v>
      </c>
      <c r="F133" s="157" t="s">
        <v>311</v>
      </c>
      <c r="G133" s="157" t="s">
        <v>178</v>
      </c>
    </row>
    <row r="134" spans="5:7">
      <c r="E134" s="157">
        <v>211</v>
      </c>
      <c r="F134" s="157" t="s">
        <v>312</v>
      </c>
      <c r="G134" s="157" t="s">
        <v>200</v>
      </c>
    </row>
    <row r="135" spans="5:7">
      <c r="E135" s="157">
        <v>358</v>
      </c>
      <c r="F135" s="157" t="s">
        <v>313</v>
      </c>
      <c r="G135" s="157" t="s">
        <v>185</v>
      </c>
    </row>
    <row r="136" spans="5:7">
      <c r="E136" s="157">
        <v>384</v>
      </c>
      <c r="F136" s="157" t="s">
        <v>314</v>
      </c>
      <c r="G136" s="157" t="s">
        <v>176</v>
      </c>
    </row>
    <row r="137" spans="5:7">
      <c r="E137" s="157">
        <v>335</v>
      </c>
      <c r="F137" s="157" t="s">
        <v>315</v>
      </c>
      <c r="G137" s="157" t="s">
        <v>183</v>
      </c>
    </row>
    <row r="138" spans="5:7">
      <c r="E138" s="157">
        <v>320</v>
      </c>
      <c r="F138" s="157" t="s">
        <v>316</v>
      </c>
      <c r="G138" s="157" t="s">
        <v>173</v>
      </c>
    </row>
    <row r="139" spans="5:7">
      <c r="E139" s="157">
        <v>212</v>
      </c>
      <c r="F139" s="157" t="s">
        <v>317</v>
      </c>
      <c r="G139" s="157" t="s">
        <v>200</v>
      </c>
    </row>
    <row r="140" spans="5:7">
      <c r="E140" s="157">
        <v>877</v>
      </c>
      <c r="F140" s="157" t="s">
        <v>318</v>
      </c>
      <c r="G140" s="157" t="s">
        <v>185</v>
      </c>
    </row>
    <row r="141" spans="5:7">
      <c r="E141" s="157">
        <v>937</v>
      </c>
      <c r="F141" s="157" t="s">
        <v>319</v>
      </c>
      <c r="G141" s="157" t="s">
        <v>183</v>
      </c>
    </row>
    <row r="142" spans="5:7">
      <c r="E142" s="157">
        <v>869</v>
      </c>
      <c r="F142" s="157" t="s">
        <v>320</v>
      </c>
      <c r="G142" s="157" t="s">
        <v>189</v>
      </c>
    </row>
    <row r="143" spans="5:7">
      <c r="E143" s="157">
        <v>938</v>
      </c>
      <c r="F143" s="157" t="s">
        <v>321</v>
      </c>
      <c r="G143" s="157" t="s">
        <v>189</v>
      </c>
    </row>
    <row r="144" spans="5:7">
      <c r="E144" s="157">
        <v>213</v>
      </c>
      <c r="F144" s="157" t="s">
        <v>322</v>
      </c>
      <c r="G144" s="157" t="s">
        <v>200</v>
      </c>
    </row>
    <row r="145" spans="5:7">
      <c r="E145" s="157">
        <v>359</v>
      </c>
      <c r="F145" s="157" t="s">
        <v>323</v>
      </c>
      <c r="G145" s="157" t="s">
        <v>185</v>
      </c>
    </row>
    <row r="146" spans="5:7">
      <c r="E146" s="157">
        <v>865</v>
      </c>
      <c r="F146" s="157" t="s">
        <v>324</v>
      </c>
      <c r="G146" s="157" t="s">
        <v>178</v>
      </c>
    </row>
    <row r="147" spans="5:7">
      <c r="E147" s="157">
        <v>868</v>
      </c>
      <c r="F147" s="157" t="s">
        <v>325</v>
      </c>
      <c r="G147" s="157" t="s">
        <v>189</v>
      </c>
    </row>
    <row r="148" spans="5:7">
      <c r="E148" s="157">
        <v>344</v>
      </c>
      <c r="F148" s="157" t="s">
        <v>326</v>
      </c>
      <c r="G148" s="157" t="s">
        <v>185</v>
      </c>
    </row>
    <row r="149" spans="5:7">
      <c r="E149" s="157">
        <v>872</v>
      </c>
      <c r="F149" s="157" t="s">
        <v>327</v>
      </c>
      <c r="G149" s="157" t="s">
        <v>189</v>
      </c>
    </row>
    <row r="150" spans="5:7">
      <c r="E150" s="157">
        <v>336</v>
      </c>
      <c r="F150" s="157" t="s">
        <v>328</v>
      </c>
      <c r="G150" s="157" t="s">
        <v>183</v>
      </c>
    </row>
    <row r="151" spans="5:7">
      <c r="E151" s="157">
        <v>885</v>
      </c>
      <c r="F151" s="157" t="s">
        <v>329</v>
      </c>
      <c r="G151" s="157" t="s">
        <v>183</v>
      </c>
    </row>
    <row r="152" spans="5:7">
      <c r="E152" s="157">
        <v>816</v>
      </c>
      <c r="F152" s="157" t="s">
        <v>330</v>
      </c>
      <c r="G152" s="157" t="s">
        <v>176</v>
      </c>
    </row>
    <row r="153"/>
    <row r="154"/>
    <row r="155"/>
    <row r="156"/>
    <row r="157"/>
    <row r="158"/>
    <row r="159"/>
    <row r="160"/>
  </sheetData>
  <sheetProtection algorithmName="SHA-512" hashValue="qhHmlWN4nP+AzcPeStScFVZmDutnLFrvGHo1rGPNBz8L3FFT1wC+t+ss1685f2/bi6gB13k9MaVm+vkFTXoBPQ==" saltValue="KV93SsnJS10V6pwOLfyCJA==" spinCount="100000" sheet="1" objects="1" scenarios="1"/>
  <mergeCells count="2">
    <mergeCell ref="AT2:AW2"/>
    <mergeCell ref="AT6:AW6"/>
  </mergeCells>
  <pageMargins left="0.7" right="0.7" top="0.75" bottom="0.75" header="0.3" footer="0.3"/>
  <pageSetup paperSize="9" orientation="portrait"/>
  <headerFooter scaleWithDoc="1" alignWithMargins="0" differentFirst="0" differentOddEven="0"/>
  <extLst/>
</worksheet>
</file>

<file path=xl/worksheets/sheet1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7"/>
  <dimension ref="A1:OI10"/>
  <sheetViews>
    <sheetView topLeftCell="A1" showGridLines="0" showRowColHeaders="0" view="normal" workbookViewId="0">
      <pane xSplit="2" ySplit="2" topLeftCell="NV3" activePane="bottomRight" state="frozen"/>
      <selection pane="bottomRight" activeCell="A3" sqref="A3"/>
    </sheetView>
  </sheetViews>
  <sheetFormatPr defaultRowHeight="15"/>
  <cols>
    <col min="1" max="1" width="15.75390625" customWidth="1"/>
    <col min="7" max="7" width="10.125" bestFit="1" customWidth="1"/>
    <col min="10" max="13" width="11.75390625" customWidth="1"/>
    <col min="14" max="14" width="11.00390625" customWidth="1"/>
    <col min="15" max="15" width="10.00390625" customWidth="1"/>
    <col min="313" max="328" width="10.625" customWidth="1"/>
    <col min="330" max="330" width="12.625" customWidth="1"/>
    <col min="331" max="331" width="11.75390625" customWidth="1"/>
    <col min="336" max="336" width="10.875" customWidth="1"/>
    <col min="340" max="340" width="11.75390625" customWidth="1"/>
    <col min="346" max="346" width="10.125" customWidth="1"/>
    <col min="347" max="347" width="11.375" customWidth="1"/>
    <col min="349" max="352" width="11.125" customWidth="1"/>
    <col min="353" max="353" width="10.625" customWidth="1"/>
    <col min="354" max="360" width="13.00390625" customWidth="1"/>
    <col min="374" max="374" width="16.875" customWidth="1"/>
    <col min="375" max="375" width="13.00390625" customWidth="1"/>
    <col min="379" max="379" width="11.00390625" customWidth="1"/>
    <col min="380" max="382" width="11.125" customWidth="1"/>
    <col min="385" max="385" width="16.875" customWidth="1"/>
    <col min="386" max="386" width="20.125" customWidth="1"/>
    <col min="387" max="389" width="14.00390625" customWidth="1"/>
    <col min="392" max="394" width="10.375" customWidth="1"/>
    <col min="395" max="399" width="11.00390625" customWidth="1"/>
  </cols>
  <sheetData>
    <row r="1" spans="17:373">
      <c r="Q1" t="s">
        <v>1157</v>
      </c>
      <c r="R1" t="s">
        <v>1158</v>
      </c>
      <c r="S1" t="s">
        <v>1159</v>
      </c>
      <c r="T1" t="s">
        <v>1160</v>
      </c>
      <c r="U1" t="s">
        <v>1161</v>
      </c>
      <c r="V1" t="s">
        <v>1162</v>
      </c>
      <c r="W1" t="s">
        <v>1163</v>
      </c>
      <c r="X1" t="s">
        <v>1284</v>
      </c>
      <c r="KS1" s="1260" t="s">
        <v>1173</v>
      </c>
      <c r="KT1" s="1260"/>
      <c r="KU1" s="1260"/>
      <c r="KV1" s="1260"/>
      <c r="KW1" s="1260"/>
      <c r="KX1" s="1260"/>
      <c r="KY1" s="1260"/>
      <c r="KZ1" s="1260"/>
      <c r="NI1" s="930"/>
    </row>
    <row r="2" spans="1:399" s="924" customFormat="1" ht="120">
      <c r="A2" s="919" t="s">
        <v>826</v>
      </c>
      <c r="B2" s="919" t="s">
        <v>331</v>
      </c>
      <c r="C2" s="919" t="s">
        <v>827</v>
      </c>
      <c r="D2" s="919" t="s">
        <v>828</v>
      </c>
      <c r="E2" s="919" t="s">
        <v>539</v>
      </c>
      <c r="F2" s="919" t="s">
        <v>171</v>
      </c>
      <c r="G2" s="919" t="s">
        <v>829</v>
      </c>
      <c r="H2" s="919" t="s">
        <v>159</v>
      </c>
      <c r="I2" s="919" t="s">
        <v>830</v>
      </c>
      <c r="J2" s="919" t="s">
        <v>43</v>
      </c>
      <c r="K2" s="919" t="s">
        <v>44</v>
      </c>
      <c r="L2" s="919" t="s">
        <v>45</v>
      </c>
      <c r="M2" s="919" t="s">
        <v>46</v>
      </c>
      <c r="N2" s="919" t="s">
        <v>48</v>
      </c>
      <c r="O2" s="919" t="s">
        <v>831</v>
      </c>
      <c r="P2" s="919" t="s">
        <v>50</v>
      </c>
      <c r="Q2" s="920" t="str">
        <f>"Reception " &amp;Q$1</f>
        <v>Reception 2020/21</v>
      </c>
      <c r="R2" s="920" t="str">
        <f>"Reception " &amp;R$1</f>
        <v>Reception 2021/22</v>
      </c>
      <c r="S2" s="920" t="str">
        <f>"Reception " &amp;S$1</f>
        <v>Reception 2022/23</v>
      </c>
      <c r="T2" s="920" t="str">
        <f>"Reception " &amp;T$1</f>
        <v>Reception 2023/24</v>
      </c>
      <c r="U2" s="920" t="str">
        <f>"Reception " &amp;U$1</f>
        <v>Reception 2024/25</v>
      </c>
      <c r="V2" s="920" t="str">
        <f>"Reception " &amp;V$1</f>
        <v>Reception 2025/26</v>
      </c>
      <c r="W2" s="920" t="str">
        <f>"Reception " &amp;W$1</f>
        <v>Reception 2026/27</v>
      </c>
      <c r="X2" s="920" t="str">
        <f>"Reception " &amp;X$1</f>
        <v>Reception 2027/28</v>
      </c>
      <c r="Y2" s="920" t="str">
        <f>"Year 1 " &amp;Q$1</f>
        <v>Year 1 2020/21</v>
      </c>
      <c r="Z2" s="920" t="str">
        <f>"Year 1 " &amp;R$1</f>
        <v>Year 1 2021/22</v>
      </c>
      <c r="AA2" s="920" t="str">
        <f>"Year 1 " &amp;S$1</f>
        <v>Year 1 2022/23</v>
      </c>
      <c r="AB2" s="920" t="str">
        <f>"Year 1 " &amp;T$1</f>
        <v>Year 1 2023/24</v>
      </c>
      <c r="AC2" s="920" t="str">
        <f>"Year 1 " &amp;U$1</f>
        <v>Year 1 2024/25</v>
      </c>
      <c r="AD2" s="920" t="str">
        <f>"Year 1 " &amp;V$1</f>
        <v>Year 1 2025/26</v>
      </c>
      <c r="AE2" s="920" t="str">
        <f>"Year 1 " &amp;W$1</f>
        <v>Year 1 2026/27</v>
      </c>
      <c r="AF2" s="920" t="str">
        <f>"Year 1 " &amp;X$1</f>
        <v>Year 1 2027/28</v>
      </c>
      <c r="AG2" s="920" t="str">
        <f>"Year 2 "&amp;Q$1 </f>
        <v>Year 2 2020/21</v>
      </c>
      <c r="AH2" s="920" t="str">
        <f>"Year 2 "&amp;R$1 </f>
        <v>Year 2 2021/22</v>
      </c>
      <c r="AI2" s="920" t="str">
        <f>"Year 2 "&amp;S$1 </f>
        <v>Year 2 2022/23</v>
      </c>
      <c r="AJ2" s="920" t="str">
        <f>"Year 2 "&amp;T$1 </f>
        <v>Year 2 2023/24</v>
      </c>
      <c r="AK2" s="920" t="str">
        <f>"Year 2 "&amp;U$1 </f>
        <v>Year 2 2024/25</v>
      </c>
      <c r="AL2" s="920" t="str">
        <f>"Year 2 "&amp;V$1 </f>
        <v>Year 2 2025/26</v>
      </c>
      <c r="AM2" s="920" t="str">
        <f>"Year 2 "&amp;W$1 </f>
        <v>Year 2 2026/27</v>
      </c>
      <c r="AN2" s="920" t="str">
        <f>"Year 2 "&amp;X$1 </f>
        <v>Year 2 2027/28</v>
      </c>
      <c r="AO2" s="920" t="str">
        <f>"Year 3 "&amp;Q$1 </f>
        <v>Year 3 2020/21</v>
      </c>
      <c r="AP2" s="920" t="str">
        <f>"Year 3 " &amp;R$1</f>
        <v>Year 3 2021/22</v>
      </c>
      <c r="AQ2" s="920" t="str">
        <f>"Year 3 " &amp;S$1</f>
        <v>Year 3 2022/23</v>
      </c>
      <c r="AR2" s="920" t="str">
        <f>"Year 3 " &amp;T$1</f>
        <v>Year 3 2023/24</v>
      </c>
      <c r="AS2" s="920" t="str">
        <f>"Year 3 " &amp;U$1</f>
        <v>Year 3 2024/25</v>
      </c>
      <c r="AT2" s="920" t="str">
        <f>"Year 3 " &amp;V$1</f>
        <v>Year 3 2025/26</v>
      </c>
      <c r="AU2" s="920" t="str">
        <f>"Year 3 " &amp;W$1</f>
        <v>Year 3 2026/27</v>
      </c>
      <c r="AV2" s="920" t="str">
        <f>"Year 3 " &amp;X$1</f>
        <v>Year 3 2027/28</v>
      </c>
      <c r="AW2" s="920" t="str">
        <f>"Year 4 " &amp;Q$1</f>
        <v>Year 4 2020/21</v>
      </c>
      <c r="AX2" s="920" t="str">
        <f>"Year 4 "&amp;R$1 </f>
        <v>Year 4 2021/22</v>
      </c>
      <c r="AY2" s="920" t="str">
        <f>"Year 4 "&amp;S$1 </f>
        <v>Year 4 2022/23</v>
      </c>
      <c r="AZ2" s="920" t="str">
        <f>"Year 4 "&amp;T$1 </f>
        <v>Year 4 2023/24</v>
      </c>
      <c r="BA2" s="920" t="str">
        <f>"Year 4 "&amp;U$1 </f>
        <v>Year 4 2024/25</v>
      </c>
      <c r="BB2" s="920" t="str">
        <f>"Year 4 "&amp;V$1 </f>
        <v>Year 4 2025/26</v>
      </c>
      <c r="BC2" s="920" t="str">
        <f>"Year 4 "&amp;W$1 </f>
        <v>Year 4 2026/27</v>
      </c>
      <c r="BD2" s="920" t="str">
        <f>"Year 4 "&amp;X$1 </f>
        <v>Year 4 2027/28</v>
      </c>
      <c r="BE2" s="920" t="str">
        <f>"Year 5 "&amp;Q$1 </f>
        <v>Year 5 2020/21</v>
      </c>
      <c r="BF2" s="920" t="str">
        <f>"Year 5 " &amp;R$1</f>
        <v>Year 5 2021/22</v>
      </c>
      <c r="BG2" s="920" t="str">
        <f>"Year 5 " &amp;S$1</f>
        <v>Year 5 2022/23</v>
      </c>
      <c r="BH2" s="920" t="str">
        <f>"Year 5 " &amp;T$1</f>
        <v>Year 5 2023/24</v>
      </c>
      <c r="BI2" s="920" t="str">
        <f>"Year 5 " &amp;U$1</f>
        <v>Year 5 2024/25</v>
      </c>
      <c r="BJ2" s="920" t="str">
        <f>"Year 5 " &amp;V$1</f>
        <v>Year 5 2025/26</v>
      </c>
      <c r="BK2" s="920" t="str">
        <f>"Year 5 " &amp;W$1</f>
        <v>Year 5 2026/27</v>
      </c>
      <c r="BL2" s="920" t="str">
        <f>"Year 5 " &amp;X$1</f>
        <v>Year 5 2027/28</v>
      </c>
      <c r="BM2" s="920" t="str">
        <f>"Year 6 " &amp;Q$1</f>
        <v>Year 6 2020/21</v>
      </c>
      <c r="BN2" s="920" t="str">
        <f>"Year 6 "&amp;R$1 </f>
        <v>Year 6 2021/22</v>
      </c>
      <c r="BO2" s="920" t="str">
        <f>"Year 6 "&amp;S$1 </f>
        <v>Year 6 2022/23</v>
      </c>
      <c r="BP2" s="920" t="str">
        <f>"Year 6 "&amp;T$1 </f>
        <v>Year 6 2023/24</v>
      </c>
      <c r="BQ2" s="920" t="str">
        <f>"Year 6 "&amp;U$1 </f>
        <v>Year 6 2024/25</v>
      </c>
      <c r="BR2" s="920" t="str">
        <f>"Year 6 "&amp;V$1 </f>
        <v>Year 6 2025/26</v>
      </c>
      <c r="BS2" s="920" t="str">
        <f>"Year 6 "&amp;W$1 </f>
        <v>Year 6 2026/27</v>
      </c>
      <c r="BT2" s="920" t="str">
        <f>"Year 6 "&amp;X$1 </f>
        <v>Year 6 2027/28</v>
      </c>
      <c r="BU2" s="920" t="str">
        <f>"Year 7 " &amp;Q$1</f>
        <v>Year 7 2020/21</v>
      </c>
      <c r="BV2" s="920" t="str">
        <f>"Year 7 "&amp;R$1 </f>
        <v>Year 7 2021/22</v>
      </c>
      <c r="BW2" s="920" t="str">
        <f>"Year 7 "&amp;S$1 </f>
        <v>Year 7 2022/23</v>
      </c>
      <c r="BX2" s="920" t="str">
        <f>"Year 7 "&amp;T$1 </f>
        <v>Year 7 2023/24</v>
      </c>
      <c r="BY2" s="920" t="str">
        <f>"Year 7 "&amp;U$1 </f>
        <v>Year 7 2024/25</v>
      </c>
      <c r="BZ2" s="920" t="str">
        <f>"Year 7 "&amp;V$1 </f>
        <v>Year 7 2025/26</v>
      </c>
      <c r="CA2" s="920" t="str">
        <f>"Year 7 "&amp;W$1 </f>
        <v>Year 7 2026/27</v>
      </c>
      <c r="CB2" s="920" t="str">
        <f>"Year 7 "&amp;X$1 </f>
        <v>Year 7 2027/28</v>
      </c>
      <c r="CC2" s="920" t="str">
        <f>"Year 8 " &amp;Q$1</f>
        <v>Year 8 2020/21</v>
      </c>
      <c r="CD2" s="920" t="str">
        <f>"Year 8 " &amp;R$1</f>
        <v>Year 8 2021/22</v>
      </c>
      <c r="CE2" s="920" t="str">
        <f>"Year 8 " &amp;S$1</f>
        <v>Year 8 2022/23</v>
      </c>
      <c r="CF2" s="920" t="str">
        <f>"Year 8 " &amp;T$1</f>
        <v>Year 8 2023/24</v>
      </c>
      <c r="CG2" s="920" t="str">
        <f>"Year 8 " &amp;U$1</f>
        <v>Year 8 2024/25</v>
      </c>
      <c r="CH2" s="920" t="str">
        <f>"Year 8 " &amp;V$1</f>
        <v>Year 8 2025/26</v>
      </c>
      <c r="CI2" s="920" t="str">
        <f>"Year 8 " &amp;W$1</f>
        <v>Year 8 2026/27</v>
      </c>
      <c r="CJ2" s="920" t="str">
        <f>"Year 8 " &amp;X$1</f>
        <v>Year 8 2027/28</v>
      </c>
      <c r="CK2" s="920" t="str">
        <f>"Year 9 "&amp;Q$1 </f>
        <v>Year 9 2020/21</v>
      </c>
      <c r="CL2" s="920" t="str">
        <f>"Year 9 "&amp;R$1 </f>
        <v>Year 9 2021/22</v>
      </c>
      <c r="CM2" s="920" t="str">
        <f>"Year 9 "&amp;S$1 </f>
        <v>Year 9 2022/23</v>
      </c>
      <c r="CN2" s="920" t="str">
        <f>"Year 9 "&amp;T$1 </f>
        <v>Year 9 2023/24</v>
      </c>
      <c r="CO2" s="920" t="str">
        <f>"Year 9 "&amp;U$1 </f>
        <v>Year 9 2024/25</v>
      </c>
      <c r="CP2" s="920" t="str">
        <f>"Year 9 "&amp;V$1 </f>
        <v>Year 9 2025/26</v>
      </c>
      <c r="CQ2" s="920" t="str">
        <f>"Year 9 "&amp;W$1 </f>
        <v>Year 9 2026/27</v>
      </c>
      <c r="CR2" s="920" t="str">
        <f>"Year 9 "&amp;X$1 </f>
        <v>Year 9 2027/28</v>
      </c>
      <c r="CS2" s="920" t="str">
        <f>"Year 10 " &amp;Q$1</f>
        <v>Year 10 2020/21</v>
      </c>
      <c r="CT2" s="920" t="str">
        <f>"Year 10 " &amp;R$1</f>
        <v>Year 10 2021/22</v>
      </c>
      <c r="CU2" s="920" t="str">
        <f>"Year 10 " &amp;S$1</f>
        <v>Year 10 2022/23</v>
      </c>
      <c r="CV2" s="920" t="str">
        <f>"Year 10 " &amp;T$1</f>
        <v>Year 10 2023/24</v>
      </c>
      <c r="CW2" s="920" t="str">
        <f>"Year 10 " &amp;U$1</f>
        <v>Year 10 2024/25</v>
      </c>
      <c r="CX2" s="920" t="str">
        <f>"Year 10 " &amp;V$1</f>
        <v>Year 10 2025/26</v>
      </c>
      <c r="CY2" s="920" t="str">
        <f>"Year 10 " &amp;W$1</f>
        <v>Year 10 2026/27</v>
      </c>
      <c r="CZ2" s="920" t="str">
        <f>"Year 10 " &amp;X$1</f>
        <v>Year 10 2027/28</v>
      </c>
      <c r="DA2" s="920" t="str">
        <f>"Year 11 " &amp;Q$1</f>
        <v>Year 11 2020/21</v>
      </c>
      <c r="DB2" s="920" t="str">
        <f>"Year 11 " &amp;R$1</f>
        <v>Year 11 2021/22</v>
      </c>
      <c r="DC2" s="920" t="str">
        <f>"Year 11 " &amp;S$1</f>
        <v>Year 11 2022/23</v>
      </c>
      <c r="DD2" s="920" t="str">
        <f>"Year 11 " &amp;T$1</f>
        <v>Year 11 2023/24</v>
      </c>
      <c r="DE2" s="920" t="str">
        <f>"Year 11 " &amp;U$1</f>
        <v>Year 11 2024/25</v>
      </c>
      <c r="DF2" s="920" t="str">
        <f>"Year 11 " &amp;V$1</f>
        <v>Year 11 2025/26</v>
      </c>
      <c r="DG2" s="920" t="str">
        <f>"Year 11 " &amp;W$1</f>
        <v>Year 11 2026/27</v>
      </c>
      <c r="DH2" s="920" t="str">
        <f>"Year 11 " &amp;X$1</f>
        <v>Year 11 2027/28</v>
      </c>
      <c r="DI2" s="920" t="str">
        <f>"Year 12 " &amp;Q$1</f>
        <v>Year 12 2020/21</v>
      </c>
      <c r="DJ2" s="920" t="str">
        <f>"Year 12 "&amp;R$1 </f>
        <v>Year 12 2021/22</v>
      </c>
      <c r="DK2" s="920" t="str">
        <f>"Year 12 "&amp;S$1 </f>
        <v>Year 12 2022/23</v>
      </c>
      <c r="DL2" s="920" t="str">
        <f>"Year 12 "&amp;T$1 </f>
        <v>Year 12 2023/24</v>
      </c>
      <c r="DM2" s="920" t="str">
        <f>"Year 12 "&amp;U$1 </f>
        <v>Year 12 2024/25</v>
      </c>
      <c r="DN2" s="920" t="str">
        <f>"Year 12 "&amp;V$1 </f>
        <v>Year 12 2025/26</v>
      </c>
      <c r="DO2" s="920" t="str">
        <f>"Year 12 "&amp;W$1 </f>
        <v>Year 12 2026/27</v>
      </c>
      <c r="DP2" s="920" t="str">
        <f>"Year 12 "&amp;X$1 </f>
        <v>Year 12 2027/28</v>
      </c>
      <c r="DQ2" s="920" t="str">
        <f>"Year 13 " &amp;Q$1</f>
        <v>Year 13 2020/21</v>
      </c>
      <c r="DR2" s="920" t="str">
        <f>"Year 13 " &amp;R$1</f>
        <v>Year 13 2021/22</v>
      </c>
      <c r="DS2" s="920" t="str">
        <f>"Year 13 " &amp;S$1</f>
        <v>Year 13 2022/23</v>
      </c>
      <c r="DT2" s="920" t="str">
        <f>"Year 13 " &amp;T$1</f>
        <v>Year 13 2023/24</v>
      </c>
      <c r="DU2" s="920" t="str">
        <f>"Year 13 " &amp;U$1</f>
        <v>Year 13 2024/25</v>
      </c>
      <c r="DV2" s="920" t="str">
        <f>"Year 13 " &amp;V$1</f>
        <v>Year 13 2025/26</v>
      </c>
      <c r="DW2" s="920" t="str">
        <f>"Year 13 " &amp;W$1</f>
        <v>Year 13 2026/27</v>
      </c>
      <c r="DX2" s="920" t="str">
        <f>"Year 13 " &amp;X$1</f>
        <v>Year 13 2027/28</v>
      </c>
      <c r="DY2" s="920" t="s">
        <v>916</v>
      </c>
      <c r="DZ2" s="920" t="s">
        <v>917</v>
      </c>
      <c r="EA2" s="920" t="s">
        <v>918</v>
      </c>
      <c r="EB2" s="920" t="s">
        <v>919</v>
      </c>
      <c r="EC2" s="920" t="s">
        <v>920</v>
      </c>
      <c r="ED2" s="920" t="s">
        <v>921</v>
      </c>
      <c r="EE2" s="920" t="s">
        <v>1164</v>
      </c>
      <c r="EF2" s="920" t="s">
        <v>1287</v>
      </c>
      <c r="EG2" s="920" t="s">
        <v>922</v>
      </c>
      <c r="EH2" s="920" t="s">
        <v>923</v>
      </c>
      <c r="EI2" s="920" t="s">
        <v>924</v>
      </c>
      <c r="EJ2" s="920" t="s">
        <v>925</v>
      </c>
      <c r="EK2" s="920" t="s">
        <v>926</v>
      </c>
      <c r="EL2" s="920" t="s">
        <v>927</v>
      </c>
      <c r="EM2" s="920" t="s">
        <v>1165</v>
      </c>
      <c r="EN2" s="920" t="s">
        <v>1288</v>
      </c>
      <c r="EO2" s="920" t="s">
        <v>928</v>
      </c>
      <c r="EP2" s="920" t="s">
        <v>929</v>
      </c>
      <c r="EQ2" s="920" t="s">
        <v>930</v>
      </c>
      <c r="ER2" s="920" t="s">
        <v>931</v>
      </c>
      <c r="ES2" s="920" t="s">
        <v>932</v>
      </c>
      <c r="ET2" s="920" t="s">
        <v>933</v>
      </c>
      <c r="EU2" s="920" t="s">
        <v>1166</v>
      </c>
      <c r="EV2" s="920" t="s">
        <v>1289</v>
      </c>
      <c r="EW2" s="921" t="s">
        <v>832</v>
      </c>
      <c r="EX2" s="921" t="s">
        <v>833</v>
      </c>
      <c r="EY2" s="921" t="s">
        <v>834</v>
      </c>
      <c r="EZ2" s="921" t="s">
        <v>835</v>
      </c>
      <c r="FA2" s="921" t="s">
        <v>836</v>
      </c>
      <c r="FB2" s="921" t="s">
        <v>837</v>
      </c>
      <c r="FC2" s="921" t="s">
        <v>1167</v>
      </c>
      <c r="FD2" s="921" t="s">
        <v>1290</v>
      </c>
      <c r="FE2" s="921" t="s">
        <v>838</v>
      </c>
      <c r="FF2" s="921" t="s">
        <v>839</v>
      </c>
      <c r="FG2" s="921" t="s">
        <v>840</v>
      </c>
      <c r="FH2" s="921" t="s">
        <v>841</v>
      </c>
      <c r="FI2" s="921" t="s">
        <v>842</v>
      </c>
      <c r="FJ2" s="921" t="s">
        <v>843</v>
      </c>
      <c r="FK2" s="921" t="s">
        <v>1291</v>
      </c>
      <c r="FL2" s="921" t="s">
        <v>1292</v>
      </c>
      <c r="FM2" s="921" t="s">
        <v>844</v>
      </c>
      <c r="FN2" s="921" t="s">
        <v>845</v>
      </c>
      <c r="FO2" s="921" t="s">
        <v>846</v>
      </c>
      <c r="FP2" s="921" t="s">
        <v>847</v>
      </c>
      <c r="FQ2" s="921" t="s">
        <v>848</v>
      </c>
      <c r="FR2" s="921" t="s">
        <v>849</v>
      </c>
      <c r="FS2" s="921" t="s">
        <v>1293</v>
      </c>
      <c r="FT2" s="921" t="s">
        <v>1294</v>
      </c>
      <c r="FU2" s="921" t="s">
        <v>850</v>
      </c>
      <c r="FV2" s="921" t="s">
        <v>851</v>
      </c>
      <c r="FW2" s="921" t="s">
        <v>852</v>
      </c>
      <c r="FX2" s="921" t="s">
        <v>853</v>
      </c>
      <c r="FY2" s="921" t="s">
        <v>854</v>
      </c>
      <c r="FZ2" s="921" t="s">
        <v>855</v>
      </c>
      <c r="GA2" s="921" t="s">
        <v>1295</v>
      </c>
      <c r="GB2" s="921" t="s">
        <v>1296</v>
      </c>
      <c r="GC2" s="921" t="s">
        <v>856</v>
      </c>
      <c r="GD2" s="921" t="s">
        <v>857</v>
      </c>
      <c r="GE2" s="921" t="s">
        <v>858</v>
      </c>
      <c r="GF2" s="921" t="s">
        <v>859</v>
      </c>
      <c r="GG2" s="921" t="s">
        <v>860</v>
      </c>
      <c r="GH2" s="921" t="s">
        <v>861</v>
      </c>
      <c r="GI2" s="921" t="s">
        <v>1297</v>
      </c>
      <c r="GJ2" s="921" t="s">
        <v>1298</v>
      </c>
      <c r="GK2" s="921" t="s">
        <v>862</v>
      </c>
      <c r="GL2" s="921" t="s">
        <v>863</v>
      </c>
      <c r="GM2" s="921" t="s">
        <v>864</v>
      </c>
      <c r="GN2" s="921" t="s">
        <v>865</v>
      </c>
      <c r="GO2" s="921" t="s">
        <v>866</v>
      </c>
      <c r="GP2" s="921" t="s">
        <v>867</v>
      </c>
      <c r="GQ2" s="921" t="s">
        <v>1299</v>
      </c>
      <c r="GR2" s="921" t="s">
        <v>1300</v>
      </c>
      <c r="GS2" s="921" t="s">
        <v>868</v>
      </c>
      <c r="GT2" s="921" t="s">
        <v>869</v>
      </c>
      <c r="GU2" s="921" t="s">
        <v>870</v>
      </c>
      <c r="GV2" s="921" t="s">
        <v>871</v>
      </c>
      <c r="GW2" s="921" t="s">
        <v>872</v>
      </c>
      <c r="GX2" s="921" t="s">
        <v>873</v>
      </c>
      <c r="GY2" s="921" t="s">
        <v>1301</v>
      </c>
      <c r="GZ2" s="921" t="s">
        <v>1302</v>
      </c>
      <c r="HA2" s="921" t="s">
        <v>874</v>
      </c>
      <c r="HB2" s="921" t="s">
        <v>875</v>
      </c>
      <c r="HC2" s="921" t="s">
        <v>876</v>
      </c>
      <c r="HD2" s="921" t="s">
        <v>877</v>
      </c>
      <c r="HE2" s="921" t="s">
        <v>878</v>
      </c>
      <c r="HF2" s="921" t="s">
        <v>879</v>
      </c>
      <c r="HG2" s="921" t="s">
        <v>1303</v>
      </c>
      <c r="HH2" s="921" t="s">
        <v>1304</v>
      </c>
      <c r="HI2" s="921" t="s">
        <v>880</v>
      </c>
      <c r="HJ2" s="921" t="s">
        <v>881</v>
      </c>
      <c r="HK2" s="921" t="s">
        <v>882</v>
      </c>
      <c r="HL2" s="921" t="s">
        <v>883</v>
      </c>
      <c r="HM2" s="921" t="s">
        <v>884</v>
      </c>
      <c r="HN2" s="921" t="s">
        <v>885</v>
      </c>
      <c r="HO2" s="921" t="s">
        <v>1305</v>
      </c>
      <c r="HP2" s="921" t="s">
        <v>1306</v>
      </c>
      <c r="HQ2" s="921" t="s">
        <v>886</v>
      </c>
      <c r="HR2" s="921" t="s">
        <v>887</v>
      </c>
      <c r="HS2" s="921" t="s">
        <v>888</v>
      </c>
      <c r="HT2" s="921" t="s">
        <v>889</v>
      </c>
      <c r="HU2" s="921" t="s">
        <v>890</v>
      </c>
      <c r="HV2" s="921" t="s">
        <v>891</v>
      </c>
      <c r="HW2" s="921" t="s">
        <v>1307</v>
      </c>
      <c r="HX2" s="921" t="s">
        <v>1308</v>
      </c>
      <c r="HY2" s="921" t="s">
        <v>892</v>
      </c>
      <c r="HZ2" s="921" t="s">
        <v>893</v>
      </c>
      <c r="IA2" s="921" t="s">
        <v>894</v>
      </c>
      <c r="IB2" s="921" t="s">
        <v>895</v>
      </c>
      <c r="IC2" s="921" t="s">
        <v>896</v>
      </c>
      <c r="ID2" s="921" t="s">
        <v>897</v>
      </c>
      <c r="IE2" s="921" t="s">
        <v>1309</v>
      </c>
      <c r="IF2" s="921" t="s">
        <v>1310</v>
      </c>
      <c r="IG2" s="921" t="s">
        <v>898</v>
      </c>
      <c r="IH2" s="921" t="s">
        <v>899</v>
      </c>
      <c r="II2" s="921" t="s">
        <v>900</v>
      </c>
      <c r="IJ2" s="921" t="s">
        <v>901</v>
      </c>
      <c r="IK2" s="921" t="s">
        <v>902</v>
      </c>
      <c r="IL2" s="921" t="s">
        <v>903</v>
      </c>
      <c r="IM2" s="921" t="s">
        <v>1311</v>
      </c>
      <c r="IN2" s="921" t="s">
        <v>1312</v>
      </c>
      <c r="IO2" s="921" t="s">
        <v>904</v>
      </c>
      <c r="IP2" s="921" t="s">
        <v>905</v>
      </c>
      <c r="IQ2" s="921" t="s">
        <v>906</v>
      </c>
      <c r="IR2" s="921" t="s">
        <v>907</v>
      </c>
      <c r="IS2" s="921" t="s">
        <v>908</v>
      </c>
      <c r="IT2" s="921" t="s">
        <v>909</v>
      </c>
      <c r="IU2" s="921" t="s">
        <v>1313</v>
      </c>
      <c r="IV2" s="921" t="s">
        <v>1314</v>
      </c>
      <c r="IW2" s="921" t="s">
        <v>910</v>
      </c>
      <c r="IX2" s="921" t="s">
        <v>911</v>
      </c>
      <c r="IY2" s="921" t="s">
        <v>912</v>
      </c>
      <c r="IZ2" s="921" t="s">
        <v>913</v>
      </c>
      <c r="JA2" s="921" t="s">
        <v>914</v>
      </c>
      <c r="JB2" s="921" t="s">
        <v>915</v>
      </c>
      <c r="JC2" s="921" t="s">
        <v>1315</v>
      </c>
      <c r="JD2" s="921" t="s">
        <v>1316</v>
      </c>
      <c r="JE2" s="922" t="s">
        <v>934</v>
      </c>
      <c r="JF2" s="922" t="s">
        <v>935</v>
      </c>
      <c r="JG2" s="922" t="s">
        <v>936</v>
      </c>
      <c r="JH2" s="922" t="s">
        <v>937</v>
      </c>
      <c r="JI2" s="922" t="s">
        <v>938</v>
      </c>
      <c r="JJ2" s="922" t="s">
        <v>939</v>
      </c>
      <c r="JK2" s="922" t="s">
        <v>1285</v>
      </c>
      <c r="JL2" s="922" t="s">
        <v>1286</v>
      </c>
      <c r="JM2" s="923" t="s">
        <v>940</v>
      </c>
      <c r="JN2" s="923" t="s">
        <v>941</v>
      </c>
      <c r="JO2" s="923" t="s">
        <v>942</v>
      </c>
      <c r="JP2" s="923" t="s">
        <v>943</v>
      </c>
      <c r="JQ2" s="923" t="s">
        <v>944</v>
      </c>
      <c r="JR2" s="923" t="s">
        <v>945</v>
      </c>
      <c r="JS2" s="923" t="s">
        <v>1169</v>
      </c>
      <c r="JT2" s="923" t="s">
        <v>1317</v>
      </c>
      <c r="JU2" s="923" t="s">
        <v>946</v>
      </c>
      <c r="JV2" s="923" t="s">
        <v>947</v>
      </c>
      <c r="JW2" s="923" t="s">
        <v>948</v>
      </c>
      <c r="JX2" s="923" t="s">
        <v>949</v>
      </c>
      <c r="JY2" s="923" t="s">
        <v>950</v>
      </c>
      <c r="JZ2" s="923" t="s">
        <v>951</v>
      </c>
      <c r="KA2" s="923" t="s">
        <v>1170</v>
      </c>
      <c r="KB2" s="923" t="s">
        <v>1318</v>
      </c>
      <c r="KC2" s="923" t="s">
        <v>952</v>
      </c>
      <c r="KD2" s="923" t="s">
        <v>953</v>
      </c>
      <c r="KE2" s="923" t="s">
        <v>954</v>
      </c>
      <c r="KF2" s="923" t="s">
        <v>955</v>
      </c>
      <c r="KG2" s="923" t="s">
        <v>956</v>
      </c>
      <c r="KH2" s="923" t="s">
        <v>957</v>
      </c>
      <c r="KI2" s="923" t="s">
        <v>1171</v>
      </c>
      <c r="KJ2" s="923" t="s">
        <v>1319</v>
      </c>
      <c r="KK2" s="923" t="s">
        <v>958</v>
      </c>
      <c r="KL2" s="923" t="s">
        <v>959</v>
      </c>
      <c r="KM2" s="923" t="s">
        <v>960</v>
      </c>
      <c r="KN2" s="923" t="s">
        <v>961</v>
      </c>
      <c r="KO2" s="923" t="s">
        <v>962</v>
      </c>
      <c r="KP2" s="923" t="s">
        <v>963</v>
      </c>
      <c r="KQ2" s="923" t="s">
        <v>1172</v>
      </c>
      <c r="KR2" s="923" t="s">
        <v>1320</v>
      </c>
      <c r="KS2" s="923" t="s">
        <v>958</v>
      </c>
      <c r="KT2" s="923" t="s">
        <v>959</v>
      </c>
      <c r="KU2" s="923" t="s">
        <v>960</v>
      </c>
      <c r="KV2" s="923" t="s">
        <v>961</v>
      </c>
      <c r="KW2" s="923" t="s">
        <v>962</v>
      </c>
      <c r="KX2" s="923" t="s">
        <v>963</v>
      </c>
      <c r="KY2" s="923" t="s">
        <v>1172</v>
      </c>
      <c r="KZ2" s="923" t="s">
        <v>1320</v>
      </c>
      <c r="LA2" s="924" t="s">
        <v>1267</v>
      </c>
      <c r="LB2" s="924" t="s">
        <v>1268</v>
      </c>
      <c r="LC2" s="924" t="s">
        <v>1269</v>
      </c>
      <c r="LD2" s="924" t="s">
        <v>1270</v>
      </c>
      <c r="LE2" s="924" t="s">
        <v>1255</v>
      </c>
      <c r="LF2" s="924" t="s">
        <v>1256</v>
      </c>
      <c r="LG2" s="924" t="s">
        <v>1257</v>
      </c>
      <c r="LH2" s="924" t="s">
        <v>1258</v>
      </c>
      <c r="LI2" s="924" t="s">
        <v>1259</v>
      </c>
      <c r="LJ2" s="924" t="s">
        <v>1260</v>
      </c>
      <c r="LK2" s="924" t="s">
        <v>1261</v>
      </c>
      <c r="LL2" s="924" t="s">
        <v>1262</v>
      </c>
      <c r="LM2" s="924" t="s">
        <v>1263</v>
      </c>
      <c r="LN2" s="924" t="s">
        <v>1264</v>
      </c>
      <c r="LO2" s="924" t="s">
        <v>1265</v>
      </c>
      <c r="LP2" s="924" t="s">
        <v>1266</v>
      </c>
      <c r="LQ2" s="924" t="s">
        <v>1271</v>
      </c>
      <c r="LR2" s="924" t="s">
        <v>964</v>
      </c>
      <c r="LS2" s="924" t="s">
        <v>965</v>
      </c>
      <c r="LT2" s="924" t="s">
        <v>966</v>
      </c>
      <c r="LU2" s="924" t="s">
        <v>967</v>
      </c>
      <c r="LV2" s="924" t="s">
        <v>1272</v>
      </c>
      <c r="LW2" s="924" t="s">
        <v>968</v>
      </c>
      <c r="LX2" s="926" t="s">
        <v>675</v>
      </c>
      <c r="LY2" s="924" t="s">
        <v>969</v>
      </c>
      <c r="LZ2" s="924" t="s">
        <v>1273</v>
      </c>
      <c r="MA2" s="924" t="s">
        <v>970</v>
      </c>
      <c r="MB2" s="926" t="s">
        <v>971</v>
      </c>
      <c r="MC2" s="924" t="s">
        <v>972</v>
      </c>
      <c r="MD2" s="924" t="s">
        <v>973</v>
      </c>
      <c r="ME2" s="926" t="s">
        <v>974</v>
      </c>
      <c r="MF2" s="926" t="s">
        <v>975</v>
      </c>
      <c r="MG2" s="926" t="s">
        <v>976</v>
      </c>
      <c r="MH2" s="924" t="s">
        <v>1274</v>
      </c>
      <c r="MI2" s="924" t="s">
        <v>675</v>
      </c>
      <c r="MJ2" s="924" t="s">
        <v>977</v>
      </c>
      <c r="MK2" s="924" t="s">
        <v>1276</v>
      </c>
      <c r="ML2" s="924" t="s">
        <v>1275</v>
      </c>
      <c r="MM2" s="924" t="s">
        <v>1277</v>
      </c>
      <c r="MN2" s="928" t="s">
        <v>1278</v>
      </c>
      <c r="MO2" s="924" t="s">
        <v>978</v>
      </c>
      <c r="MP2" s="924" t="s">
        <v>979</v>
      </c>
      <c r="MQ2" s="924" t="s">
        <v>980</v>
      </c>
      <c r="MR2" s="924" t="s">
        <v>1175</v>
      </c>
      <c r="MS2" s="924" t="s">
        <v>1174</v>
      </c>
      <c r="MT2" s="928" t="s">
        <v>1279</v>
      </c>
      <c r="MU2" s="924" t="s">
        <v>981</v>
      </c>
      <c r="MV2" s="924" t="s">
        <v>982</v>
      </c>
      <c r="MW2" s="924" t="s">
        <v>983</v>
      </c>
      <c r="MX2" s="924" t="s">
        <v>984</v>
      </c>
      <c r="MY2" s="924" t="s">
        <v>985</v>
      </c>
      <c r="MZ2" s="926" t="s">
        <v>986</v>
      </c>
      <c r="NA2" s="926" t="s">
        <v>731</v>
      </c>
      <c r="NB2" s="926" t="s">
        <v>724</v>
      </c>
      <c r="NC2" s="926" t="s">
        <v>987</v>
      </c>
      <c r="ND2" s="924" t="s">
        <v>988</v>
      </c>
      <c r="NE2" s="924" t="s">
        <v>1176</v>
      </c>
      <c r="NF2" s="924" t="s">
        <v>1177</v>
      </c>
      <c r="NG2" s="924" t="s">
        <v>989</v>
      </c>
      <c r="NH2" s="924" t="s">
        <v>990</v>
      </c>
      <c r="NI2" s="924" t="s">
        <v>1321</v>
      </c>
      <c r="NJ2" s="924" t="s">
        <v>728</v>
      </c>
      <c r="NK2" s="924" t="s">
        <v>1322</v>
      </c>
      <c r="NL2" s="925" t="s">
        <v>991</v>
      </c>
      <c r="NM2" s="925" t="s">
        <v>992</v>
      </c>
      <c r="NN2" s="925" t="s">
        <v>993</v>
      </c>
      <c r="NO2" s="925" t="s">
        <v>994</v>
      </c>
      <c r="NP2" s="925" t="s">
        <v>995</v>
      </c>
      <c r="NQ2" s="931" t="s">
        <v>1280</v>
      </c>
      <c r="NR2" s="931" t="s">
        <v>1281</v>
      </c>
      <c r="NS2" s="925" t="s">
        <v>996</v>
      </c>
      <c r="NT2" s="925" t="s">
        <v>997</v>
      </c>
      <c r="NU2" s="925" t="s">
        <v>998</v>
      </c>
      <c r="NV2" s="925" t="s">
        <v>1178</v>
      </c>
      <c r="NW2" s="925" t="s">
        <v>999</v>
      </c>
      <c r="NX2" s="931" t="s">
        <v>1282</v>
      </c>
      <c r="NY2" s="931" t="s">
        <v>1283</v>
      </c>
      <c r="NZ2" s="925" t="s">
        <v>1000</v>
      </c>
      <c r="OA2" s="925" t="s">
        <v>809</v>
      </c>
      <c r="OB2" s="924" t="str">
        <f>"Guaranteed numbers " &amp;Q$1</f>
        <v>Guaranteed numbers 2020/21</v>
      </c>
      <c r="OC2" s="924" t="str">
        <f>"Guaranteed numbers " &amp;R$1</f>
        <v>Guaranteed numbers 2021/22</v>
      </c>
      <c r="OD2" s="924" t="str">
        <f>"Guaranteed numbers " &amp;S$1</f>
        <v>Guaranteed numbers 2022/23</v>
      </c>
      <c r="OE2" s="924" t="str">
        <f>"Guaranteed numbers " &amp;T$1</f>
        <v>Guaranteed numbers 2023/24</v>
      </c>
      <c r="OF2" s="924" t="str">
        <f>"Guaranteed numbers " &amp;U$1</f>
        <v>Guaranteed numbers 2024/25</v>
      </c>
      <c r="OG2" s="924" t="str">
        <f>"Guaranteed numbers " &amp;V$1</f>
        <v>Guaranteed numbers 2025/26</v>
      </c>
      <c r="OH2" s="924" t="str">
        <f>"Guaranteed numbers " &amp;W$1</f>
        <v>Guaranteed numbers 2026/27</v>
      </c>
      <c r="OI2" s="924" t="str">
        <f>"Guaranteed numbers " &amp;X$1</f>
        <v>Guaranteed numbers 2027/28</v>
      </c>
    </row>
    <row r="3" spans="1:399">
      <c r="A3" s="599" t="str">
        <f ca="1">MID(CELL("filename"),SEARCH("[",CELL("filename"))+1, SEARCH("]",CELL("filename"))-SEARCH("[",CELL("filename"))-1)</f>
        <v>Mainstream_FSFT_2020.xlsm</v>
      </c>
      <c r="B3" s="598" t="str">
        <f>School_Type_Value</f>
        <v>Mainstream</v>
      </c>
      <c r="C3" t="str">
        <f ca="1">RIGHT(LEFT($A$3,7),6)</f>
        <v>ainstr</v>
      </c>
      <c r="D3">
        <f>'G2. Cover Sheet'!C8</f>
        <v>0</v>
      </c>
      <c r="E3">
        <f>LA_Name_Value</f>
        <v>0</v>
      </c>
      <c r="F3" t="str">
        <f ca="1">'G2. Cover Sheet'!C14</f>
        <v>—</v>
      </c>
      <c r="G3" s="705">
        <f>IF(Opening_Date_Value="","",Opening_Date_Value)</f>
        <v>44075</v>
      </c>
      <c r="H3" t="str">
        <f>Age_Range_Value</f>
        <v>16-19 School</v>
      </c>
      <c r="I3">
        <f>'G2. Cover Sheet'!C20</f>
        <v>0</v>
      </c>
      <c r="J3" t="str">
        <f>IF($B$3="Special",SEN1_Value,"")</f>
        <v/>
      </c>
      <c r="K3" t="str">
        <f>IF($B$3="Special",SEN2_Value,"")</f>
        <v/>
      </c>
      <c r="L3" t="str">
        <f>IF($B$3="Special",SEN3_Value,"")</f>
        <v/>
      </c>
      <c r="M3" t="str">
        <f>IF($B$3="Special",SEN4_Value,"")</f>
        <v/>
      </c>
      <c r="N3" t="str">
        <f>Independent_School_Value</f>
        <v>Please Select</v>
      </c>
      <c r="O3" t="str">
        <f>Insurance_Value</f>
        <v>Yes</v>
      </c>
      <c r="P3" t="str">
        <f>'G2. Cover Sheet'!C41</f>
        <v>Please Select</v>
      </c>
      <c r="Q3">
        <f>IF(LEFT($B$3,2)="AP",'Pupil_Place Numbers'!C4,IF(LEFT($B$3,1)="M",'Pupil_Place Numbers'!C23,'Pupil_Place Numbers'!C40))</f>
        <v>0</v>
      </c>
      <c r="R3">
        <f>IF(LEFT($B$3,2)="AP",'Pupil_Place Numbers'!D4,IF(LEFT($B$3,1)="M",'Pupil_Place Numbers'!D23,'Pupil_Place Numbers'!D40))</f>
        <v>0</v>
      </c>
      <c r="S3">
        <f>IF(LEFT($B$3,2)="AP",'Pupil_Place Numbers'!E4,IF(LEFT($B$3,1)="M",'Pupil_Place Numbers'!E23,'Pupil_Place Numbers'!E40))</f>
        <v>0</v>
      </c>
      <c r="T3">
        <f>IF(LEFT($B$3,2)="AP",'Pupil_Place Numbers'!F4,IF(LEFT($B$3,1)="M",'Pupil_Place Numbers'!F23,'Pupil_Place Numbers'!F40))</f>
        <v>0</v>
      </c>
      <c r="U3">
        <f>IF(LEFT($B$3,2)="AP",'Pupil_Place Numbers'!G4,IF(LEFT($B$3,1)="M",'Pupil_Place Numbers'!G23,'Pupil_Place Numbers'!G40))</f>
        <v>0</v>
      </c>
      <c r="V3">
        <f>IF(LEFT($B$3,2)="AP",'Pupil_Place Numbers'!H4,IF(LEFT($B$3,1)="M",'Pupil_Place Numbers'!H23,'Pupil_Place Numbers'!H40))</f>
        <v>0</v>
      </c>
      <c r="W3">
        <f>IF(LEFT($B$3,2)="AP",'Pupil_Place Numbers'!I4,IF(LEFT($B$3,1)="M",'Pupil_Place Numbers'!I23,'Pupil_Place Numbers'!I40))</f>
        <v>0</v>
      </c>
      <c r="X3">
        <f>IF(LEFT($B$3,2)="AP",'Pupil_Place Numbers'!J4,IF(LEFT($B$3,1)="M",'Pupil_Place Numbers'!J23,'Pupil_Place Numbers'!J40))</f>
        <v>0</v>
      </c>
      <c r="Y3">
        <f>IF(LEFT($B$3,2)="AP",'Pupil_Place Numbers'!C5,IF(LEFT($B$3,1)="M",'Pupil_Place Numbers'!C24,'Pupil_Place Numbers'!C41))</f>
        <v>0</v>
      </c>
      <c r="Z3">
        <f>IF(LEFT($B$3,2)="AP",'Pupil_Place Numbers'!D5,IF(LEFT($B$3,1)="M",'Pupil_Place Numbers'!D24,'Pupil_Place Numbers'!D41))</f>
        <v>0</v>
      </c>
      <c r="AA3">
        <f>IF(LEFT($B$3,2)="AP",'Pupil_Place Numbers'!E5,IF(LEFT($B$3,1)="M",'Pupil_Place Numbers'!E24,'Pupil_Place Numbers'!E41))</f>
        <v>0</v>
      </c>
      <c r="AB3">
        <f>IF(LEFT($B$3,2)="AP",'Pupil_Place Numbers'!F5,IF(LEFT($B$3,1)="M",'Pupil_Place Numbers'!F24,'Pupil_Place Numbers'!F41))</f>
        <v>0</v>
      </c>
      <c r="AC3">
        <f>IF(LEFT($B$3,2)="AP",'Pupil_Place Numbers'!G5,IF(LEFT($B$3,1)="M",'Pupil_Place Numbers'!G24,'Pupil_Place Numbers'!G41))</f>
        <v>0</v>
      </c>
      <c r="AD3">
        <f>IF(LEFT($B$3,2)="AP",'Pupil_Place Numbers'!H5,IF(LEFT($B$3,1)="M",'Pupil_Place Numbers'!H24,'Pupil_Place Numbers'!H41))</f>
        <v>0</v>
      </c>
      <c r="AE3">
        <f>IF(LEFT($B$3,2)="AP",'Pupil_Place Numbers'!I5,IF(LEFT($B$3,1)="M",'Pupil_Place Numbers'!I24,'Pupil_Place Numbers'!I41))</f>
        <v>0</v>
      </c>
      <c r="AF3">
        <f>IF(LEFT($B$3,2)="AP",'Pupil_Place Numbers'!J5,IF(LEFT($B$3,1)="M",'Pupil_Place Numbers'!J24,'Pupil_Place Numbers'!J41))</f>
        <v>0</v>
      </c>
      <c r="AG3">
        <f>IF(LEFT($B$3,2)="AP",'Pupil_Place Numbers'!C6,IF(LEFT($B$3,1)="M",'Pupil_Place Numbers'!C25,'Pupil_Place Numbers'!C42))</f>
        <v>0</v>
      </c>
      <c r="AH3">
        <f>IF(LEFT($B$3,2)="AP",'Pupil_Place Numbers'!D6,IF(LEFT($B$3,1)="M",'Pupil_Place Numbers'!D25,'Pupil_Place Numbers'!D42))</f>
        <v>0</v>
      </c>
      <c r="AI3">
        <f>IF(LEFT($B$3,2)="AP",'Pupil_Place Numbers'!E6,IF(LEFT($B$3,1)="M",'Pupil_Place Numbers'!E25,'Pupil_Place Numbers'!E42))</f>
        <v>0</v>
      </c>
      <c r="AJ3">
        <f>IF(LEFT($B$3,2)="AP",'Pupil_Place Numbers'!F6,IF(LEFT($B$3,1)="M",'Pupil_Place Numbers'!F25,'Pupil_Place Numbers'!F42))</f>
        <v>0</v>
      </c>
      <c r="AK3">
        <f>IF(LEFT($B$3,2)="AP",'Pupil_Place Numbers'!G6,IF(LEFT($B$3,1)="M",'Pupil_Place Numbers'!G25,'Pupil_Place Numbers'!G42))</f>
        <v>0</v>
      </c>
      <c r="AL3">
        <f>IF(LEFT($B$3,2)="AP",'Pupil_Place Numbers'!H6,IF(LEFT($B$3,1)="M",'Pupil_Place Numbers'!H25,'Pupil_Place Numbers'!H42))</f>
        <v>0</v>
      </c>
      <c r="AM3">
        <f>IF(LEFT($B$3,2)="AP",'Pupil_Place Numbers'!I6,IF(LEFT($B$3,1)="M",'Pupil_Place Numbers'!I25,'Pupil_Place Numbers'!I42))</f>
        <v>0</v>
      </c>
      <c r="AN3">
        <f>IF(LEFT($B$3,2)="AP",'Pupil_Place Numbers'!J6,IF(LEFT($B$3,1)="M",'Pupil_Place Numbers'!J25,'Pupil_Place Numbers'!J42))</f>
        <v>0</v>
      </c>
      <c r="AO3" s="103">
        <f>IF(LEFT($B$3,2)="AP",'Pupil_Place Numbers'!C7,IF(LEFT($B$3,1)="M",'Pupil_Place Numbers'!C26,'Pupil_Place Numbers'!C43))</f>
        <v>0</v>
      </c>
      <c r="AP3" s="103">
        <f>IF(LEFT($B$3,2)="AP",'Pupil_Place Numbers'!D7,IF(LEFT($B$3,1)="M",'Pupil_Place Numbers'!D26,'Pupil_Place Numbers'!D43))</f>
        <v>0</v>
      </c>
      <c r="AQ3" s="103">
        <f>IF(LEFT($B$3,2)="AP",'Pupil_Place Numbers'!E7,IF(LEFT($B$3,1)="M",'Pupil_Place Numbers'!E26,'Pupil_Place Numbers'!E43))</f>
        <v>0</v>
      </c>
      <c r="AR3" s="103">
        <f>IF(LEFT($B$3,2)="AP",'Pupil_Place Numbers'!F7,IF(LEFT($B$3,1)="M",'Pupil_Place Numbers'!F26,'Pupil_Place Numbers'!F43))</f>
        <v>0</v>
      </c>
      <c r="AS3" s="103">
        <f>IF(LEFT($B$3,2)="AP",'Pupil_Place Numbers'!G7,IF(LEFT($B$3,1)="M",'Pupil_Place Numbers'!G26,'Pupil_Place Numbers'!G43))</f>
        <v>0</v>
      </c>
      <c r="AT3" s="103">
        <f>IF(LEFT($B$3,2)="AP",'Pupil_Place Numbers'!H7,IF(LEFT($B$3,1)="M",'Pupil_Place Numbers'!H26,'Pupil_Place Numbers'!H43))</f>
        <v>0</v>
      </c>
      <c r="AU3" s="103">
        <f>IF(LEFT($B$3,2)="AP",'Pupil_Place Numbers'!I7,IF(LEFT($B$3,1)="M",'Pupil_Place Numbers'!I26,'Pupil_Place Numbers'!I43))</f>
        <v>0</v>
      </c>
      <c r="AV3" s="103">
        <f>IF(LEFT($B$3,2)="AP",'Pupil_Place Numbers'!J7,IF(LEFT($B$3,1)="M",'Pupil_Place Numbers'!J26,'Pupil_Place Numbers'!J43))</f>
        <v>0</v>
      </c>
      <c r="AW3" s="103">
        <f>IF(LEFT($B$3,2)="AP",'Pupil_Place Numbers'!C8,IF(LEFT($B$3,1)="M",'Pupil_Place Numbers'!C27,'Pupil_Place Numbers'!C44))</f>
        <v>0</v>
      </c>
      <c r="AX3" s="103">
        <f>IF(LEFT($B$3,2)="AP",'Pupil_Place Numbers'!D8,IF(LEFT($B$3,1)="M",'Pupil_Place Numbers'!D27,'Pupil_Place Numbers'!D44))</f>
        <v>0</v>
      </c>
      <c r="AY3" s="103">
        <f>IF(LEFT($B$3,2)="AP",'Pupil_Place Numbers'!E8,IF(LEFT($B$3,1)="M",'Pupil_Place Numbers'!E27,'Pupil_Place Numbers'!E44))</f>
        <v>0</v>
      </c>
      <c r="AZ3" s="103">
        <f>IF(LEFT($B$3,2)="AP",'Pupil_Place Numbers'!F8,IF(LEFT($B$3,1)="M",'Pupil_Place Numbers'!F27,'Pupil_Place Numbers'!F44))</f>
        <v>0</v>
      </c>
      <c r="BA3" s="103">
        <f>IF(LEFT($B$3,2)="AP",'Pupil_Place Numbers'!G8,IF(LEFT($B$3,1)="M",'Pupil_Place Numbers'!G27,'Pupil_Place Numbers'!G44))</f>
        <v>0</v>
      </c>
      <c r="BB3" s="103">
        <f>IF(LEFT($B$3,2)="AP",'Pupil_Place Numbers'!H8,IF(LEFT($B$3,1)="M",'Pupil_Place Numbers'!H27,'Pupil_Place Numbers'!H44))</f>
        <v>0</v>
      </c>
      <c r="BC3" s="103">
        <f>IF(LEFT($B$3,2)="AP",'Pupil_Place Numbers'!I8,IF(LEFT($B$3,1)="M",'Pupil_Place Numbers'!I27,'Pupil_Place Numbers'!I44))</f>
        <v>0</v>
      </c>
      <c r="BD3" s="103">
        <f>IF(LEFT($B$3,2)="AP",'Pupil_Place Numbers'!J8,IF(LEFT($B$3,1)="M",'Pupil_Place Numbers'!J27,'Pupil_Place Numbers'!J44))</f>
        <v>0</v>
      </c>
      <c r="BE3" s="103">
        <f>IF(LEFT($B$3,2)="AP",'Pupil_Place Numbers'!C9,IF(LEFT($B$3,1)="M",'Pupil_Place Numbers'!C28,'Pupil_Place Numbers'!C45))</f>
        <v>0</v>
      </c>
      <c r="BF3" s="103">
        <f>IF(LEFT($B$3,2)="AP",'Pupil_Place Numbers'!D9,IF(LEFT($B$3,1)="M",'Pupil_Place Numbers'!D28,'Pupil_Place Numbers'!D45))</f>
        <v>0</v>
      </c>
      <c r="BG3" s="103">
        <f>IF(LEFT($B$3,2)="AP",'Pupil_Place Numbers'!E9,IF(LEFT($B$3,1)="M",'Pupil_Place Numbers'!E28,'Pupil_Place Numbers'!E45))</f>
        <v>0</v>
      </c>
      <c r="BH3" s="103">
        <f>IF(LEFT($B$3,2)="AP",'Pupil_Place Numbers'!F9,IF(LEFT($B$3,1)="M",'Pupil_Place Numbers'!F28,'Pupil_Place Numbers'!F45))</f>
        <v>0</v>
      </c>
      <c r="BI3" s="103">
        <f>IF(LEFT($B$3,2)="AP",'Pupil_Place Numbers'!G9,IF(LEFT($B$3,1)="M",'Pupil_Place Numbers'!G28,'Pupil_Place Numbers'!G45))</f>
        <v>0</v>
      </c>
      <c r="BJ3" s="103">
        <f>IF(LEFT($B$3,2)="AP",'Pupil_Place Numbers'!H9,IF(LEFT($B$3,1)="M",'Pupil_Place Numbers'!H28,'Pupil_Place Numbers'!H45))</f>
        <v>0</v>
      </c>
      <c r="BK3" s="103">
        <f>IF(LEFT($B$3,2)="AP",'Pupil_Place Numbers'!I9,IF(LEFT($B$3,1)="M",'Pupil_Place Numbers'!I28,'Pupil_Place Numbers'!I45))</f>
        <v>0</v>
      </c>
      <c r="BL3" s="103">
        <f>IF(LEFT($B$3,2)="AP",'Pupil_Place Numbers'!J9,IF(LEFT($B$3,1)="M",'Pupil_Place Numbers'!J28,'Pupil_Place Numbers'!J45))</f>
        <v>0</v>
      </c>
      <c r="BM3" s="103">
        <f>IF(LEFT($B$3,2)="AP",'Pupil_Place Numbers'!C10,IF(LEFT($B$3,1)="M",'Pupil_Place Numbers'!C29,'Pupil_Place Numbers'!C46))</f>
        <v>0</v>
      </c>
      <c r="BN3" s="103">
        <f>IF(LEFT($B$3,2)="AP",'Pupil_Place Numbers'!D10,IF(LEFT($B$3,1)="M",'Pupil_Place Numbers'!D29,'Pupil_Place Numbers'!D46))</f>
        <v>0</v>
      </c>
      <c r="BO3" s="103">
        <f>IF(LEFT($B$3,2)="AP",'Pupil_Place Numbers'!E10,IF(LEFT($B$3,1)="M",'Pupil_Place Numbers'!E29,'Pupil_Place Numbers'!E46))</f>
        <v>0</v>
      </c>
      <c r="BP3" s="103">
        <f>IF(LEFT($B$3,2)="AP",'Pupil_Place Numbers'!F10,IF(LEFT($B$3,1)="M",'Pupil_Place Numbers'!F29,'Pupil_Place Numbers'!F46))</f>
        <v>0</v>
      </c>
      <c r="BQ3" s="103">
        <f>IF(LEFT($B$3,2)="AP",'Pupil_Place Numbers'!G10,IF(LEFT($B$3,1)="M",'Pupil_Place Numbers'!G29,'Pupil_Place Numbers'!G46))</f>
        <v>0</v>
      </c>
      <c r="BR3" s="103">
        <f>IF(LEFT($B$3,2)="AP",'Pupil_Place Numbers'!H10,IF(LEFT($B$3,1)="M",'Pupil_Place Numbers'!H29,'Pupil_Place Numbers'!H46))</f>
        <v>0</v>
      </c>
      <c r="BS3" s="103">
        <f>IF(LEFT($B$3,2)="AP",'Pupil_Place Numbers'!I10,IF(LEFT($B$3,1)="M",'Pupil_Place Numbers'!I29,'Pupil_Place Numbers'!I46))</f>
        <v>0</v>
      </c>
      <c r="BT3" s="103">
        <f>IF(LEFT($B$3,2)="AP",'Pupil_Place Numbers'!J10,IF(LEFT($B$3,1)="M",'Pupil_Place Numbers'!J29,'Pupil_Place Numbers'!J46))</f>
        <v>0</v>
      </c>
      <c r="BU3" s="103">
        <f>IF(LEFT($B$3,2)="AP",'Pupil_Place Numbers'!C11,IF(LEFT($B$3,1)="M",'Pupil_Place Numbers'!C30,'Pupil_Place Numbers'!C47))</f>
        <v>0</v>
      </c>
      <c r="BV3" s="103">
        <f>IF(LEFT($B$3,2)="AP",'Pupil_Place Numbers'!D11,IF(LEFT($B$3,1)="M",'Pupil_Place Numbers'!D30,'Pupil_Place Numbers'!D47))</f>
        <v>0</v>
      </c>
      <c r="BW3" s="103">
        <f>IF(LEFT($B$3,2)="AP",'Pupil_Place Numbers'!E11,IF(LEFT($B$3,1)="M",'Pupil_Place Numbers'!E30,'Pupil_Place Numbers'!E47))</f>
        <v>0</v>
      </c>
      <c r="BX3" s="103">
        <f>IF(LEFT($B$3,2)="AP",'Pupil_Place Numbers'!F11,IF(LEFT($B$3,1)="M",'Pupil_Place Numbers'!F30,'Pupil_Place Numbers'!F47))</f>
        <v>0</v>
      </c>
      <c r="BY3" s="103">
        <f>IF(LEFT($B$3,2)="AP",'Pupil_Place Numbers'!G11,IF(LEFT($B$3,1)="M",'Pupil_Place Numbers'!G30,'Pupil_Place Numbers'!G47))</f>
        <v>0</v>
      </c>
      <c r="BZ3" s="103">
        <f>IF(LEFT($B$3,2)="AP",'Pupil_Place Numbers'!H11,IF(LEFT($B$3,1)="M",'Pupil_Place Numbers'!H30,'Pupil_Place Numbers'!H47))</f>
        <v>0</v>
      </c>
      <c r="CA3" s="103">
        <f>IF(LEFT($B$3,2)="AP",'Pupil_Place Numbers'!I11,IF(LEFT($B$3,1)="M",'Pupil_Place Numbers'!I30,'Pupil_Place Numbers'!I47))</f>
        <v>0</v>
      </c>
      <c r="CB3" s="103">
        <f>IF(LEFT($B$3,2)="AP",'Pupil_Place Numbers'!J11,IF(LEFT($B$3,1)="M",'Pupil_Place Numbers'!J30,'Pupil_Place Numbers'!J47))</f>
        <v>0</v>
      </c>
      <c r="CC3" s="103">
        <f>IF(LEFT($B$3,2)="AP",'Pupil_Place Numbers'!C12,IF(LEFT($B$3,1)="M",'Pupil_Place Numbers'!C31,'Pupil_Place Numbers'!C48))</f>
        <v>0</v>
      </c>
      <c r="CD3" s="103">
        <f>IF(LEFT($B$3,2)="AP",'Pupil_Place Numbers'!D12,IF(LEFT($B$3,1)="M",'Pupil_Place Numbers'!D31,'Pupil_Place Numbers'!D48))</f>
        <v>0</v>
      </c>
      <c r="CE3" s="103">
        <f>IF(LEFT($B$3,2)="AP",'Pupil_Place Numbers'!E12,IF(LEFT($B$3,1)="M",'Pupil_Place Numbers'!E31,'Pupil_Place Numbers'!E48))</f>
        <v>0</v>
      </c>
      <c r="CF3" s="103">
        <f>IF(LEFT($B$3,2)="AP",'Pupil_Place Numbers'!F12,IF(LEFT($B$3,1)="M",'Pupil_Place Numbers'!F31,'Pupil_Place Numbers'!F48))</f>
        <v>0</v>
      </c>
      <c r="CG3" s="103">
        <f>IF(LEFT($B$3,2)="AP",'Pupil_Place Numbers'!G12,IF(LEFT($B$3,1)="M",'Pupil_Place Numbers'!G31,'Pupil_Place Numbers'!G48))</f>
        <v>0</v>
      </c>
      <c r="CH3" s="103">
        <f>IF(LEFT($B$3,2)="AP",'Pupil_Place Numbers'!H12,IF(LEFT($B$3,1)="M",'Pupil_Place Numbers'!H31,'Pupil_Place Numbers'!H48))</f>
        <v>0</v>
      </c>
      <c r="CI3" s="103">
        <f>IF(LEFT($B$3,2)="AP",'Pupil_Place Numbers'!I12,IF(LEFT($B$3,1)="M",'Pupil_Place Numbers'!I31,'Pupil_Place Numbers'!I48))</f>
        <v>0</v>
      </c>
      <c r="CJ3" s="103">
        <f>IF(LEFT($B$3,2)="AP",'Pupil_Place Numbers'!J12,IF(LEFT($B$3,1)="M",'Pupil_Place Numbers'!J31,'Pupil_Place Numbers'!J48))</f>
        <v>0</v>
      </c>
      <c r="CK3" s="103">
        <f>IF(LEFT($B$3,2)="AP",'Pupil_Place Numbers'!C13,IF(LEFT($B$3,1)="M",'Pupil_Place Numbers'!C32,'Pupil_Place Numbers'!C49))</f>
        <v>0</v>
      </c>
      <c r="CL3" s="103">
        <f>IF(LEFT($B$3,2)="AP",'Pupil_Place Numbers'!D13,IF(LEFT($B$3,1)="M",'Pupil_Place Numbers'!D32,'Pupil_Place Numbers'!D49))</f>
        <v>0</v>
      </c>
      <c r="CM3" s="103">
        <f>IF(LEFT($B$3,2)="AP",'Pupil_Place Numbers'!E13,IF(LEFT($B$3,1)="M",'Pupil_Place Numbers'!E32,'Pupil_Place Numbers'!E49))</f>
        <v>0</v>
      </c>
      <c r="CN3" s="103">
        <f>IF(LEFT($B$3,2)="AP",'Pupil_Place Numbers'!F13,IF(LEFT($B$3,1)="M",'Pupil_Place Numbers'!F32,'Pupil_Place Numbers'!F49))</f>
        <v>0</v>
      </c>
      <c r="CO3" s="103">
        <f>IF(LEFT($B$3,2)="AP",'Pupil_Place Numbers'!G13,IF(LEFT($B$3,1)="M",'Pupil_Place Numbers'!G32,'Pupil_Place Numbers'!G49))</f>
        <v>0</v>
      </c>
      <c r="CP3" s="103">
        <f>IF(LEFT($B$3,2)="AP",'Pupil_Place Numbers'!H13,IF(LEFT($B$3,1)="M",'Pupil_Place Numbers'!H32,'Pupil_Place Numbers'!H49))</f>
        <v>0</v>
      </c>
      <c r="CQ3" s="103">
        <f>IF(LEFT($B$3,2)="AP",'Pupil_Place Numbers'!I13,IF(LEFT($B$3,1)="M",'Pupil_Place Numbers'!I32,'Pupil_Place Numbers'!I49))</f>
        <v>0</v>
      </c>
      <c r="CR3" s="103">
        <f>IF(LEFT($B$3,2)="AP",'Pupil_Place Numbers'!J13,IF(LEFT($B$3,1)="M",'Pupil_Place Numbers'!J32,'Pupil_Place Numbers'!J49))</f>
        <v>0</v>
      </c>
      <c r="CS3" s="103">
        <f>IF(LEFT($B$3,2)="AP",'Pupil_Place Numbers'!C14,IF(LEFT($B$3,1)="M",'Pupil_Place Numbers'!C33,IF($B$3="UTC",'Pupil_Place Numbers'!C106,'Pupil_Place Numbers'!C50)))</f>
        <v>0</v>
      </c>
      <c r="CT3" s="103">
        <f>IF(LEFT($B$3,2)="AP",'Pupil_Place Numbers'!D14,IF(LEFT($B$3,1)="M",'Pupil_Place Numbers'!D33,IF($B$3="UTC",'Pupil_Place Numbers'!D106,'Pupil_Place Numbers'!D50)))</f>
        <v>0</v>
      </c>
      <c r="CU3" s="103">
        <f>IF(LEFT($B$3,2)="AP",'Pupil_Place Numbers'!E14,IF(LEFT($B$3,1)="M",'Pupil_Place Numbers'!E33,IF($B$3="UTC",'Pupil_Place Numbers'!E106,'Pupil_Place Numbers'!E50)))</f>
        <v>0</v>
      </c>
      <c r="CV3" s="103">
        <f>IF(LEFT($B$3,2)="AP",'Pupil_Place Numbers'!F14,IF(LEFT($B$3,1)="M",'Pupil_Place Numbers'!F33,IF($B$3="UTC",'Pupil_Place Numbers'!F106,'Pupil_Place Numbers'!F50)))</f>
        <v>0</v>
      </c>
      <c r="CW3" s="103">
        <f>IF(LEFT($B$3,2)="AP",'Pupil_Place Numbers'!G14,IF(LEFT($B$3,1)="M",'Pupil_Place Numbers'!G33,IF($B$3="UTC",'Pupil_Place Numbers'!G106,'Pupil_Place Numbers'!G50)))</f>
        <v>0</v>
      </c>
      <c r="CX3" s="103">
        <f>IF(LEFT($B$3,2)="AP",'Pupil_Place Numbers'!H14,IF(LEFT($B$3,1)="M",'Pupil_Place Numbers'!H33,IF($B$3="UTC",'Pupil_Place Numbers'!H106,'Pupil_Place Numbers'!H50)))</f>
        <v>0</v>
      </c>
      <c r="CY3" s="103">
        <f>IF(LEFT($B$3,2)="AP",'Pupil_Place Numbers'!I14,IF(LEFT($B$3,1)="M",'Pupil_Place Numbers'!I33,IF($B$3="UTC",'Pupil_Place Numbers'!I106,'Pupil_Place Numbers'!I50)))</f>
        <v>0</v>
      </c>
      <c r="CZ3" s="103">
        <f>IF(LEFT($B$3,2)="AP",'Pupil_Place Numbers'!J14,IF(LEFT($B$3,1)="M",'Pupil_Place Numbers'!J33,IF($B$3="UTC",'Pupil_Place Numbers'!J106,'Pupil_Place Numbers'!J50)))</f>
        <v>0</v>
      </c>
      <c r="DA3" s="103">
        <f>IF(LEFT($B$3,2)="AP",'Pupil_Place Numbers'!C15,IF(LEFT($B$3,1)="M",'Pupil_Place Numbers'!C34,IF($B$3="UTC",'Pupil_Place Numbers'!C107,'Pupil_Place Numbers'!C51)))</f>
        <v>0</v>
      </c>
      <c r="DB3" s="103">
        <f>IF(LEFT($B$3,2)="AP",'Pupil_Place Numbers'!D15,IF(LEFT($B$3,1)="M",'Pupil_Place Numbers'!D34,IF($B$3="UTC",'Pupil_Place Numbers'!D107,'Pupil_Place Numbers'!D51)))</f>
        <v>0</v>
      </c>
      <c r="DC3" s="103">
        <f>IF(LEFT($B$3,2)="AP",'Pupil_Place Numbers'!E15,IF(LEFT($B$3,1)="M",'Pupil_Place Numbers'!E34,IF($B$3="UTC",'Pupil_Place Numbers'!E107,'Pupil_Place Numbers'!E51)))</f>
        <v>0</v>
      </c>
      <c r="DD3" s="103">
        <f>IF(LEFT($B$3,2)="AP",'Pupil_Place Numbers'!F15,IF(LEFT($B$3,1)="M",'Pupil_Place Numbers'!F34,IF($B$3="UTC",'Pupil_Place Numbers'!F107,'Pupil_Place Numbers'!F51)))</f>
        <v>0</v>
      </c>
      <c r="DE3" s="103">
        <f>IF(LEFT($B$3,2)="AP",'Pupil_Place Numbers'!G15,IF(LEFT($B$3,1)="M",'Pupil_Place Numbers'!G34,IF($B$3="UTC",'Pupil_Place Numbers'!G107,'Pupil_Place Numbers'!G51)))</f>
        <v>0</v>
      </c>
      <c r="DF3" s="103">
        <f>IF(LEFT($B$3,2)="AP",'Pupil_Place Numbers'!H15,IF(LEFT($B$3,1)="M",'Pupil_Place Numbers'!H34,IF($B$3="UTC",'Pupil_Place Numbers'!H107,'Pupil_Place Numbers'!H51)))</f>
        <v>0</v>
      </c>
      <c r="DG3" s="103">
        <f>IF(LEFT($B$3,2)="AP",'Pupil_Place Numbers'!I15,IF(LEFT($B$3,1)="M",'Pupil_Place Numbers'!I34,IF($B$3="UTC",'Pupil_Place Numbers'!I107,'Pupil_Place Numbers'!I51)))</f>
        <v>0</v>
      </c>
      <c r="DH3" s="103">
        <f>IF(LEFT($B$3,2)="AP",'Pupil_Place Numbers'!J15,IF(LEFT($B$3,1)="M",'Pupil_Place Numbers'!J34,IF($B$3="UTC",'Pupil_Place Numbers'!J107,'Pupil_Place Numbers'!J51)))</f>
        <v>0</v>
      </c>
      <c r="DI3" s="103">
        <f>IF(LEFT($B$3,2)="AP",'Pupil_Place Numbers'!C16,IF(LEFT($B$3,1)="M",'Pupil_Place Numbers'!C35,IF($B$3="UTC",'Pupil_Place Numbers'!C108,'Pupil_Place Numbers'!C52)))</f>
        <v>0</v>
      </c>
      <c r="DJ3" s="103">
        <f>IF(LEFT($B$3,2)="AP",'Pupil_Place Numbers'!D16,IF(LEFT($B$3,1)="M",'Pupil_Place Numbers'!D35,IF($B$3="UTC",'Pupil_Place Numbers'!D108,'Pupil_Place Numbers'!D52)))</f>
        <v>0</v>
      </c>
      <c r="DK3" s="103">
        <f>IF(LEFT($B$3,2)="AP",'Pupil_Place Numbers'!E16,IF(LEFT($B$3,1)="M",'Pupil_Place Numbers'!E35,IF($B$3="UTC",'Pupil_Place Numbers'!E108,'Pupil_Place Numbers'!E52)))</f>
        <v>0</v>
      </c>
      <c r="DL3" s="103">
        <f>IF(LEFT($B$3,2)="AP",'Pupil_Place Numbers'!F16,IF(LEFT($B$3,1)="M",'Pupil_Place Numbers'!F35,IF($B$3="UTC",'Pupil_Place Numbers'!F108,'Pupil_Place Numbers'!F52)))</f>
        <v>0</v>
      </c>
      <c r="DM3" s="103">
        <f>IF(LEFT($B$3,2)="AP",'Pupil_Place Numbers'!G16,IF(LEFT($B$3,1)="M",'Pupil_Place Numbers'!G35,IF($B$3="UTC",'Pupil_Place Numbers'!G108,'Pupil_Place Numbers'!G52)))</f>
        <v>0</v>
      </c>
      <c r="DN3" s="103">
        <f>IF(LEFT($B$3,2)="AP",'Pupil_Place Numbers'!H16,IF(LEFT($B$3,1)="M",'Pupil_Place Numbers'!H35,IF($B$3="UTC",'Pupil_Place Numbers'!H108,'Pupil_Place Numbers'!H52)))</f>
        <v>0</v>
      </c>
      <c r="DO3" s="103">
        <f>IF(LEFT($B$3,2)="AP",'Pupil_Place Numbers'!I16,IF(LEFT($B$3,1)="M",'Pupil_Place Numbers'!I35,IF($B$3="UTC",'Pupil_Place Numbers'!I108,'Pupil_Place Numbers'!I52)))</f>
        <v>0</v>
      </c>
      <c r="DP3" s="103">
        <f>IF(LEFT($B$3,2)="AP",'Pupil_Place Numbers'!J16,IF(LEFT($B$3,1)="M",'Pupil_Place Numbers'!J35,IF($B$3="UTC",'Pupil_Place Numbers'!J108,'Pupil_Place Numbers'!J52)))</f>
        <v>0</v>
      </c>
      <c r="DQ3" s="103">
        <f>IF(LEFT($B$3,2)="AP",'Pupil_Place Numbers'!C17,IF(LEFT($B$3,1)="M",'Pupil_Place Numbers'!C36,IF($B$3="UTC",'Pupil_Place Numbers'!C109,'Pupil_Place Numbers'!C53)))</f>
        <v>0</v>
      </c>
      <c r="DR3" s="103">
        <f>IF(LEFT($B$3,2)="AP",'Pupil_Place Numbers'!D17,IF(LEFT($B$3,1)="M",'Pupil_Place Numbers'!D36,IF($B$3="UTC",'Pupil_Place Numbers'!D109,'Pupil_Place Numbers'!D53)))</f>
        <v>0</v>
      </c>
      <c r="DS3" s="103">
        <f>IF(LEFT($B$3,2)="AP",'Pupil_Place Numbers'!E17,IF(LEFT($B$3,1)="M",'Pupil_Place Numbers'!E36,IF($B$3="UTC",'Pupil_Place Numbers'!E109,'Pupil_Place Numbers'!E53)))</f>
        <v>0</v>
      </c>
      <c r="DT3" s="103">
        <f>IF(LEFT($B$3,2)="AP",'Pupil_Place Numbers'!F17,IF(LEFT($B$3,1)="M",'Pupil_Place Numbers'!F36,IF($B$3="UTC",'Pupil_Place Numbers'!F109,'Pupil_Place Numbers'!F53)))</f>
        <v>0</v>
      </c>
      <c r="DU3" s="103">
        <f>IF(LEFT($B$3,2)="AP",'Pupil_Place Numbers'!G17,IF(LEFT($B$3,1)="M",'Pupil_Place Numbers'!G36,IF($B$3="UTC",'Pupil_Place Numbers'!G109,'Pupil_Place Numbers'!G53)))</f>
        <v>0</v>
      </c>
      <c r="DV3" s="103">
        <f>IF(LEFT($B$3,2)="AP",'Pupil_Place Numbers'!H17,IF(LEFT($B$3,1)="M",'Pupil_Place Numbers'!H36,IF($B$3="UTC",'Pupil_Place Numbers'!H109,'Pupil_Place Numbers'!H53)))</f>
        <v>0</v>
      </c>
      <c r="DW3" s="103">
        <f>IF(LEFT($B$3,2)="AP",'Pupil_Place Numbers'!I17,IF(LEFT($B$3,1)="M",'Pupil_Place Numbers'!I36,IF($B$3="UTC",'Pupil_Place Numbers'!I109,'Pupil_Place Numbers'!I53)))</f>
        <v>0</v>
      </c>
      <c r="DX3" s="103">
        <f>IF(LEFT($B$3,2)="AP",'Pupil_Place Numbers'!J17,IF(LEFT($B$3,1)="M",'Pupil_Place Numbers'!J36,IF($B$3="UTC",'Pupil_Place Numbers'!J109,'Pupil_Place Numbers'!J53)))</f>
        <v>0</v>
      </c>
      <c r="DY3" s="601">
        <f>'Pupil_Place Numbers'!C19</f>
        <v>0</v>
      </c>
      <c r="DZ3" s="601">
        <f>'Pupil_Place Numbers'!D19</f>
        <v>0</v>
      </c>
      <c r="EA3" s="601">
        <f>'Pupil_Place Numbers'!E19</f>
        <v>0</v>
      </c>
      <c r="EB3" s="601">
        <f>'Pupil_Place Numbers'!F19</f>
        <v>0</v>
      </c>
      <c r="EC3" s="601">
        <f>'Pupil_Place Numbers'!G19</f>
        <v>0</v>
      </c>
      <c r="ED3" s="601">
        <f>'Pupil_Place Numbers'!H19</f>
        <v>0</v>
      </c>
      <c r="EE3" s="601">
        <f>'Pupil_Place Numbers'!I19</f>
        <v>0</v>
      </c>
      <c r="EF3" s="601">
        <f>'Pupil_Place Numbers'!J19</f>
        <v>0</v>
      </c>
      <c r="EG3" s="601">
        <f>'Pupil_Place Numbers'!C20</f>
        <v>0</v>
      </c>
      <c r="EH3" s="601">
        <f>'Pupil_Place Numbers'!D20</f>
        <v>0</v>
      </c>
      <c r="EI3" s="601">
        <f>'Pupil_Place Numbers'!E20</f>
        <v>0</v>
      </c>
      <c r="EJ3" s="601">
        <f>'Pupil_Place Numbers'!F20</f>
        <v>0</v>
      </c>
      <c r="EK3" s="601">
        <f>'Pupil_Place Numbers'!G20</f>
        <v>0</v>
      </c>
      <c r="EL3" s="601">
        <f>'Pupil_Place Numbers'!H20</f>
        <v>0</v>
      </c>
      <c r="EM3" s="601">
        <f>'Pupil_Place Numbers'!I20</f>
        <v>0</v>
      </c>
      <c r="EN3" s="601">
        <f>'Pupil_Place Numbers'!J20</f>
        <v>0</v>
      </c>
      <c r="EO3" s="601">
        <f>'Pupil_Place Numbers'!C21</f>
        <v>0</v>
      </c>
      <c r="EP3" s="601">
        <f>'Pupil_Place Numbers'!D21</f>
        <v>0</v>
      </c>
      <c r="EQ3" s="601">
        <f>'Pupil_Place Numbers'!E21</f>
        <v>0</v>
      </c>
      <c r="ER3" s="601">
        <f>'Pupil_Place Numbers'!F21</f>
        <v>0</v>
      </c>
      <c r="ES3" s="601">
        <f>'Pupil_Place Numbers'!G21</f>
        <v>0</v>
      </c>
      <c r="ET3" s="601">
        <f>'Pupil_Place Numbers'!H21</f>
        <v>0</v>
      </c>
      <c r="EU3" s="601">
        <f>'Pupil_Place Numbers'!I21</f>
        <v>0</v>
      </c>
      <c r="EV3" s="601">
        <f>'Pupil_Place Numbers'!J21</f>
        <v>0</v>
      </c>
      <c r="EW3" t="str">
        <f>'Pupil_Place Numbers'!C57 &amp;", " &amp;'Pupil_Place Numbers'!C74 &amp;", " &amp;'Pupil_Place Numbers'!C91</f>
        <v>, , </v>
      </c>
      <c r="EX3" t="str">
        <f>'Pupil_Place Numbers'!D57 &amp;", " &amp;'Pupil_Place Numbers'!D74 &amp;", " &amp;'Pupil_Place Numbers'!D91</f>
        <v>, , </v>
      </c>
      <c r="EY3" t="str">
        <f>'Pupil_Place Numbers'!E57 &amp;", " &amp;'Pupil_Place Numbers'!E74 &amp;", " &amp;'Pupil_Place Numbers'!E91</f>
        <v>, , </v>
      </c>
      <c r="EZ3" t="str">
        <f>'Pupil_Place Numbers'!F57 &amp;", " &amp;'Pupil_Place Numbers'!F74 &amp;", " &amp;'Pupil_Place Numbers'!F91</f>
        <v>, , </v>
      </c>
      <c r="FA3" t="str">
        <f>'Pupil_Place Numbers'!G57 &amp;", " &amp;'Pupil_Place Numbers'!G74 &amp;", " &amp;'Pupil_Place Numbers'!G91</f>
        <v>, , </v>
      </c>
      <c r="FB3" t="str">
        <f>'Pupil_Place Numbers'!H57 &amp;", " &amp;'Pupil_Place Numbers'!H74 &amp;", " &amp;'Pupil_Place Numbers'!H91</f>
        <v>, , </v>
      </c>
      <c r="FC3" t="str">
        <f>'Pupil_Place Numbers'!I57 &amp;", " &amp;'Pupil_Place Numbers'!I74 &amp;", " &amp;'Pupil_Place Numbers'!I91</f>
        <v>, , </v>
      </c>
      <c r="FD3" t="str">
        <f>'Pupil_Place Numbers'!J57 &amp;", " &amp;'Pupil_Place Numbers'!J74 &amp;", " &amp;'Pupil_Place Numbers'!J91</f>
        <v>, , </v>
      </c>
      <c r="FE3" t="str">
        <f>'Pupil_Place Numbers'!C58 &amp;", " &amp;'Pupil_Place Numbers'!C75 &amp;", " &amp;'Pupil_Place Numbers'!C92</f>
        <v>, , </v>
      </c>
      <c r="FF3" t="str">
        <f>'Pupil_Place Numbers'!D58 &amp;", " &amp;'Pupil_Place Numbers'!D75 &amp;", " &amp;'Pupil_Place Numbers'!D92</f>
        <v>, , </v>
      </c>
      <c r="FG3" t="str">
        <f>'Pupil_Place Numbers'!E58 &amp;", " &amp;'Pupil_Place Numbers'!E75 &amp;", " &amp;'Pupil_Place Numbers'!E92</f>
        <v>, , </v>
      </c>
      <c r="FH3" t="str">
        <f>'Pupil_Place Numbers'!F58 &amp;", " &amp;'Pupil_Place Numbers'!F75 &amp;", " &amp;'Pupil_Place Numbers'!F92</f>
        <v>, , </v>
      </c>
      <c r="FI3" t="str">
        <f>'Pupil_Place Numbers'!G58 &amp;", " &amp;'Pupil_Place Numbers'!G75 &amp;", " &amp;'Pupil_Place Numbers'!G92</f>
        <v>, , </v>
      </c>
      <c r="FJ3" t="str">
        <f>'Pupil_Place Numbers'!H58 &amp;", " &amp;'Pupil_Place Numbers'!H75 &amp;", " &amp;'Pupil_Place Numbers'!H92</f>
        <v>, , </v>
      </c>
      <c r="FK3" t="str">
        <f>'Pupil_Place Numbers'!I58 &amp;", " &amp;'Pupil_Place Numbers'!I75 &amp;", " &amp;'Pupil_Place Numbers'!I92</f>
        <v>, , </v>
      </c>
      <c r="FL3" t="str">
        <f>'Pupil_Place Numbers'!J58 &amp;", " &amp;'Pupil_Place Numbers'!J75 &amp;", " &amp;'Pupil_Place Numbers'!J92</f>
        <v>, , </v>
      </c>
      <c r="FM3" t="str">
        <f>'Pupil_Place Numbers'!C59 &amp;", " &amp;'Pupil_Place Numbers'!C76 &amp;", " &amp;'Pupil_Place Numbers'!C93</f>
        <v>, , </v>
      </c>
      <c r="FN3" t="str">
        <f>'Pupil_Place Numbers'!D59 &amp;", " &amp;'Pupil_Place Numbers'!D76 &amp;", " &amp;'Pupil_Place Numbers'!D93</f>
        <v>, , </v>
      </c>
      <c r="FO3" t="str">
        <f>'Pupil_Place Numbers'!E59 &amp;", " &amp;'Pupil_Place Numbers'!E76 &amp;", " &amp;'Pupil_Place Numbers'!E93</f>
        <v>, , </v>
      </c>
      <c r="FP3" t="str">
        <f>'Pupil_Place Numbers'!F59 &amp;", " &amp;'Pupil_Place Numbers'!F76 &amp;", " &amp;'Pupil_Place Numbers'!F93</f>
        <v>, , </v>
      </c>
      <c r="FQ3" t="str">
        <f>'Pupil_Place Numbers'!G59 &amp;", " &amp;'Pupil_Place Numbers'!G76 &amp;", " &amp;'Pupil_Place Numbers'!G93</f>
        <v>, , </v>
      </c>
      <c r="FR3" t="str">
        <f>'Pupil_Place Numbers'!H59 &amp;", " &amp;'Pupil_Place Numbers'!H76 &amp;", " &amp;'Pupil_Place Numbers'!H93</f>
        <v>, , </v>
      </c>
      <c r="FS3" t="str">
        <f>'Pupil_Place Numbers'!I59 &amp;", " &amp;'Pupil_Place Numbers'!I76 &amp;", " &amp;'Pupil_Place Numbers'!I93</f>
        <v>, , </v>
      </c>
      <c r="FT3" t="str">
        <f>'Pupil_Place Numbers'!J59 &amp;", " &amp;'Pupil_Place Numbers'!J76 &amp;", " &amp;'Pupil_Place Numbers'!J93</f>
        <v>, , </v>
      </c>
      <c r="FU3" t="str">
        <f>'Pupil_Place Numbers'!C60 &amp;", " &amp;'Pupil_Place Numbers'!C77 &amp;", " &amp;'Pupil_Place Numbers'!C94</f>
        <v>, , </v>
      </c>
      <c r="FV3" t="str">
        <f>'Pupil_Place Numbers'!D60 &amp;", " &amp;'Pupil_Place Numbers'!D77 &amp;", " &amp;'Pupil_Place Numbers'!D94</f>
        <v>, , </v>
      </c>
      <c r="FW3" t="str">
        <f>'Pupil_Place Numbers'!E60 &amp;", " &amp;'Pupil_Place Numbers'!E77 &amp;", " &amp;'Pupil_Place Numbers'!E94</f>
        <v>, , </v>
      </c>
      <c r="FX3" t="str">
        <f>'Pupil_Place Numbers'!F60 &amp;", " &amp;'Pupil_Place Numbers'!F77 &amp;", " &amp;'Pupil_Place Numbers'!F94</f>
        <v>, , </v>
      </c>
      <c r="FY3" t="str">
        <f>'Pupil_Place Numbers'!G60 &amp;", " &amp;'Pupil_Place Numbers'!G77 &amp;", " &amp;'Pupil_Place Numbers'!G94</f>
        <v>, , </v>
      </c>
      <c r="FZ3" t="str">
        <f>'Pupil_Place Numbers'!H60 &amp;", " &amp;'Pupil_Place Numbers'!H77 &amp;", " &amp;'Pupil_Place Numbers'!H94</f>
        <v>, , </v>
      </c>
      <c r="GA3" t="str">
        <f>'Pupil_Place Numbers'!I60 &amp;", " &amp;'Pupil_Place Numbers'!I77 &amp;", " &amp;'Pupil_Place Numbers'!I94</f>
        <v>, , </v>
      </c>
      <c r="GB3" t="str">
        <f>'Pupil_Place Numbers'!J60 &amp;", " &amp;'Pupil_Place Numbers'!J77 &amp;", " &amp;'Pupil_Place Numbers'!J94</f>
        <v>, , </v>
      </c>
      <c r="GC3" t="str">
        <f>'Pupil_Place Numbers'!C61 &amp;", " &amp;'Pupil_Place Numbers'!C78 &amp;", " &amp;'Pupil_Place Numbers'!C95</f>
        <v>, , </v>
      </c>
      <c r="GD3" t="str">
        <f>'Pupil_Place Numbers'!D61 &amp;", " &amp;'Pupil_Place Numbers'!D78 &amp;", " &amp;'Pupil_Place Numbers'!D95</f>
        <v>, , </v>
      </c>
      <c r="GE3" t="str">
        <f>'Pupil_Place Numbers'!E61 &amp;", " &amp;'Pupil_Place Numbers'!E78 &amp;", " &amp;'Pupil_Place Numbers'!E95</f>
        <v>, , </v>
      </c>
      <c r="GF3" t="str">
        <f>'Pupil_Place Numbers'!F61 &amp;", " &amp;'Pupil_Place Numbers'!F78 &amp;", " &amp;'Pupil_Place Numbers'!F95</f>
        <v>, , </v>
      </c>
      <c r="GG3" t="str">
        <f>'Pupil_Place Numbers'!G61 &amp;", " &amp;'Pupil_Place Numbers'!G78 &amp;", " &amp;'Pupil_Place Numbers'!G95</f>
        <v>, , </v>
      </c>
      <c r="GH3" t="str">
        <f>'Pupil_Place Numbers'!H61 &amp;", " &amp;'Pupil_Place Numbers'!H78 &amp;", " &amp;'Pupil_Place Numbers'!H95</f>
        <v>, , </v>
      </c>
      <c r="GI3" t="str">
        <f>'Pupil_Place Numbers'!I61 &amp;", " &amp;'Pupil_Place Numbers'!I78 &amp;", " &amp;'Pupil_Place Numbers'!I95</f>
        <v>, , </v>
      </c>
      <c r="GJ3" t="str">
        <f>'Pupil_Place Numbers'!J61 &amp;", " &amp;'Pupil_Place Numbers'!J78 &amp;", " &amp;'Pupil_Place Numbers'!J95</f>
        <v>, , </v>
      </c>
      <c r="GK3" t="str">
        <f>'Pupil_Place Numbers'!C62 &amp;", " &amp;'Pupil_Place Numbers'!C79 &amp;", " &amp;'Pupil_Place Numbers'!C96</f>
        <v>, , </v>
      </c>
      <c r="GL3" t="str">
        <f>'Pupil_Place Numbers'!D62 &amp;", " &amp;'Pupil_Place Numbers'!D79 &amp;", " &amp;'Pupil_Place Numbers'!D96</f>
        <v>, , </v>
      </c>
      <c r="GM3" t="str">
        <f>'Pupil_Place Numbers'!E62&amp;", "&amp;'Pupil_Place Numbers'!E79&amp;", "&amp;'Pupil_Place Numbers'!E96</f>
        <v>, , </v>
      </c>
      <c r="GN3" t="str">
        <f>'Pupil_Place Numbers'!F62&amp;", "&amp;'Pupil_Place Numbers'!F79&amp;", "&amp;'Pupil_Place Numbers'!F96</f>
        <v>, , </v>
      </c>
      <c r="GO3" t="str">
        <f>'Pupil_Place Numbers'!G62&amp;", "&amp;'Pupil_Place Numbers'!G79&amp;", "&amp;'Pupil_Place Numbers'!G96</f>
        <v>, , </v>
      </c>
      <c r="GP3" t="str">
        <f>'Pupil_Place Numbers'!H62&amp;", "&amp;'Pupil_Place Numbers'!H79&amp;", "&amp;'Pupil_Place Numbers'!H96</f>
        <v>, , </v>
      </c>
      <c r="GQ3" t="str">
        <f>'Pupil_Place Numbers'!I62&amp;", "&amp;'Pupil_Place Numbers'!I79&amp;", "&amp;'Pupil_Place Numbers'!I96</f>
        <v>, , </v>
      </c>
      <c r="GR3" t="str">
        <f>'Pupil_Place Numbers'!J62&amp;", "&amp;'Pupil_Place Numbers'!J79&amp;", "&amp;'Pupil_Place Numbers'!J96</f>
        <v>, , </v>
      </c>
      <c r="GS3" t="str">
        <f>'Pupil_Place Numbers'!C63&amp;", "&amp;'Pupil_Place Numbers'!C80&amp;", "&amp;'Pupil_Place Numbers'!C97</f>
        <v>, , </v>
      </c>
      <c r="GT3" t="str">
        <f>'Pupil_Place Numbers'!D63&amp;", "&amp;'Pupil_Place Numbers'!D80&amp;", "&amp;'Pupil_Place Numbers'!D97</f>
        <v>, , </v>
      </c>
      <c r="GU3" t="str">
        <f>'Pupil_Place Numbers'!E63&amp;", "&amp;'Pupil_Place Numbers'!E80&amp;", "&amp;'Pupil_Place Numbers'!E97</f>
        <v>, , </v>
      </c>
      <c r="GV3" t="str">
        <f>'Pupil_Place Numbers'!F63&amp;", "&amp;'Pupil_Place Numbers'!F80&amp;", "&amp;'Pupil_Place Numbers'!F97</f>
        <v>, , </v>
      </c>
      <c r="GW3" t="str">
        <f>'Pupil_Place Numbers'!G63&amp;", "&amp;'Pupil_Place Numbers'!G80&amp;", "&amp;'Pupil_Place Numbers'!G97</f>
        <v>, , </v>
      </c>
      <c r="GX3" t="str">
        <f>'Pupil_Place Numbers'!H63&amp;", "&amp;'Pupil_Place Numbers'!H80&amp;", "&amp;'Pupil_Place Numbers'!H97</f>
        <v>, , </v>
      </c>
      <c r="GY3" t="str">
        <f>'Pupil_Place Numbers'!I63&amp;", "&amp;'Pupil_Place Numbers'!I80&amp;", "&amp;'Pupil_Place Numbers'!I97</f>
        <v>, , </v>
      </c>
      <c r="GZ3" t="str">
        <f>'Pupil_Place Numbers'!J63&amp;", "&amp;'Pupil_Place Numbers'!J80&amp;", "&amp;'Pupil_Place Numbers'!J97</f>
        <v>, , </v>
      </c>
      <c r="HA3" t="str">
        <f>'Pupil_Place Numbers'!C64&amp;", "&amp;'Pupil_Place Numbers'!C81&amp;", "&amp;'Pupil_Place Numbers'!C98</f>
        <v>, , </v>
      </c>
      <c r="HB3" t="str">
        <f>'Pupil_Place Numbers'!D64&amp;", "&amp;'Pupil_Place Numbers'!D81&amp;", "&amp;'Pupil_Place Numbers'!D98</f>
        <v>, , </v>
      </c>
      <c r="HC3" t="str">
        <f>'Pupil_Place Numbers'!E64&amp;", "&amp;'Pupil_Place Numbers'!E81&amp;", "&amp;'Pupil_Place Numbers'!E98</f>
        <v>, , </v>
      </c>
      <c r="HD3" t="str">
        <f>'Pupil_Place Numbers'!F64&amp;", "&amp;'Pupil_Place Numbers'!F81&amp;", "&amp;'Pupil_Place Numbers'!F98</f>
        <v>, , </v>
      </c>
      <c r="HE3" t="str">
        <f>'Pupil_Place Numbers'!G64&amp;", "&amp;'Pupil_Place Numbers'!G81&amp;", "&amp;'Pupil_Place Numbers'!G98</f>
        <v>, , </v>
      </c>
      <c r="HF3" t="str">
        <f>'Pupil_Place Numbers'!H64&amp;", "&amp;'Pupil_Place Numbers'!H81&amp;", "&amp;'Pupil_Place Numbers'!H98</f>
        <v>, , </v>
      </c>
      <c r="HG3" t="str">
        <f>'Pupil_Place Numbers'!I64&amp;", "&amp;'Pupil_Place Numbers'!I81&amp;", "&amp;'Pupil_Place Numbers'!I98</f>
        <v>, , </v>
      </c>
      <c r="HH3" t="str">
        <f>'Pupil_Place Numbers'!J64&amp;", "&amp;'Pupil_Place Numbers'!J81&amp;", "&amp;'Pupil_Place Numbers'!J98</f>
        <v>, , </v>
      </c>
      <c r="HI3" t="str">
        <f>'Pupil_Place Numbers'!C65&amp;", "&amp;'Pupil_Place Numbers'!C82&amp;", "&amp;'Pupil_Place Numbers'!C99</f>
        <v>, , </v>
      </c>
      <c r="HJ3" t="str">
        <f>'Pupil_Place Numbers'!D65&amp;", "&amp;'Pupil_Place Numbers'!D82&amp;", "&amp;'Pupil_Place Numbers'!D99</f>
        <v>, , </v>
      </c>
      <c r="HK3" t="str">
        <f>'Pupil_Place Numbers'!E65&amp;", "&amp;'Pupil_Place Numbers'!E82&amp;", "&amp;'Pupil_Place Numbers'!E99</f>
        <v>, , </v>
      </c>
      <c r="HL3" t="str">
        <f>'Pupil_Place Numbers'!F65&amp;", "&amp;'Pupil_Place Numbers'!F82&amp;", "&amp;'Pupil_Place Numbers'!F99</f>
        <v>, , </v>
      </c>
      <c r="HM3" t="str">
        <f>'Pupil_Place Numbers'!G65&amp;", "&amp;'Pupil_Place Numbers'!G82&amp;", "&amp;'Pupil_Place Numbers'!G99</f>
        <v>, , </v>
      </c>
      <c r="HN3" t="str">
        <f>'Pupil_Place Numbers'!H65&amp;", "&amp;'Pupil_Place Numbers'!H82&amp;", "&amp;'Pupil_Place Numbers'!H99</f>
        <v>, , </v>
      </c>
      <c r="HO3" t="str">
        <f>'Pupil_Place Numbers'!I65&amp;", "&amp;'Pupil_Place Numbers'!I82&amp;", "&amp;'Pupil_Place Numbers'!I99</f>
        <v>, , </v>
      </c>
      <c r="HP3" t="str">
        <f>'Pupil_Place Numbers'!J65&amp;", "&amp;'Pupil_Place Numbers'!J82&amp;", "&amp;'Pupil_Place Numbers'!J99</f>
        <v>, , </v>
      </c>
      <c r="HQ3" t="str">
        <f>'Pupil_Place Numbers'!C66&amp;", "&amp;'Pupil_Place Numbers'!C83&amp;", "&amp;'Pupil_Place Numbers'!C100</f>
        <v>, , </v>
      </c>
      <c r="HR3" t="str">
        <f>'Pupil_Place Numbers'!D66&amp;", "&amp;'Pupil_Place Numbers'!D83&amp;", "&amp;'Pupil_Place Numbers'!D100</f>
        <v>, , </v>
      </c>
      <c r="HS3" t="str">
        <f>'Pupil_Place Numbers'!E66&amp;", "&amp;'Pupil_Place Numbers'!E83&amp;", "&amp;'Pupil_Place Numbers'!E100</f>
        <v>, , </v>
      </c>
      <c r="HT3" t="str">
        <f>'Pupil_Place Numbers'!F66&amp;", "&amp;'Pupil_Place Numbers'!F83&amp;", "&amp;'Pupil_Place Numbers'!F100</f>
        <v>, , </v>
      </c>
      <c r="HU3" t="str">
        <f>'Pupil_Place Numbers'!G66&amp;", "&amp;'Pupil_Place Numbers'!G83&amp;", "&amp;'Pupil_Place Numbers'!G100</f>
        <v>, , </v>
      </c>
      <c r="HV3" t="str">
        <f>'Pupil_Place Numbers'!H66&amp;", "&amp;'Pupil_Place Numbers'!H83&amp;", "&amp;'Pupil_Place Numbers'!H100</f>
        <v>, , </v>
      </c>
      <c r="HW3" t="str">
        <f>'Pupil_Place Numbers'!I66&amp;", "&amp;'Pupil_Place Numbers'!I83&amp;", "&amp;'Pupil_Place Numbers'!I100</f>
        <v>, , </v>
      </c>
      <c r="HX3" t="str">
        <f>'Pupil_Place Numbers'!J66&amp;", "&amp;'Pupil_Place Numbers'!J83&amp;", "&amp;'Pupil_Place Numbers'!J100</f>
        <v>, , </v>
      </c>
      <c r="HY3" t="str">
        <f>'Pupil_Place Numbers'!C67&amp;", "&amp;'Pupil_Place Numbers'!C84&amp;", "&amp;'Pupil_Place Numbers'!C101</f>
        <v>, , </v>
      </c>
      <c r="HZ3" t="str">
        <f>'Pupil_Place Numbers'!D67&amp;", "&amp;'Pupil_Place Numbers'!D84&amp;", "&amp;'Pupil_Place Numbers'!D101</f>
        <v>, , </v>
      </c>
      <c r="IA3" t="str">
        <f>'Pupil_Place Numbers'!E67&amp;", "&amp;'Pupil_Place Numbers'!E84&amp;", "&amp;'Pupil_Place Numbers'!E101</f>
        <v>, , </v>
      </c>
      <c r="IB3" t="str">
        <f>'Pupil_Place Numbers'!F67&amp;", "&amp;'Pupil_Place Numbers'!F84&amp;", "&amp;'Pupil_Place Numbers'!F101</f>
        <v>, , </v>
      </c>
      <c r="IC3" t="str">
        <f>'Pupil_Place Numbers'!G67&amp;", "&amp;'Pupil_Place Numbers'!G84&amp;", "&amp;'Pupil_Place Numbers'!G101</f>
        <v>, , </v>
      </c>
      <c r="ID3" t="str">
        <f>'Pupil_Place Numbers'!H67&amp;", "&amp;'Pupil_Place Numbers'!H84&amp;", "&amp;'Pupil_Place Numbers'!H101</f>
        <v>, , </v>
      </c>
      <c r="IE3" t="str">
        <f>'Pupil_Place Numbers'!I67&amp;", "&amp;'Pupil_Place Numbers'!I84&amp;", "&amp;'Pupil_Place Numbers'!I101</f>
        <v>, , </v>
      </c>
      <c r="IF3" t="str">
        <f>'Pupil_Place Numbers'!J67&amp;", "&amp;'Pupil_Place Numbers'!J84&amp;", "&amp;'Pupil_Place Numbers'!J101</f>
        <v>, , </v>
      </c>
      <c r="IG3" t="str">
        <f>'Pupil_Place Numbers'!C68&amp;", "&amp;'Pupil_Place Numbers'!C85&amp;", "&amp;'Pupil_Place Numbers'!C102</f>
        <v>, , </v>
      </c>
      <c r="IH3" t="str">
        <f>'Pupil_Place Numbers'!D68&amp;", "&amp;'Pupil_Place Numbers'!D85&amp;", "&amp;'Pupil_Place Numbers'!D102</f>
        <v>, , </v>
      </c>
      <c r="II3" t="str">
        <f>'Pupil_Place Numbers'!E68&amp;", "&amp;'Pupil_Place Numbers'!E85&amp;", "&amp;'Pupil_Place Numbers'!E102</f>
        <v>, , </v>
      </c>
      <c r="IJ3" t="str">
        <f>'Pupil_Place Numbers'!F68&amp;", "&amp;'Pupil_Place Numbers'!F85&amp;", "&amp;'Pupil_Place Numbers'!F102</f>
        <v>, , </v>
      </c>
      <c r="IK3" t="str">
        <f>'Pupil_Place Numbers'!G68&amp;", "&amp;'Pupil_Place Numbers'!G85&amp;", "&amp;'Pupil_Place Numbers'!G102</f>
        <v>, , </v>
      </c>
      <c r="IL3" t="str">
        <f>'Pupil_Place Numbers'!H68&amp;", "&amp;'Pupil_Place Numbers'!H85&amp;", "&amp;'Pupil_Place Numbers'!H102</f>
        <v>, , </v>
      </c>
      <c r="IM3" t="str">
        <f>'Pupil_Place Numbers'!I68&amp;", "&amp;'Pupil_Place Numbers'!I85&amp;", "&amp;'Pupil_Place Numbers'!I102</f>
        <v>, , </v>
      </c>
      <c r="IN3" t="str">
        <f>'Pupil_Place Numbers'!J68&amp;", "&amp;'Pupil_Place Numbers'!J85&amp;", "&amp;'Pupil_Place Numbers'!J102</f>
        <v>, , </v>
      </c>
      <c r="IO3" t="str">
        <f>'Pupil_Place Numbers'!C69&amp;", "&amp;'Pupil_Place Numbers'!C86&amp;", "&amp;'Pupil_Place Numbers'!C103</f>
        <v>, , </v>
      </c>
      <c r="IP3" t="str">
        <f>'Pupil_Place Numbers'!D69&amp;", "&amp;'Pupil_Place Numbers'!D86&amp;", "&amp;'Pupil_Place Numbers'!D103</f>
        <v>, , </v>
      </c>
      <c r="IQ3" t="str">
        <f>'Pupil_Place Numbers'!E69&amp;", "&amp;'Pupil_Place Numbers'!E86&amp;", "&amp;'Pupil_Place Numbers'!E103</f>
        <v>, , </v>
      </c>
      <c r="IR3" t="str">
        <f>'Pupil_Place Numbers'!F69&amp;", "&amp;'Pupil_Place Numbers'!F86&amp;", "&amp;'Pupil_Place Numbers'!F103</f>
        <v>, , </v>
      </c>
      <c r="IS3" t="str">
        <f>'Pupil_Place Numbers'!G69&amp;", "&amp;'Pupil_Place Numbers'!G86&amp;", "&amp;'Pupil_Place Numbers'!G103</f>
        <v>, , </v>
      </c>
      <c r="IT3" t="str">
        <f>'Pupil_Place Numbers'!H69&amp;", "&amp;'Pupil_Place Numbers'!H86&amp;", "&amp;'Pupil_Place Numbers'!H103</f>
        <v>, , </v>
      </c>
      <c r="IU3" t="str">
        <f>'Pupil_Place Numbers'!I69&amp;", "&amp;'Pupil_Place Numbers'!I86&amp;", "&amp;'Pupil_Place Numbers'!I103</f>
        <v>, , </v>
      </c>
      <c r="IV3" t="str">
        <f>'Pupil_Place Numbers'!J69&amp;", "&amp;'Pupil_Place Numbers'!J86&amp;", "&amp;'Pupil_Place Numbers'!J103</f>
        <v>, , </v>
      </c>
      <c r="IW3" t="str">
        <f>'Pupil_Place Numbers'!C70&amp;", "&amp;'Pupil_Place Numbers'!C87&amp;", "&amp;'Pupil_Place Numbers'!C104</f>
        <v>, , </v>
      </c>
      <c r="IX3" t="str">
        <f>'Pupil_Place Numbers'!D70&amp;", "&amp;'Pupil_Place Numbers'!D87&amp;", "&amp;'Pupil_Place Numbers'!D104</f>
        <v>, , </v>
      </c>
      <c r="IY3" t="str">
        <f>'Pupil_Place Numbers'!E70&amp;", "&amp;'Pupil_Place Numbers'!E87&amp;", "&amp;'Pupil_Place Numbers'!E104</f>
        <v>, , </v>
      </c>
      <c r="IZ3" t="str">
        <f>'Pupil_Place Numbers'!F70&amp;", "&amp;'Pupil_Place Numbers'!F87&amp;", "&amp;'Pupil_Place Numbers'!F104</f>
        <v>, , </v>
      </c>
      <c r="JA3" t="str">
        <f>'Pupil_Place Numbers'!G70&amp;", "&amp;'Pupil_Place Numbers'!G87&amp;", "&amp;'Pupil_Place Numbers'!G104</f>
        <v>, , </v>
      </c>
      <c r="JB3" t="str">
        <f>'Pupil_Place Numbers'!H70&amp;", "&amp;'Pupil_Place Numbers'!H87&amp;", "&amp;'Pupil_Place Numbers'!H104</f>
        <v>, , </v>
      </c>
      <c r="JC3" t="str">
        <f>'Pupil_Place Numbers'!I70&amp;", "&amp;'Pupil_Place Numbers'!I87&amp;", "&amp;'Pupil_Place Numbers'!I104</f>
        <v>, , </v>
      </c>
      <c r="JD3" t="str">
        <f>'Pupil_Place Numbers'!J70&amp;", "&amp;'Pupil_Place Numbers'!J87&amp;", "&amp;'Pupil_Place Numbers'!J104</f>
        <v>, , </v>
      </c>
      <c r="JE3">
        <f>IF(LEFT($B$3,1)="M",'G3. Budget'!E35,'G3. Budget'!E74)</f>
        <v>0</v>
      </c>
      <c r="JF3">
        <f>IF(LEFT($B$3,1)="M",'G3. Budget'!F35,'G3. Budget'!F74)</f>
        <v>0</v>
      </c>
      <c r="JG3">
        <f>IF(LEFT($B$3,1)="M",'G3. Budget'!G35,'G3. Budget'!G74)</f>
        <v>0</v>
      </c>
      <c r="JH3">
        <f>IF(LEFT($B$3,1)="M",'G3. Budget'!H35,'G3. Budget'!H74)</f>
        <v>0</v>
      </c>
      <c r="JI3">
        <f>IF(LEFT($B$3,1)="M",'G3. Budget'!I35,'G3. Budget'!I74)</f>
        <v>0</v>
      </c>
      <c r="JJ3">
        <f>IF(LEFT($B$3,1)="M",'G3. Budget'!J35,'G3. Budget'!J74)</f>
        <v>0</v>
      </c>
      <c r="JK3">
        <f>IF(LEFT($B$3,1)="M",'G3. Budget'!K35,'G3. Budget'!K74)</f>
        <v>0</v>
      </c>
      <c r="JL3">
        <f>IF(LEFT($B$3,1)="M",'G3. Budget'!L35,'G3. Budget'!L74)</f>
        <v>0</v>
      </c>
      <c r="JM3" s="600">
        <f>IF(OR($B$3="Mainstream (LA Presumption)",$B$3="UTC"),"",'G3. Budget'!E144)</f>
        <v>0</v>
      </c>
      <c r="JN3" s="600">
        <f>IF(OR($B$3="Mainstream (LA Presumption)",$B$3="UTC"),"",'G3. Budget'!F144)</f>
        <v>0</v>
      </c>
      <c r="JO3" s="600">
        <f>IF(OR($B$3="Mainstream (LA Presumption)",$B$3="UTC"),"",'G3. Budget'!G144)</f>
        <v>0</v>
      </c>
      <c r="JP3" s="600">
        <f>IF(OR($B$3="Mainstream (LA Presumption)",$B$3="UTC"),"",'G3. Budget'!H144)</f>
        <v>0</v>
      </c>
      <c r="JQ3" s="600">
        <f>IF(OR($B$3="Mainstream (LA Presumption)",$B$3="UTC"),"",'G3. Budget'!I144)</f>
        <v>0</v>
      </c>
      <c r="JR3" s="600">
        <f>IF(OR($B$3="Mainstream (LA Presumption)",$B$3="UTC"),"",'G3. Budget'!J144)</f>
        <v>0</v>
      </c>
      <c r="JS3" s="600">
        <f>IF(OR($B$3="Mainstream (LA Presumption)",$B$3="UTC"),"",'G3. Budget'!K144)</f>
        <v>0</v>
      </c>
      <c r="JT3" s="600">
        <f>IF(OR($B$3="Mainstream (LA Presumption)",$B$3="UTC"),"",'G3. Budget'!L144)</f>
        <v>0</v>
      </c>
      <c r="JU3" s="600">
        <f>IF($B$3="Mainstream (LA Presumption)","",'G3. Budget'!E$145)</f>
        <v>0</v>
      </c>
      <c r="JV3" s="600">
        <f>IF($B$3="Mainstream (LA Presumption)","",'G3. Budget'!F$145)</f>
        <v>0</v>
      </c>
      <c r="JW3" s="600">
        <f>IF($B$3="Mainstream (LA Presumption)","",'G3. Budget'!G$145)</f>
        <v>0</v>
      </c>
      <c r="JX3" s="600">
        <f>IF($B$3="Mainstream (LA Presumption)","",'G3. Budget'!H$145)</f>
        <v>0</v>
      </c>
      <c r="JY3" s="600">
        <f>IF($B$3="Mainstream (LA Presumption)","",'G3. Budget'!I$145)</f>
        <v>0</v>
      </c>
      <c r="JZ3" s="600">
        <f>IF($B$3="Mainstream (LA Presumption)","",'G3. Budget'!J$145)</f>
        <v>0</v>
      </c>
      <c r="KA3" s="600">
        <f>IF($B$3="Mainstream (LA Presumption)","",'G3. Budget'!K$145)</f>
        <v>0</v>
      </c>
      <c r="KB3" s="600">
        <f>IF($B$3="Mainstream (LA Presumption)","",'G3. Budget'!L$145)</f>
        <v>0</v>
      </c>
      <c r="KC3">
        <f>IF($B$3="Mainstream",'G3. Budget'!E$146,"")</f>
        <v>0</v>
      </c>
      <c r="KD3">
        <f>IF($B$3="Mainstream",'G3. Budget'!F$146,"")</f>
        <v>0</v>
      </c>
      <c r="KE3">
        <f>IF($B$3="Mainstream",'G3. Budget'!G$146,"")</f>
        <v>0</v>
      </c>
      <c r="KF3">
        <f>IF($B$3="Mainstream",'G3. Budget'!H$146,"")</f>
        <v>0</v>
      </c>
      <c r="KG3">
        <f>IF($B$3="Mainstream",'G3. Budget'!I$146,"")</f>
        <v>0</v>
      </c>
      <c r="KH3">
        <f>IF($B$3="Mainstream",'G3. Budget'!J$146,"")</f>
        <v>0</v>
      </c>
      <c r="KI3">
        <f>IF($B$3="Mainstream",'G3. Budget'!K$146,"")</f>
        <v>0</v>
      </c>
      <c r="KJ3">
        <f>IF($B$3="Mainstream",'G3. Budget'!L$146,"")</f>
        <v>0</v>
      </c>
      <c r="KK3" s="600">
        <f>IF($B$3="AP",'G3. Budget'!E$147,IF($B$3="Mainstream",'G3. Budget'!E148,IF(OR($B$3="Special",$B$3="UTC"),'G3. Budget'!E149,"")))</f>
        <v>0</v>
      </c>
      <c r="KL3" s="600">
        <f>IF($B$3="AP",'G3. Budget'!F$147,IF($B$3="Mainstream",'G3. Budget'!F148,IF(OR($B$3="Special",$B$3="UTC"),'G3. Budget'!F149,"")))</f>
        <v>0</v>
      </c>
      <c r="KM3" s="600">
        <f>IF($B$3="AP",'G3. Budget'!G$147,IF($B$3="Mainstream",'G3. Budget'!G148,IF(OR($B$3="Special",$B$3="UTC"),'G3. Budget'!G149,"")))</f>
        <v>0</v>
      </c>
      <c r="KN3" s="600">
        <f>IF($B$3="AP",'G3. Budget'!H$147,IF($B$3="Mainstream",'G3. Budget'!H148,IF(OR($B$3="Special",$B$3="UTC"),'G3. Budget'!H149,"")))</f>
        <v>0</v>
      </c>
      <c r="KO3" s="600">
        <f>IF($B$3="AP",'G3. Budget'!I$147,IF($B$3="Mainstream",'G3. Budget'!I148,IF(OR($B$3="Special",$B$3="UTC"),'G3. Budget'!I149,"")))</f>
        <v>0</v>
      </c>
      <c r="KP3" s="600">
        <f>IF($B$3="AP",'G3. Budget'!J$147,IF($B$3="Mainstream",'G3. Budget'!J148,IF(OR($B$3="Special",$B$3="UTC"),'G3. Budget'!J149,"")))</f>
        <v>0</v>
      </c>
      <c r="KQ3" s="600">
        <f>IF($B$3="AP",'G3. Budget'!K$147,IF($B$3="Mainstream",'G3. Budget'!K148,IF(OR($B$3="Special",$B$3="UTC"),'G3. Budget'!K149,"")))</f>
        <v>0</v>
      </c>
      <c r="KR3" s="600">
        <f>IF($B$3="AP",'G3. Budget'!L$147,IF($B$3="Mainstream",'G3. Budget'!L148,IF(OR($B$3="Special",$B$3="UTC"),'G3. Budget'!L149,"")))</f>
        <v>0</v>
      </c>
      <c r="KS3" s="600">
        <f>IF(AND(School_Type_Value="Mainstream",Age_Range_Value="16-19 School"),'G3. Budget'!E150,"")</f>
        <v>108000</v>
      </c>
      <c r="KT3" s="600">
        <f>IF(AND(School_Type_Value="Mainstream",Age_Range_Value="16-19 School"),'G3. Budget'!F150,"")</f>
        <v>27000</v>
      </c>
      <c r="KU3" s="600">
        <f>IF(AND(School_Type_Value="Mainstream",Age_Range_Value="16-19 School"),'G3. Budget'!G150,"")</f>
        <v>0</v>
      </c>
      <c r="KV3" s="600">
        <f>IF(AND(School_Type_Value="Mainstream",Age_Range_Value="16-19 School"),'G3. Budget'!H150,"")</f>
        <v>0</v>
      </c>
      <c r="KW3" s="600">
        <f>IF(AND(School_Type_Value="Mainstream",Age_Range_Value="16-19 School"),'G3. Budget'!I150,"")</f>
        <v>0</v>
      </c>
      <c r="KX3" s="600">
        <f>IF(AND(School_Type_Value="Mainstream",Age_Range_Value="16-19 School"),'G3. Budget'!J150,"")</f>
        <v>0</v>
      </c>
      <c r="KY3" s="600">
        <f>IF(AND(School_Type_Value="Mainstream",Age_Range_Value="16-19 School"),'G3. Budget'!K150,"")</f>
        <v>0</v>
      </c>
      <c r="KZ3" s="600">
        <f>IF(AND(School_Type_Value="Mainstream",Age_Range_Value="16-19 School"),'G3. Budget'!L150,"")</f>
        <v>0</v>
      </c>
      <c r="LA3">
        <f>IF(OR($B$3="AP",$B$3="Special"),"",IF('Pre 16 Ready Reckoner'!G29="",'Pre 16 Ready Reckoner'!I29,'Pre 16 Ready Reckoner'!G29))</f>
        <v>0</v>
      </c>
      <c r="LB3">
        <f>IF(OR($B$3="AP",$B$3="Special"),"",IF('Pre 16 Ready Reckoner'!H29="",'Pre 16 Ready Reckoner'!J29,'Pre 16 Ready Reckoner'!H29))</f>
        <v>0</v>
      </c>
      <c r="LC3">
        <f>IF(OR($B$3="AP",$B$3="Special"),"",IF('Pre 16 Ready Reckoner'!G30="",'Pre 16 Ready Reckoner'!I30,'Pre 16 Ready Reckoner'!G30))</f>
        <v>0</v>
      </c>
      <c r="LD3">
        <f>IF(OR($B$3="AP",$B$3="Special"),"",IF('Pre 16 Ready Reckoner'!H30="",'Pre 16 Ready Reckoner'!J30,'Pre 16 Ready Reckoner'!H30))</f>
        <v>0</v>
      </c>
      <c r="LE3">
        <f>IF(OR($B$3="AP",$B$3="Special"),"",IF('Pre 16 Ready Reckoner'!$G31="",'Pre 16 Ready Reckoner'!$I31,'Pre 16 Ready Reckoner'!$G31))</f>
        <v>0</v>
      </c>
      <c r="LF3">
        <f>IF(OR($B$3="AP",$B$3="Special"),"",IF('Pre 16 Ready Reckoner'!$H31="",'Pre 16 Ready Reckoner'!$J31,'Pre 16 Ready Reckoner'!$H31))</f>
        <v>0</v>
      </c>
      <c r="LG3">
        <f>IF(OR($B$3="AP",$B$3="Special"),"",IF('Pre 16 Ready Reckoner'!$G32="",'Pre 16 Ready Reckoner'!$I32,'Pre 16 Ready Reckoner'!$G32))</f>
        <v>0</v>
      </c>
      <c r="LH3">
        <f>IF(OR($B$3="AP",$B$3="Special"),"",IF('Pre 16 Ready Reckoner'!$H32="",'Pre 16 Ready Reckoner'!$J32,'Pre 16 Ready Reckoner'!$H32))</f>
        <v>0</v>
      </c>
      <c r="LI3">
        <f>IF(OR($B$3="AP",$B$3="Special"),"",IF('Pre 16 Ready Reckoner'!$G33="",'Pre 16 Ready Reckoner'!$I33,'Pre 16 Ready Reckoner'!$G33))</f>
        <v>0</v>
      </c>
      <c r="LJ3">
        <f>IF(OR($B$3="AP",$B$3="Special"),"",IF('Pre 16 Ready Reckoner'!$H33="",'Pre 16 Ready Reckoner'!$J33,'Pre 16 Ready Reckoner'!$H33))</f>
        <v>0</v>
      </c>
      <c r="LK3">
        <f>IF(OR($B$3="AP",$B$3="Special"),"",IF('Pre 16 Ready Reckoner'!$G34="",'Pre 16 Ready Reckoner'!$I34,'Pre 16 Ready Reckoner'!$G34))</f>
        <v>0</v>
      </c>
      <c r="LL3">
        <f>IF(OR($B$3="AP",$B$3="Special"),"",IF('Pre 16 Ready Reckoner'!$H34="",'Pre 16 Ready Reckoner'!$J34,'Pre 16 Ready Reckoner'!$H34))</f>
        <v>0</v>
      </c>
      <c r="LM3">
        <f>IF(OR($B$3="AP",$B$3="Special"),"",IF('Pre 16 Ready Reckoner'!$G35="",'Pre 16 Ready Reckoner'!$I35,'Pre 16 Ready Reckoner'!$G35))</f>
        <v>0</v>
      </c>
      <c r="LN3">
        <f>IF(OR($B$3="AP",$B$3="Special"),"",IF('Pre 16 Ready Reckoner'!$H35="",'Pre 16 Ready Reckoner'!$J35,'Pre 16 Ready Reckoner'!$H35))</f>
        <v>0</v>
      </c>
      <c r="LO3">
        <f>IF(OR($B$3="AP",$B$3="Special"),"",IF('Pre 16 Ready Reckoner'!$G36="",'Pre 16 Ready Reckoner'!$I36,'Pre 16 Ready Reckoner'!$G36))</f>
        <v>0</v>
      </c>
      <c r="LP3">
        <f>IF(OR($B$3="AP",$B$3="Special"),"",IF('Pre 16 Ready Reckoner'!$H36="",'Pre 16 Ready Reckoner'!$J36,'Pre 16 Ready Reckoner'!$H36))</f>
        <v>0</v>
      </c>
      <c r="LQ3">
        <f>IF(OR($B$3="AP",$B$3="Special"),"",IF('Pre 16 Ready Reckoner'!$E$38="",0,'Pre 16 Ready Reckoner'!$E$38))</f>
        <v>0</v>
      </c>
      <c r="LR3">
        <f>IF(OR($B$3="AP",$B$3="Special"),"",IF('Pre 16 Ready Reckoner'!$G$38="",0,'Pre 16 Ready Reckoner'!$G$38))</f>
        <v>0</v>
      </c>
      <c r="LS3">
        <f>IF(OR($B$3="AP",$B$3="Special"),"",IF('Pre 16 Ready Reckoner'!$H$38="",0,'Pre 16 Ready Reckoner'!$H$38))</f>
        <v>0</v>
      </c>
      <c r="LT3">
        <f>IF(OR($B$3="AP",$B$3="Special"),"",'Pre 16 Ready Reckoner'!$K$38)</f>
        <v>0</v>
      </c>
      <c r="LU3">
        <f>IF(OR($B$3="AP",$B$3="Special"),"",'Pre 16 Ready Reckoner'!$M$38)</f>
        <v>0</v>
      </c>
      <c r="LV3" t="str">
        <f>IF(OR($B$3="AP",$B$3="Special"),"",'Pre 16 Ready Reckoner'!$D$39)</f>
        <v/>
      </c>
      <c r="LW3">
        <f>IF(OR($B$3="AP",$B$3="Special"),"",'Pre 16 Ready Reckoner'!$E$39)</f>
        <v>0</v>
      </c>
      <c r="LX3" s="927">
        <f>IF(OR($B$3="AP",$B$3="Special"),"",IF('Pre 16 Ready Reckoner'!$G$39="",'Pre 16 Ready Reckoner'!$I$39,'Pre 16 Ready Reckoner'!G39))</f>
        <v>0</v>
      </c>
      <c r="LY3">
        <f>IF(OR($B$3="AP",$B$3="Special"),"",'Pre 16 Ready Reckoner'!$K$39)</f>
        <v>0</v>
      </c>
      <c r="LZ3" t="str">
        <f>IF(OR($B$3="AP",$B$3="Special"),"",'Pre 16 Ready Reckoner'!$D$40)</f>
        <v/>
      </c>
      <c r="MA3">
        <f>IF(OR($B$3="AP",$B$3="Special"),"",'Pre 16 Ready Reckoner'!$F$40)</f>
        <v>0</v>
      </c>
      <c r="MB3" s="927">
        <f>IF(OR($B$3="AP",$B$3="Special"),"",IF('Pre 16 Ready Reckoner'!H40="",'Pre 16 Ready Reckoner'!$J$40,'Pre 16 Ready Reckoner'!$H$40))</f>
        <v>0</v>
      </c>
      <c r="MC3">
        <f>IF(OR($B$3="AP",$B$3="Special"),"",'Pre 16 Ready Reckoner'!$K$40)</f>
        <v>0</v>
      </c>
      <c r="MD3">
        <f>IF(OR($B$3="AP",$B$3="Special"),"",'Pre 16 Ready Reckoner'!$M$39)</f>
        <v>0</v>
      </c>
      <c r="ME3" s="927">
        <f>IF(OR($B$3="AP",$B$3="Special"),"",'Pre 16 Ready Reckoner'!$E$41)</f>
        <v>0</v>
      </c>
      <c r="MF3" s="927">
        <f>IF(OR($B$3="AP",$B$3="Special"),"",'Pre 16 Ready Reckoner'!$F$41)</f>
        <v>0</v>
      </c>
      <c r="MG3" s="927">
        <f>IF(OR($B$3="AP",$B$3="Special"),"",'Pre 16 Ready Reckoner'!M41)</f>
        <v>0</v>
      </c>
      <c r="MH3">
        <f>IF(OR($B$3="AP",$B$3="Special"),"",'Pre 16 Ready Reckoner'!$F$43)</f>
        <v>0</v>
      </c>
      <c r="MI3">
        <f>IF(OR($B$3="AP",$B$3="Special"),"",IF('Pre 16 Ready Reckoner'!$G$43="",'Pre 16 Ready Reckoner'!$I$43,'Pre 16 Ready Reckoner'!$G$43))</f>
        <v>0</v>
      </c>
      <c r="MJ3">
        <f>IF(OR($B$3="AP",$B$3="Special"),"",'Pre 16 Ready Reckoner'!$K$43)</f>
        <v>0</v>
      </c>
      <c r="MK3">
        <f>IF(OR($B$3="AP",$B$3="Special"),"",'Pre 16 Ready Reckoner'!$E$44)</f>
        <v>0</v>
      </c>
      <c r="ML3">
        <f>IF(OR($B$3="AP",$B$3="Special"),"",'Pre 16 Ready Reckoner'!$E$45)</f>
        <v>0</v>
      </c>
      <c r="MM3">
        <f>IF(OR($B$3="AP",$B$3="Special"),"",'Pre 16 Ready Reckoner'!$E$46)</f>
        <v>0</v>
      </c>
      <c r="MN3" s="929">
        <f>IF(OR($B$3="AP",$B$3="Special"),"",'Pre 16 Ready Reckoner'!$E$47)</f>
        <v>0</v>
      </c>
      <c r="MO3">
        <f>IF(OR($B$3="AP",$B$3="Special"),"",'Pre 16 Ready Reckoner'!$F$44)</f>
        <v>0</v>
      </c>
      <c r="MP3">
        <f>IF(OR($B$3="AP",$B$3="Special"),"",IF('Pre 16 Ready Reckoner'!$G$44="",'Pre 16 Ready Reckoner'!$J$44,'Pre 16 Ready Reckoner'!$G$44))</f>
        <v>0</v>
      </c>
      <c r="MQ3">
        <f>IF(OR($B$3="AP",$B$3="Special"),"",IF('Pre 16 Ready Reckoner'!$G$45="",'Pre 16 Ready Reckoner'!$J$45,'Pre 16 Ready Reckoner'!$G$45))</f>
        <v>0</v>
      </c>
      <c r="MR3">
        <f>IF(OR($B$3="AP",$B$3="Special"),"",IF('Pre 16 Ready Reckoner'!$G$46="",'Pre 16 Ready Reckoner'!$J$46,'Pre 16 Ready Reckoner'!$G$46))</f>
        <v>0</v>
      </c>
      <c r="MS3">
        <f>IF(OR($B$3="AP",$B$3="Special"),"",IF('Pre 16 Ready Reckoner'!$G$47="",'Pre 16 Ready Reckoner'!$J$47,'Pre 16 Ready Reckoner'!$G$47))</f>
        <v>0</v>
      </c>
      <c r="MT3" s="929">
        <f>IF(OR($B$3="AP",$B$3="Special"),"",IF('Pre 16 Ready Reckoner'!$G$48="",'Pre 16 Ready Reckoner'!$J$48,'Pre 16 Ready Reckoner'!$G$48))</f>
        <v>0</v>
      </c>
      <c r="MU3">
        <f>IF(OR($B$3="AP",$B$3="Special"),"",'Pre 16 Ready Reckoner'!$K$44)</f>
        <v>0</v>
      </c>
      <c r="MV3">
        <f>IF(OR($B$3="AP",$B$3="Special"),"",'Pre 16 Ready Reckoner'!$M$43)</f>
        <v>0</v>
      </c>
      <c r="MW3">
        <f>IF(OR($B$3="AP",$B$3="Special"),"",'Pre 16 Ready Reckoner'!$E$53)</f>
        <v>0</v>
      </c>
      <c r="MX3">
        <f>IF(OR($B$3="AP",$B$3="Special"),"",'Pre 16 Ready Reckoner'!$G$53)</f>
        <v>0</v>
      </c>
      <c r="MY3">
        <f>IF(OR($B$3="AP",$B$3="Special"),"",'Pre 16 Ready Reckoner'!$M$53)</f>
        <v>0</v>
      </c>
      <c r="MZ3" s="927">
        <f>IF(OR($B$3="AP",$B$3="Special"),"",'Pre 16 Ready Reckoner'!$G55)</f>
        <v>0</v>
      </c>
      <c r="NA3" s="927">
        <f>IF(OR($B$3="AP",$B$3="Special"),"",'Pre 16 Ready Reckoner'!$J$55)</f>
        <v>0</v>
      </c>
      <c r="NB3" s="927">
        <f>IF(OR($B$3="AP",$B$3="Special"),"",'Pre 16 Ready Reckoner'!$L$55)</f>
        <v>0</v>
      </c>
      <c r="NC3" s="927">
        <f>IF(OR($B$3="AP",$B$3="Special"),"",'Pre 16 Ready Reckoner'!$M$55)</f>
        <v>0</v>
      </c>
      <c r="ND3" t="e">
        <f>IF(OR($B$3="AP",$B$3="Special"),"",'Pre 16 Ready Reckoner'!$F$59)</f>
        <v>#N/A</v>
      </c>
      <c r="NE3" t="e">
        <f>IF(OR($B$3="AP",$B$3="Special"),"",'Pre 16 Ready Reckoner'!$H$59)</f>
        <v>#N/A</v>
      </c>
      <c r="NF3" t="e">
        <f>IF(OR($B$3="AP",$B$3="Special"),"",'Pre 16 Ready Reckoner'!$J$59)</f>
        <v>#N/A</v>
      </c>
      <c r="NG3" t="e">
        <f>IF(OR($B$3="AP",$B$3="Special"),"",'Pre 16 Ready Reckoner'!$L$59)</f>
        <v>#N/A</v>
      </c>
      <c r="NH3" t="e">
        <f>IF(OR($B$3="AP",$B$3="Special"),"",'Pre 16 Ready Reckoner'!M59)</f>
        <v>#N/A</v>
      </c>
      <c r="NI3">
        <f>IF(OR($B$3="AP",$B$3="Special"),"",'Pre 16 Ready Reckoner'!$M$60)</f>
        <v>0</v>
      </c>
      <c r="NJ3" t="e">
        <f>IF(OR($B$3="AP",$B$3="Special"),"",'Pre 16 Ready Reckoner'!$M$61)</f>
        <v>#N/A</v>
      </c>
      <c r="NK3" t="e">
        <f>IF(OR($B$3="AP",$B$3="Special"),"",'Pre 16 Ready Reckoner'!M73)</f>
        <v>#N/A</v>
      </c>
      <c r="NL3">
        <f>IF(SUM(DI3,DQ3)='Post 16 Ready Reckoner'!Students,'Post 16 Ready Reckoner'!Students,0)</f>
        <v>0</v>
      </c>
      <c r="NM3">
        <f>'Post 16 Ready Reckoner'!NationalRatePerStudent</f>
        <v>4188</v>
      </c>
      <c r="NN3">
        <f>'Post 16 Ready Reckoner'!RetentionFactor</f>
        <v>0.982</v>
      </c>
      <c r="NO3">
        <f>IF('Post 16 Ready Reckoner'!PCWOverride="",'Post 16 Ready Reckoner'!PCW,'Post 16 Ready Reckoner'!PCWOverride)</f>
        <v>1.037</v>
      </c>
      <c r="NP3">
        <f>'Post 16 Ready Reckoner'!FundingAtPCW</f>
        <v>0</v>
      </c>
      <c r="NQ3" s="929">
        <f>'[0]'!L3MathsAndEnglishFunding</f>
        <v>0</v>
      </c>
      <c r="NR3" s="929">
        <f>'[0]'!FundingAtL3MathsAndEnglish</f>
        <v>0</v>
      </c>
      <c r="NS3">
        <f>'Post 16 Ready Reckoner'!DisadvantageFunding</f>
        <v>0</v>
      </c>
      <c r="NT3">
        <f>'Post 16 Ready Reckoner'!FundingAtDisadvantage</f>
        <v>0</v>
      </c>
      <c r="NU3">
        <f>'Post 16 Ready Reckoner'!TotBlock1</f>
        <v>0</v>
      </c>
      <c r="NV3">
        <f>'Post 16 Ready Reckoner'!TotBlock2</f>
        <v>0</v>
      </c>
      <c r="NW3">
        <f>'Post 16 Ready Reckoner'!MinTopUp</f>
        <v>0</v>
      </c>
      <c r="NX3" s="929">
        <f>'[0]'!HVCPFunding</f>
        <v>0</v>
      </c>
      <c r="NY3" s="929">
        <f>'[0]'!FundingAtHVCP</f>
        <v>0</v>
      </c>
      <c r="NZ3">
        <f>IF('Post 16 Ready Reckoner'!ACWOverride="",'Post 16 Ready Reckoner'!ACW,'Post 16 Ready Reckoner'!ACWOverride)</f>
        <v>0</v>
      </c>
      <c r="OA3">
        <f>'Post 16 Ready Reckoner'!$H$8</f>
        <v>0</v>
      </c>
      <c r="OB3">
        <f>IF(LEFT($B$3,1)="M",'Pupil_Place Numbers'!C$121,"")</f>
        <v>0</v>
      </c>
      <c r="OC3">
        <f>IF(LEFT($B$3,1)="M",'Pupil_Place Numbers'!D$121,"")</f>
        <v>0</v>
      </c>
      <c r="OD3">
        <f>IF(LEFT($B$3,1)="M",'Pupil_Place Numbers'!E$121,"")</f>
        <v>0</v>
      </c>
      <c r="OE3">
        <f>IF(LEFT($B$3,1)="M",'Pupil_Place Numbers'!F$121,"")</f>
        <v>0</v>
      </c>
      <c r="OF3">
        <f>IF(LEFT($B$3,1)="M",'Pupil_Place Numbers'!G$121,"")</f>
        <v>0</v>
      </c>
      <c r="OG3">
        <f>IF(LEFT($B$3,1)="M",'Pupil_Place Numbers'!H$121,"")</f>
        <v>0</v>
      </c>
      <c r="OH3">
        <f>IF(LEFT($B$3,1)="M",'Pupil_Place Numbers'!I$121,"")</f>
        <v>0</v>
      </c>
      <c r="OI3">
        <f>IF(LEFT($B$3,1)="M",'Pupil_Place Numbers'!J$121,"")</f>
        <v>0</v>
      </c>
    </row>
    <row r="6" spans="94:104" ht="14.25" customHeight="1">
      <c r="CP6" s="1259" t="s">
        <v>1168</v>
      </c>
      <c r="CQ6" s="1259"/>
      <c r="CR6" s="706"/>
      <c r="CS6" s="706"/>
      <c r="CT6" s="706"/>
      <c r="CU6" s="706"/>
      <c r="CV6" s="706"/>
      <c r="CW6" s="706"/>
      <c r="CX6" s="706"/>
      <c r="CY6" s="706"/>
      <c r="CZ6" s="706"/>
    </row>
    <row r="7" spans="94:104" ht="14.25" customHeight="1">
      <c r="CP7" s="1259"/>
      <c r="CQ7" s="1259"/>
      <c r="CR7" s="706" t="s">
        <v>359</v>
      </c>
      <c r="CS7" s="706" t="str">
        <f>IF('Pupil_Place Numbers'!C110="","",'Pupil_Place Numbers'!C110)</f>
        <v/>
      </c>
      <c r="CT7" s="706" t="str">
        <f>IF('Pupil_Place Numbers'!D110="","",'Pupil_Place Numbers'!D110)</f>
        <v/>
      </c>
      <c r="CU7" s="706" t="str">
        <f>IF('Pupil_Place Numbers'!E110="","",'Pupil_Place Numbers'!E110)</f>
        <v/>
      </c>
      <c r="CV7" s="706" t="str">
        <f>IF('Pupil_Place Numbers'!F110="","",'Pupil_Place Numbers'!F110)</f>
        <v/>
      </c>
      <c r="CW7" s="706" t="str">
        <f>IF('Pupil_Place Numbers'!G110="","",'Pupil_Place Numbers'!G110)</f>
        <v/>
      </c>
      <c r="CX7" s="706" t="str">
        <f>IF('Pupil_Place Numbers'!H110="","",'Pupil_Place Numbers'!H110)</f>
        <v/>
      </c>
      <c r="CY7" s="706" t="str">
        <f>IF('Pupil_Place Numbers'!I110="","",'Pupil_Place Numbers'!I110)</f>
        <v/>
      </c>
      <c r="CZ7" s="706" t="str">
        <f>IF('Pupil_Place Numbers'!J110="","",'Pupil_Place Numbers'!J110)</f>
        <v/>
      </c>
    </row>
    <row r="8" spans="94:104">
      <c r="CP8" s="1259"/>
      <c r="CQ8" s="1259"/>
      <c r="CR8" s="706" t="s">
        <v>360</v>
      </c>
      <c r="CS8" s="706" t="str">
        <f>IF('Pupil_Place Numbers'!C111="","",'Pupil_Place Numbers'!C111)</f>
        <v/>
      </c>
      <c r="CT8" s="706" t="str">
        <f>IF('Pupil_Place Numbers'!D111="","",'Pupil_Place Numbers'!D111)</f>
        <v/>
      </c>
      <c r="CU8" s="706" t="str">
        <f>IF('Pupil_Place Numbers'!E111="","",'Pupil_Place Numbers'!E111)</f>
        <v/>
      </c>
      <c r="CV8" s="706" t="str">
        <f>IF('Pupil_Place Numbers'!F111="","",'Pupil_Place Numbers'!F111)</f>
        <v/>
      </c>
      <c r="CW8" s="706" t="str">
        <f>IF('Pupil_Place Numbers'!G111="","",'Pupil_Place Numbers'!G111)</f>
        <v/>
      </c>
      <c r="CX8" s="706" t="str">
        <f>IF('Pupil_Place Numbers'!H111="","",'Pupil_Place Numbers'!H111)</f>
        <v/>
      </c>
      <c r="CY8" s="706" t="str">
        <f>IF('Pupil_Place Numbers'!I111="","",'Pupil_Place Numbers'!I111)</f>
        <v/>
      </c>
      <c r="CZ8" s="706" t="str">
        <f>IF('Pupil_Place Numbers'!J111="","",'Pupil_Place Numbers'!J111)</f>
        <v/>
      </c>
    </row>
    <row r="9" spans="94:104">
      <c r="CP9" s="1259"/>
      <c r="CQ9" s="1259"/>
      <c r="CR9" s="706" t="s">
        <v>361</v>
      </c>
      <c r="CS9" s="706" t="str">
        <f>IF('Pupil_Place Numbers'!C112="","",'Pupil_Place Numbers'!C112)</f>
        <v/>
      </c>
      <c r="CT9" s="706" t="str">
        <f>IF('Pupil_Place Numbers'!D112="","",'Pupil_Place Numbers'!D112)</f>
        <v/>
      </c>
      <c r="CU9" s="706" t="str">
        <f>IF('Pupil_Place Numbers'!E112="","",'Pupil_Place Numbers'!E112)</f>
        <v/>
      </c>
      <c r="CV9" s="706" t="str">
        <f>IF('Pupil_Place Numbers'!F112="","",'Pupil_Place Numbers'!F112)</f>
        <v/>
      </c>
      <c r="CW9" s="706" t="str">
        <f>IF('Pupil_Place Numbers'!G112="","",'Pupil_Place Numbers'!G112)</f>
        <v/>
      </c>
      <c r="CX9" s="706" t="str">
        <f>IF('Pupil_Place Numbers'!H112="","",'Pupil_Place Numbers'!H112)</f>
        <v/>
      </c>
      <c r="CY9" s="706" t="str">
        <f>IF('Pupil_Place Numbers'!I112="","",'Pupil_Place Numbers'!I112)</f>
        <v/>
      </c>
      <c r="CZ9" s="706" t="str">
        <f>IF('Pupil_Place Numbers'!J112="","",'Pupil_Place Numbers'!J112)</f>
        <v/>
      </c>
    </row>
    <row r="10" spans="94:104">
      <c r="CP10" s="1259"/>
      <c r="CQ10" s="1259"/>
      <c r="CR10" s="706"/>
      <c r="CS10" s="706"/>
      <c r="CT10" s="706"/>
      <c r="CU10" s="706"/>
      <c r="CV10" s="706"/>
      <c r="CW10" s="706"/>
      <c r="CX10" s="706"/>
      <c r="CY10" s="706"/>
      <c r="CZ10" s="706"/>
    </row>
  </sheetData>
  <sheetProtection algorithmName="SHA-512" hashValue="AJMIpomfl3W7Ye0piEAXBzpPSJNZbRj3Uhx71PvRUiRRrCew2W1or073pm6h/mNR/j8SleNV6AymTiWXa/uRcg==" saltValue="8LsQ+flVPlSVSMf7JCzAhg==" spinCount="100000" sheet="1" objects="1" scenarios="1"/>
  <mergeCells count="2">
    <mergeCell ref="CP6:CQ10"/>
    <mergeCell ref="KS1:KZ1"/>
  </mergeCells>
  <pageMargins left="0.7" right="0.7" top="0.75" bottom="0.75" header="0.3" footer="0.3"/>
  <pageSetup paperSize="9" orientation="portrait"/>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
  <dimension ref="A1:J33"/>
  <sheetViews>
    <sheetView topLeftCell="A28" showGridLines="0" showRowColHeaders="0" zoomScale="90" view="normal" workbookViewId="0">
      <selection pane="topLeft" activeCell="D14" sqref="D14"/>
    </sheetView>
  </sheetViews>
  <sheetFormatPr defaultColWidth="0" zeroHeight="true" defaultRowHeight="15"/>
  <cols>
    <col min="1" max="1" width="9.875" customWidth="1"/>
    <col min="2" max="2" width="14.25390625" customWidth="1"/>
    <col min="3" max="3" width="15.75390625" customWidth="1"/>
    <col min="4" max="4" width="103.00390625" customWidth="1"/>
    <col min="5" max="5" width="9.875" customWidth="1"/>
    <col min="6" max="6" width="11.625" hidden="1" customWidth="1"/>
    <col min="7" max="7" width="11.75390625" hidden="1" customWidth="1"/>
    <col min="8" max="8" width="28.125" hidden="1" customWidth="1"/>
    <col min="9" max="9" width="11.625" hidden="1" customWidth="1"/>
    <col min="10" max="10" width="11.125" hidden="1" customWidth="1"/>
    <col min="11" max="16384" width="9.00390625" hidden="1" customWidth="1"/>
  </cols>
  <sheetData>
    <row r="1"/>
    <row r="2"/>
    <row r="3" spans="4:8" ht="82.5" customHeight="1">
      <c r="D3" s="700" t="str">
        <f>IF('G2. Cover Sheet'!$C$4="UTC","UTC Financial Template 2020/21 v1.2",'G2. Cover Sheet'!$C$4&amp;" School Financial Template 2020/21 v1.2")</f>
        <v>Mainstream School Financial Template 2020/21 v1.2</v>
      </c>
      <c r="H3" s="620" t="s">
        <v>331</v>
      </c>
    </row>
    <row r="4" spans="6:10">
      <c r="F4" s="710" t="s">
        <v>0</v>
      </c>
      <c r="G4" s="711" t="s">
        <v>1</v>
      </c>
      <c r="H4" s="710" t="s">
        <v>1031</v>
      </c>
      <c r="I4" s="711" t="s">
        <v>2</v>
      </c>
      <c r="J4" s="712" t="s">
        <v>3</v>
      </c>
    </row>
    <row r="5" spans="2:10" ht="71.25" customHeight="1">
      <c r="B5" s="180" t="s">
        <v>4</v>
      </c>
      <c r="C5" s="147" t="s">
        <v>1187</v>
      </c>
      <c r="D5" s="147"/>
      <c r="E5" s="147"/>
      <c r="F5" s="713" t="s">
        <v>6</v>
      </c>
      <c r="G5" s="714" t="s">
        <v>6</v>
      </c>
      <c r="H5" s="713" t="s">
        <v>6</v>
      </c>
      <c r="I5" s="714" t="s">
        <v>6</v>
      </c>
      <c r="J5" s="715" t="s">
        <v>6</v>
      </c>
    </row>
    <row r="6" spans="2:10" ht="248.25" customHeight="1" hidden="1">
      <c r="B6" s="180" t="s">
        <v>7</v>
      </c>
      <c r="C6" s="147" t="s">
        <v>1012</v>
      </c>
      <c r="D6" s="147"/>
      <c r="E6" s="147"/>
      <c r="F6" s="713" t="s">
        <v>6</v>
      </c>
      <c r="G6" s="714" t="s">
        <v>5</v>
      </c>
      <c r="H6" s="713" t="s">
        <v>5</v>
      </c>
      <c r="I6" s="714" t="s">
        <v>5</v>
      </c>
      <c r="J6" s="715" t="s">
        <v>5</v>
      </c>
    </row>
    <row r="7" spans="2:10" ht="324" customHeight="1">
      <c r="B7" s="180" t="s">
        <v>7</v>
      </c>
      <c r="C7" s="947" t="s">
        <v>1032</v>
      </c>
      <c r="D7" s="147"/>
      <c r="E7" s="147"/>
      <c r="F7" s="713" t="s">
        <v>5</v>
      </c>
      <c r="G7" s="714" t="s">
        <v>6</v>
      </c>
      <c r="H7" s="713" t="s">
        <v>5</v>
      </c>
      <c r="I7" s="714" t="s">
        <v>5</v>
      </c>
      <c r="J7" s="715" t="s">
        <v>5</v>
      </c>
    </row>
    <row r="8" spans="2:10" ht="294" customHeight="1" hidden="1">
      <c r="B8" s="180" t="s">
        <v>7</v>
      </c>
      <c r="C8" s="947" t="s">
        <v>1013</v>
      </c>
      <c r="D8" s="147"/>
      <c r="E8" s="147"/>
      <c r="F8" s="713" t="s">
        <v>5</v>
      </c>
      <c r="G8" s="714" t="s">
        <v>5</v>
      </c>
      <c r="H8" s="713" t="s">
        <v>6</v>
      </c>
      <c r="I8" s="714" t="s">
        <v>5</v>
      </c>
      <c r="J8" s="715" t="s">
        <v>5</v>
      </c>
    </row>
    <row r="9" spans="2:10" ht="232.5" customHeight="1" hidden="1">
      <c r="B9" s="180" t="s">
        <v>7</v>
      </c>
      <c r="C9" s="147" t="s">
        <v>1014</v>
      </c>
      <c r="D9" s="147"/>
      <c r="E9" s="147"/>
      <c r="F9" s="713" t="s">
        <v>5</v>
      </c>
      <c r="G9" s="714" t="s">
        <v>5</v>
      </c>
      <c r="H9" s="713" t="s">
        <v>5</v>
      </c>
      <c r="I9" s="714" t="s">
        <v>6</v>
      </c>
      <c r="J9" s="715" t="s">
        <v>5</v>
      </c>
    </row>
    <row r="10" spans="2:10" ht="255.75" customHeight="1" hidden="1">
      <c r="B10" s="180" t="s">
        <v>7</v>
      </c>
      <c r="C10" s="946" t="s">
        <v>1015</v>
      </c>
      <c r="D10" s="946"/>
      <c r="E10" s="147"/>
      <c r="F10" s="713" t="s">
        <v>5</v>
      </c>
      <c r="G10" s="714" t="s">
        <v>5</v>
      </c>
      <c r="H10" s="713" t="s">
        <v>5</v>
      </c>
      <c r="I10" s="714" t="s">
        <v>5</v>
      </c>
      <c r="J10" s="715" t="s">
        <v>6</v>
      </c>
    </row>
    <row r="11" spans="2:10" customHeight="1">
      <c r="B11" s="1"/>
      <c r="C11" s="2" t="s">
        <v>8</v>
      </c>
      <c r="D11" s="11" t="s">
        <v>9</v>
      </c>
      <c r="E11" s="11"/>
      <c r="F11" s="713" t="s">
        <v>6</v>
      </c>
      <c r="G11" s="714" t="s">
        <v>6</v>
      </c>
      <c r="H11" s="713" t="s">
        <v>6</v>
      </c>
      <c r="I11" s="714" t="s">
        <v>6</v>
      </c>
      <c r="J11" s="715" t="s">
        <v>6</v>
      </c>
    </row>
    <row r="12" spans="2:10">
      <c r="B12" s="1"/>
      <c r="C12" s="3" t="s">
        <v>10</v>
      </c>
      <c r="D12" s="11" t="s">
        <v>11</v>
      </c>
      <c r="E12" s="11"/>
      <c r="F12" s="713" t="s">
        <v>6</v>
      </c>
      <c r="G12" s="714" t="s">
        <v>6</v>
      </c>
      <c r="H12" s="713" t="s">
        <v>6</v>
      </c>
      <c r="I12" s="714" t="s">
        <v>6</v>
      </c>
      <c r="J12" s="715" t="s">
        <v>6</v>
      </c>
    </row>
    <row r="13" spans="2:10" ht="30" customHeight="1">
      <c r="B13" s="1"/>
      <c r="C13" s="4" t="s">
        <v>12</v>
      </c>
      <c r="D13" s="11" t="s">
        <v>820</v>
      </c>
      <c r="E13" s="11"/>
      <c r="F13" s="713" t="s">
        <v>6</v>
      </c>
      <c r="G13" s="714" t="s">
        <v>6</v>
      </c>
      <c r="H13" s="713" t="s">
        <v>6</v>
      </c>
      <c r="I13" s="714" t="s">
        <v>6</v>
      </c>
      <c r="J13" s="715" t="s">
        <v>6</v>
      </c>
    </row>
    <row r="14" spans="2:10" ht="30" customHeight="1">
      <c r="B14" s="1"/>
      <c r="C14" s="5" t="s">
        <v>13</v>
      </c>
      <c r="D14" s="11" t="s">
        <v>14</v>
      </c>
      <c r="E14" s="11"/>
      <c r="F14" s="713" t="s">
        <v>6</v>
      </c>
      <c r="G14" s="714" t="s">
        <v>6</v>
      </c>
      <c r="H14" s="713" t="s">
        <v>6</v>
      </c>
      <c r="I14" s="714" t="s">
        <v>6</v>
      </c>
      <c r="J14" s="715" t="s">
        <v>6</v>
      </c>
    </row>
    <row r="15" spans="2:10" ht="60" customHeight="1">
      <c r="B15" s="1"/>
      <c r="C15" s="6" t="s">
        <v>15</v>
      </c>
      <c r="D15" s="11" t="s">
        <v>1135</v>
      </c>
      <c r="E15" s="11"/>
      <c r="F15" s="713" t="s">
        <v>6</v>
      </c>
      <c r="G15" s="714" t="s">
        <v>6</v>
      </c>
      <c r="H15" s="713" t="s">
        <v>6</v>
      </c>
      <c r="I15" s="714" t="s">
        <v>6</v>
      </c>
      <c r="J15" s="715" t="s">
        <v>6</v>
      </c>
    </row>
    <row r="16" spans="2:10" ht="30" customHeight="1">
      <c r="B16" s="1"/>
      <c r="C16" s="595" t="s">
        <v>16</v>
      </c>
      <c r="D16" s="11" t="s">
        <v>1026</v>
      </c>
      <c r="E16" s="11"/>
      <c r="F16" s="713" t="s">
        <v>5</v>
      </c>
      <c r="G16" s="714" t="s">
        <v>6</v>
      </c>
      <c r="H16" s="713" t="s">
        <v>6</v>
      </c>
      <c r="I16" s="714" t="s">
        <v>5</v>
      </c>
      <c r="J16" s="715" t="s">
        <v>6</v>
      </c>
    </row>
    <row r="17" spans="2:10" ht="71.25" customHeight="1">
      <c r="B17" s="945" t="s">
        <v>1041</v>
      </c>
      <c r="D17" s="614" t="s">
        <v>1040</v>
      </c>
      <c r="E17" s="11"/>
      <c r="F17" s="713" t="s">
        <v>6</v>
      </c>
      <c r="G17" s="714" t="s">
        <v>6</v>
      </c>
      <c r="H17" s="713" t="s">
        <v>6</v>
      </c>
      <c r="I17" s="714" t="s">
        <v>6</v>
      </c>
      <c r="J17" s="715" t="s">
        <v>6</v>
      </c>
    </row>
    <row r="18" spans="2:10" ht="44.25" customHeight="1">
      <c r="B18" s="945"/>
      <c r="C18" s="9" t="s">
        <v>17</v>
      </c>
      <c r="D18" s="10" t="s">
        <v>819</v>
      </c>
      <c r="E18" s="11"/>
      <c r="F18" s="713" t="s">
        <v>6</v>
      </c>
      <c r="G18" s="714" t="s">
        <v>6</v>
      </c>
      <c r="H18" s="713" t="s">
        <v>6</v>
      </c>
      <c r="I18" s="714" t="s">
        <v>6</v>
      </c>
      <c r="J18" s="715" t="s">
        <v>6</v>
      </c>
    </row>
    <row r="19" spans="2:10" ht="90.75" customHeight="1">
      <c r="B19" s="945"/>
      <c r="C19" s="9" t="s">
        <v>1016</v>
      </c>
      <c r="D19" s="10" t="s">
        <v>821</v>
      </c>
      <c r="E19" s="11"/>
      <c r="F19" s="713" t="s">
        <v>6</v>
      </c>
      <c r="G19" s="714" t="s">
        <v>6</v>
      </c>
      <c r="H19" s="713" t="s">
        <v>6</v>
      </c>
      <c r="I19" s="714" t="s">
        <v>6</v>
      </c>
      <c r="J19" s="715" t="s">
        <v>6</v>
      </c>
    </row>
    <row r="20" spans="2:10" ht="71.25" customHeight="1" hidden="1">
      <c r="B20" s="945"/>
      <c r="C20" s="948" t="s">
        <v>18</v>
      </c>
      <c r="D20" s="1" t="s">
        <v>1136</v>
      </c>
      <c r="E20" s="11"/>
      <c r="F20" s="713" t="s">
        <v>6</v>
      </c>
      <c r="G20" s="714" t="s">
        <v>5</v>
      </c>
      <c r="H20" s="713" t="s">
        <v>5</v>
      </c>
      <c r="I20" s="714" t="s">
        <v>6</v>
      </c>
      <c r="J20" s="715" t="s">
        <v>5</v>
      </c>
    </row>
    <row r="21" spans="2:10" ht="93.75" customHeight="1">
      <c r="B21" s="945"/>
      <c r="C21" s="948"/>
      <c r="D21" s="1" t="s">
        <v>1017</v>
      </c>
      <c r="E21" s="1"/>
      <c r="F21" s="713" t="s">
        <v>5</v>
      </c>
      <c r="G21" s="714" t="s">
        <v>6</v>
      </c>
      <c r="H21" s="713" t="s">
        <v>6</v>
      </c>
      <c r="I21" s="714" t="s">
        <v>5</v>
      </c>
      <c r="J21" s="715" t="s">
        <v>6</v>
      </c>
    </row>
    <row r="22" spans="2:10" ht="106.5" customHeight="1" hidden="1">
      <c r="B22" s="945"/>
      <c r="C22" s="948"/>
      <c r="D22" s="11" t="s">
        <v>1033</v>
      </c>
      <c r="E22" s="11"/>
      <c r="F22" s="713" t="s">
        <v>6</v>
      </c>
      <c r="G22" s="714" t="s">
        <v>5</v>
      </c>
      <c r="H22" s="713" t="s">
        <v>5</v>
      </c>
      <c r="I22" s="714" t="s">
        <v>5</v>
      </c>
      <c r="J22" s="715" t="s">
        <v>5</v>
      </c>
    </row>
    <row r="23" spans="2:10" ht="90" customHeight="1">
      <c r="B23" s="945"/>
      <c r="C23" s="948"/>
      <c r="D23" s="11" t="s">
        <v>1018</v>
      </c>
      <c r="E23" s="11"/>
      <c r="F23" s="713" t="s">
        <v>5</v>
      </c>
      <c r="G23" s="714" t="s">
        <v>6</v>
      </c>
      <c r="H23" s="713" t="s">
        <v>6</v>
      </c>
      <c r="I23" s="714" t="s">
        <v>5</v>
      </c>
      <c r="J23" s="715" t="s">
        <v>6</v>
      </c>
    </row>
    <row r="24" spans="2:10" ht="99" customHeight="1" hidden="1">
      <c r="B24" s="945"/>
      <c r="C24" s="948"/>
      <c r="D24" s="11" t="s">
        <v>1028</v>
      </c>
      <c r="E24" s="11"/>
      <c r="F24" s="713" t="s">
        <v>5</v>
      </c>
      <c r="G24" s="714" t="s">
        <v>5</v>
      </c>
      <c r="H24" s="713" t="s">
        <v>5</v>
      </c>
      <c r="I24" s="714" t="s">
        <v>6</v>
      </c>
      <c r="J24" s="715" t="s">
        <v>5</v>
      </c>
    </row>
    <row r="25" spans="2:10" ht="132.75" customHeight="1">
      <c r="B25" s="945"/>
      <c r="C25" s="949"/>
      <c r="D25" s="8" t="s">
        <v>1342</v>
      </c>
      <c r="E25" s="11"/>
      <c r="F25" s="713" t="s">
        <v>6</v>
      </c>
      <c r="G25" s="714" t="s">
        <v>6</v>
      </c>
      <c r="H25" s="713" t="s">
        <v>6</v>
      </c>
      <c r="I25" s="714" t="s">
        <v>6</v>
      </c>
      <c r="J25" s="715" t="s">
        <v>6</v>
      </c>
    </row>
    <row r="26" spans="2:10" ht="309" customHeight="1">
      <c r="B26" s="945"/>
      <c r="C26" s="149" t="s">
        <v>19</v>
      </c>
      <c r="D26" s="150" t="s">
        <v>1004</v>
      </c>
      <c r="E26" s="11"/>
      <c r="F26" s="713" t="s">
        <v>5</v>
      </c>
      <c r="G26" s="714" t="s">
        <v>6</v>
      </c>
      <c r="H26" s="713" t="s">
        <v>6</v>
      </c>
      <c r="I26" s="714" t="s">
        <v>5</v>
      </c>
      <c r="J26" s="715" t="s">
        <v>6</v>
      </c>
    </row>
    <row r="27" spans="2:10" ht="102" customHeight="1">
      <c r="B27" s="945"/>
      <c r="C27" s="7" t="s">
        <v>20</v>
      </c>
      <c r="D27" s="8" t="s">
        <v>1003</v>
      </c>
      <c r="E27" s="11"/>
      <c r="F27" s="713" t="s">
        <v>6</v>
      </c>
      <c r="G27" s="714" t="s">
        <v>6</v>
      </c>
      <c r="H27" s="713" t="s">
        <v>6</v>
      </c>
      <c r="I27" s="714" t="s">
        <v>5</v>
      </c>
      <c r="J27" s="715" t="s">
        <v>6</v>
      </c>
    </row>
    <row r="28" spans="2:10" ht="172.5" customHeight="1">
      <c r="B28" s="945"/>
      <c r="C28" s="9" t="s">
        <v>21</v>
      </c>
      <c r="D28" s="10" t="s">
        <v>1188</v>
      </c>
      <c r="E28" s="11"/>
      <c r="F28" s="713" t="s">
        <v>6</v>
      </c>
      <c r="G28" s="714" t="s">
        <v>6</v>
      </c>
      <c r="H28" s="713" t="s">
        <v>6</v>
      </c>
      <c r="I28" s="714" t="s">
        <v>6</v>
      </c>
      <c r="J28" s="715" t="s">
        <v>6</v>
      </c>
    </row>
    <row r="29" spans="2:10" ht="57.75" customHeight="1">
      <c r="B29" s="945"/>
      <c r="C29" s="9" t="s">
        <v>22</v>
      </c>
      <c r="D29" s="10" t="s">
        <v>1156</v>
      </c>
      <c r="E29" s="11"/>
      <c r="F29" s="716" t="s">
        <v>6</v>
      </c>
      <c r="G29" s="717" t="s">
        <v>6</v>
      </c>
      <c r="H29" s="716" t="s">
        <v>6</v>
      </c>
      <c r="I29" s="717" t="s">
        <v>6</v>
      </c>
      <c r="J29" s="709" t="s">
        <v>6</v>
      </c>
    </row>
    <row r="30" customHeight="1"/>
    <row r="31" customHeight="1"/>
    <row r="32" spans="1:1" hidden="1">
      <c r="A32"/>
    </row>
    <row r="33" spans="1:1" hidden="1">
      <c r="A33"/>
    </row>
  </sheetData>
  <sheetProtection algorithmName="SHA-512" hashValue="uRA49kpWEZRNLAZiVeII/I/jg4kTDyw71MauFnAipfYd9lTgNCdbNV0bxnGmgYhvYFFt0P1vS4dGBgxbBSChCg==" saltValue="/SGRrlad1CmI9Z83wVfS2g==" spinCount="100000" sheet="1" objects="1" scenarios="1"/>
  <mergeCells count="8">
    <mergeCell ref="B17:B29"/>
    <mergeCell ref="C10:D10"/>
    <mergeCell ref="C6:D6"/>
    <mergeCell ref="C5:D5"/>
    <mergeCell ref="C7:D7"/>
    <mergeCell ref="C8:D8"/>
    <mergeCell ref="C9:D9"/>
    <mergeCell ref="C20:C25"/>
  </mergeCells>
  <pageMargins left="0.7" right="0.7" top="0.75" bottom="0.75" header="0.3" footer="0.3"/>
  <pageSetup paperSize="9" orientation="portrait"/>
  <headerFooter scaleWithDoc="1" alignWithMargins="0" differentFirst="0" differentOddEven="0"/>
  <drawing r:id="rId4"/>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
  <dimension ref="B1:J55"/>
  <sheetViews>
    <sheetView topLeftCell="A25" showGridLines="0" showRowColHeaders="0" view="normal" workbookViewId="0">
      <selection pane="topLeft" activeCell="B24" sqref="B24"/>
    </sheetView>
  </sheetViews>
  <sheetFormatPr defaultColWidth="0" zeroHeight="true" defaultRowHeight="15"/>
  <cols>
    <col min="1" max="1" width="10.00390625" customWidth="1"/>
    <col min="2" max="2" width="71.375" customWidth="1"/>
    <col min="3" max="3" width="19.00390625" customWidth="1"/>
    <col min="4" max="4" width="45.875" customWidth="1"/>
    <col min="5" max="5" width="10.00390625" style="103" customWidth="1"/>
    <col min="6" max="7" width="14.00390625" hidden="1" customWidth="1"/>
    <col min="8" max="8" width="30.25390625" hidden="1" customWidth="1"/>
    <col min="9" max="10" width="14.00390625" hidden="1" customWidth="1"/>
    <col min="11" max="16384" width="9.125" hidden="1" customWidth="1"/>
  </cols>
  <sheetData>
    <row r="1" spans="2:8" ht="41.25" customHeight="1">
      <c r="B1" s="112" t="s">
        <v>459</v>
      </c>
      <c r="C1" s="137"/>
      <c r="H1" s="620" t="s">
        <v>331</v>
      </c>
    </row>
    <row r="2" spans="2:10" customHeight="1" thickBot="1">
      <c r="B2" s="112"/>
      <c r="F2" s="710" t="s">
        <v>0</v>
      </c>
      <c r="G2" s="711" t="s">
        <v>1</v>
      </c>
      <c r="H2" s="710" t="s">
        <v>1031</v>
      </c>
      <c r="I2" s="711" t="s">
        <v>2</v>
      </c>
      <c r="J2" s="712" t="s">
        <v>3</v>
      </c>
    </row>
    <row r="3" spans="2:10" ht="15.75" thickBot="1">
      <c r="B3" s="12" t="s">
        <v>23</v>
      </c>
      <c r="C3" s="113"/>
      <c r="D3" s="114"/>
      <c r="E3" s="115"/>
      <c r="F3" s="713" t="s">
        <v>6</v>
      </c>
      <c r="G3" s="714" t="s">
        <v>6</v>
      </c>
      <c r="H3" s="713" t="s">
        <v>6</v>
      </c>
      <c r="I3" s="714" t="s">
        <v>6</v>
      </c>
      <c r="J3" s="715" t="s">
        <v>6</v>
      </c>
    </row>
    <row r="4" spans="2:10" ht="15.75" thickBot="1">
      <c r="B4" s="13"/>
      <c r="C4" s="108" t="s">
        <v>456</v>
      </c>
      <c r="D4" s="108" t="s">
        <v>457</v>
      </c>
      <c r="E4" s="115"/>
      <c r="F4" s="713" t="s">
        <v>6</v>
      </c>
      <c r="G4" s="714" t="s">
        <v>6</v>
      </c>
      <c r="H4" s="713" t="s">
        <v>6</v>
      </c>
      <c r="I4" s="714" t="s">
        <v>6</v>
      </c>
      <c r="J4" s="715" t="s">
        <v>6</v>
      </c>
    </row>
    <row r="5" spans="2:10" ht="15.75" thickBot="1">
      <c r="B5" s="148" t="s">
        <v>1030</v>
      </c>
      <c r="C5" s="174" t="s">
        <v>477</v>
      </c>
      <c r="D5" s="175"/>
      <c r="E5" s="115"/>
      <c r="F5" s="713" t="s">
        <v>6</v>
      </c>
      <c r="G5" s="714" t="s">
        <v>6</v>
      </c>
      <c r="H5" s="713" t="s">
        <v>6</v>
      </c>
      <c r="I5" s="714" t="s">
        <v>6</v>
      </c>
      <c r="J5" s="715" t="s">
        <v>6</v>
      </c>
    </row>
    <row r="6" spans="2:10" ht="26.25" thickBot="1">
      <c r="B6" s="148" t="s">
        <v>24</v>
      </c>
      <c r="C6" s="174" t="s">
        <v>477</v>
      </c>
      <c r="D6" s="175"/>
      <c r="E6" s="116"/>
      <c r="F6" s="713" t="s">
        <v>6</v>
      </c>
      <c r="G6" s="714" t="s">
        <v>6</v>
      </c>
      <c r="H6" s="713" t="s">
        <v>6</v>
      </c>
      <c r="I6" s="714" t="s">
        <v>6</v>
      </c>
      <c r="J6" s="715" t="s">
        <v>6</v>
      </c>
    </row>
    <row r="7" spans="2:10" ht="26.25" thickBot="1">
      <c r="B7" s="14" t="s">
        <v>25</v>
      </c>
      <c r="C7" s="174" t="s">
        <v>477</v>
      </c>
      <c r="D7" s="175"/>
      <c r="E7" s="116"/>
      <c r="F7" s="713" t="s">
        <v>6</v>
      </c>
      <c r="G7" s="714" t="s">
        <v>6</v>
      </c>
      <c r="H7" s="713" t="s">
        <v>6</v>
      </c>
      <c r="I7" s="714" t="s">
        <v>6</v>
      </c>
      <c r="J7" s="715" t="s">
        <v>6</v>
      </c>
    </row>
    <row r="8" spans="2:10" ht="15.75" thickBot="1">
      <c r="B8" s="14" t="s">
        <v>1113</v>
      </c>
      <c r="C8" s="174" t="s">
        <v>477</v>
      </c>
      <c r="D8" s="175"/>
      <c r="E8" s="116"/>
      <c r="F8" s="713" t="s">
        <v>6</v>
      </c>
      <c r="G8" s="714" t="s">
        <v>6</v>
      </c>
      <c r="H8" s="713" t="s">
        <v>6</v>
      </c>
      <c r="I8" s="714" t="s">
        <v>6</v>
      </c>
      <c r="J8" s="715" t="s">
        <v>6</v>
      </c>
    </row>
    <row r="9" spans="2:10" ht="26.25" thickBot="1">
      <c r="B9" s="14" t="s">
        <v>733</v>
      </c>
      <c r="C9" s="174" t="s">
        <v>477</v>
      </c>
      <c r="D9" s="175"/>
      <c r="E9" s="116"/>
      <c r="F9" s="713" t="s">
        <v>5</v>
      </c>
      <c r="G9" s="714" t="s">
        <v>6</v>
      </c>
      <c r="H9" s="713" t="s">
        <v>6</v>
      </c>
      <c r="I9" s="714" t="s">
        <v>5</v>
      </c>
      <c r="J9" s="715" t="s">
        <v>6</v>
      </c>
    </row>
    <row r="10" spans="2:10" ht="26.25" thickBot="1">
      <c r="B10" s="14" t="s">
        <v>26</v>
      </c>
      <c r="C10" s="174" t="s">
        <v>477</v>
      </c>
      <c r="D10" s="175"/>
      <c r="E10" s="116"/>
      <c r="F10" s="713" t="s">
        <v>6</v>
      </c>
      <c r="G10" s="714" t="s">
        <v>6</v>
      </c>
      <c r="H10" s="713" t="s">
        <v>6</v>
      </c>
      <c r="I10" s="714" t="s">
        <v>6</v>
      </c>
      <c r="J10" s="715" t="s">
        <v>6</v>
      </c>
    </row>
    <row r="11" spans="2:10" ht="47.25" customHeight="1" thickBot="1">
      <c r="B11" s="14" t="s">
        <v>1001</v>
      </c>
      <c r="C11" s="174" t="s">
        <v>477</v>
      </c>
      <c r="D11" s="175"/>
      <c r="E11" s="116"/>
      <c r="F11" s="713" t="s">
        <v>6</v>
      </c>
      <c r="G11" s="714" t="s">
        <v>6</v>
      </c>
      <c r="H11" s="713" t="s">
        <v>6</v>
      </c>
      <c r="I11" s="714" t="s">
        <v>6</v>
      </c>
      <c r="J11" s="715" t="s">
        <v>6</v>
      </c>
    </row>
    <row r="12" spans="2:10" ht="26.25" thickBot="1">
      <c r="B12" s="14" t="s">
        <v>528</v>
      </c>
      <c r="C12" s="174" t="s">
        <v>477</v>
      </c>
      <c r="D12" s="175"/>
      <c r="E12" s="116"/>
      <c r="F12" s="713" t="s">
        <v>6</v>
      </c>
      <c r="G12" s="714" t="s">
        <v>6</v>
      </c>
      <c r="H12" s="713" t="s">
        <v>6</v>
      </c>
      <c r="I12" s="714" t="s">
        <v>6</v>
      </c>
      <c r="J12" s="715" t="s">
        <v>6</v>
      </c>
    </row>
    <row r="13" spans="2:10" ht="15.75" thickBot="1">
      <c r="B13" s="15"/>
      <c r="C13" s="15"/>
      <c r="D13" s="15"/>
      <c r="E13" s="117"/>
      <c r="F13" s="713" t="s">
        <v>6</v>
      </c>
      <c r="G13" s="714" t="s">
        <v>6</v>
      </c>
      <c r="H13" s="713" t="s">
        <v>6</v>
      </c>
      <c r="I13" s="714" t="s">
        <v>6</v>
      </c>
      <c r="J13" s="715" t="s">
        <v>6</v>
      </c>
    </row>
    <row r="14" spans="2:10" ht="15.75" thickBot="1">
      <c r="B14" s="12" t="s">
        <v>27</v>
      </c>
      <c r="C14" s="113"/>
      <c r="D14" s="114"/>
      <c r="E14" s="115"/>
      <c r="F14" s="713" t="s">
        <v>6</v>
      </c>
      <c r="G14" s="714" t="s">
        <v>6</v>
      </c>
      <c r="H14" s="713" t="s">
        <v>6</v>
      </c>
      <c r="I14" s="714" t="s">
        <v>6</v>
      </c>
      <c r="J14" s="715" t="s">
        <v>6</v>
      </c>
    </row>
    <row r="15" spans="2:10" ht="15.75" thickBot="1">
      <c r="B15" s="13"/>
      <c r="C15" s="108" t="s">
        <v>456</v>
      </c>
      <c r="D15" s="108" t="s">
        <v>457</v>
      </c>
      <c r="E15" s="115"/>
      <c r="F15" s="713" t="s">
        <v>6</v>
      </c>
      <c r="G15" s="714" t="s">
        <v>6</v>
      </c>
      <c r="H15" s="713" t="s">
        <v>6</v>
      </c>
      <c r="I15" s="714" t="s">
        <v>6</v>
      </c>
      <c r="J15" s="715" t="s">
        <v>6</v>
      </c>
    </row>
    <row r="16" spans="2:10" ht="15.75" thickBot="1">
      <c r="B16" s="16" t="s">
        <v>28</v>
      </c>
      <c r="C16" s="174" t="s">
        <v>477</v>
      </c>
      <c r="D16" s="175"/>
      <c r="E16" s="118"/>
      <c r="F16" s="713" t="s">
        <v>6</v>
      </c>
      <c r="G16" s="714" t="s">
        <v>6</v>
      </c>
      <c r="H16" s="713" t="s">
        <v>6</v>
      </c>
      <c r="I16" s="714" t="s">
        <v>6</v>
      </c>
      <c r="J16" s="715" t="s">
        <v>6</v>
      </c>
    </row>
    <row r="17" spans="2:10" ht="15.75" thickBot="1">
      <c r="B17" s="17"/>
      <c r="C17" s="17"/>
      <c r="D17" s="17"/>
      <c r="E17" s="119"/>
      <c r="F17" s="713" t="s">
        <v>6</v>
      </c>
      <c r="G17" s="714" t="s">
        <v>6</v>
      </c>
      <c r="H17" s="713" t="s">
        <v>6</v>
      </c>
      <c r="I17" s="714" t="s">
        <v>6</v>
      </c>
      <c r="J17" s="715" t="s">
        <v>6</v>
      </c>
    </row>
    <row r="18" spans="2:10" ht="15.75" thickBot="1">
      <c r="B18" s="12" t="s">
        <v>29</v>
      </c>
      <c r="C18" s="113"/>
      <c r="D18" s="114"/>
      <c r="E18" s="115"/>
      <c r="F18" s="713" t="s">
        <v>6</v>
      </c>
      <c r="G18" s="714" t="s">
        <v>6</v>
      </c>
      <c r="H18" s="713" t="s">
        <v>6</v>
      </c>
      <c r="I18" s="714" t="s">
        <v>6</v>
      </c>
      <c r="J18" s="715" t="s">
        <v>6</v>
      </c>
    </row>
    <row r="19" spans="2:10" ht="15.75" thickBot="1">
      <c r="B19" s="18"/>
      <c r="C19" s="108" t="s">
        <v>456</v>
      </c>
      <c r="D19" s="108" t="s">
        <v>457</v>
      </c>
      <c r="E19" s="120"/>
      <c r="F19" s="713" t="s">
        <v>6</v>
      </c>
      <c r="G19" s="714" t="s">
        <v>6</v>
      </c>
      <c r="H19" s="713" t="s">
        <v>6</v>
      </c>
      <c r="I19" s="714" t="s">
        <v>6</v>
      </c>
      <c r="J19" s="715" t="s">
        <v>6</v>
      </c>
    </row>
    <row r="20" spans="2:10" ht="51.75" thickBot="1">
      <c r="B20" s="20" t="s">
        <v>735</v>
      </c>
      <c r="C20" s="401" t="s">
        <v>477</v>
      </c>
      <c r="D20" s="400"/>
      <c r="E20" s="118"/>
      <c r="F20" s="713" t="s">
        <v>6</v>
      </c>
      <c r="G20" s="714" t="s">
        <v>6</v>
      </c>
      <c r="H20" s="713" t="s">
        <v>6</v>
      </c>
      <c r="I20" s="714" t="s">
        <v>6</v>
      </c>
      <c r="J20" s="715" t="s">
        <v>6</v>
      </c>
    </row>
    <row r="21" spans="2:10" ht="64.5" thickBot="1">
      <c r="B21" s="20" t="s">
        <v>1343</v>
      </c>
      <c r="C21" s="401" t="s">
        <v>477</v>
      </c>
      <c r="D21" s="400"/>
      <c r="E21" s="118"/>
      <c r="F21" s="713" t="s">
        <v>6</v>
      </c>
      <c r="G21" s="714" t="s">
        <v>6</v>
      </c>
      <c r="H21" s="713" t="s">
        <v>6</v>
      </c>
      <c r="I21" s="714" t="s">
        <v>6</v>
      </c>
      <c r="J21" s="715" t="s">
        <v>6</v>
      </c>
    </row>
    <row r="22" spans="2:10" ht="15.75" thickBot="1">
      <c r="B22" s="16" t="s">
        <v>529</v>
      </c>
      <c r="C22" s="174" t="s">
        <v>477</v>
      </c>
      <c r="D22" s="175"/>
      <c r="E22" s="118"/>
      <c r="F22" s="713" t="s">
        <v>6</v>
      </c>
      <c r="G22" s="714" t="s">
        <v>6</v>
      </c>
      <c r="H22" s="713" t="s">
        <v>6</v>
      </c>
      <c r="I22" s="714" t="s">
        <v>6</v>
      </c>
      <c r="J22" s="715" t="s">
        <v>6</v>
      </c>
    </row>
    <row r="23" spans="2:10" ht="15.75" thickBot="1">
      <c r="B23" s="16" t="s">
        <v>530</v>
      </c>
      <c r="C23" s="179" t="s">
        <v>477</v>
      </c>
      <c r="D23" s="175"/>
      <c r="E23" s="118"/>
      <c r="F23" s="713" t="s">
        <v>6</v>
      </c>
      <c r="G23" s="714" t="s">
        <v>6</v>
      </c>
      <c r="H23" s="713" t="s">
        <v>6</v>
      </c>
      <c r="I23" s="714" t="s">
        <v>6</v>
      </c>
      <c r="J23" s="715" t="s">
        <v>6</v>
      </c>
    </row>
    <row r="24" spans="2:10" ht="26.25" thickBot="1">
      <c r="B24" s="16" t="s">
        <v>30</v>
      </c>
      <c r="C24" s="179" t="s">
        <v>477</v>
      </c>
      <c r="D24" s="175"/>
      <c r="E24" s="118"/>
      <c r="F24" s="713" t="s">
        <v>6</v>
      </c>
      <c r="G24" s="714" t="s">
        <v>6</v>
      </c>
      <c r="H24" s="713" t="s">
        <v>6</v>
      </c>
      <c r="I24" s="714" t="s">
        <v>6</v>
      </c>
      <c r="J24" s="715" t="s">
        <v>6</v>
      </c>
    </row>
    <row r="25" spans="2:10" ht="39" thickBot="1">
      <c r="B25" s="19" t="s">
        <v>824</v>
      </c>
      <c r="C25" s="179" t="s">
        <v>477</v>
      </c>
      <c r="D25" s="175"/>
      <c r="E25" s="121"/>
      <c r="F25" s="713" t="s">
        <v>6</v>
      </c>
      <c r="G25" s="714" t="s">
        <v>6</v>
      </c>
      <c r="H25" s="713" t="s">
        <v>6</v>
      </c>
      <c r="I25" s="714" t="s">
        <v>6</v>
      </c>
      <c r="J25" s="715" t="s">
        <v>6</v>
      </c>
    </row>
    <row r="26" spans="2:10" ht="39" thickBot="1">
      <c r="B26" s="20" t="s">
        <v>31</v>
      </c>
      <c r="C26" s="179" t="s">
        <v>477</v>
      </c>
      <c r="D26" s="175"/>
      <c r="E26" s="118"/>
      <c r="F26" s="713" t="s">
        <v>6</v>
      </c>
      <c r="G26" s="714" t="s">
        <v>6</v>
      </c>
      <c r="H26" s="713" t="s">
        <v>6</v>
      </c>
      <c r="I26" s="714" t="s">
        <v>6</v>
      </c>
      <c r="J26" s="715" t="s">
        <v>6</v>
      </c>
    </row>
    <row r="27" spans="2:10" ht="51.75" thickBot="1">
      <c r="B27" s="402" t="s">
        <v>736</v>
      </c>
      <c r="C27" s="401" t="s">
        <v>477</v>
      </c>
      <c r="D27" s="400"/>
      <c r="E27" s="121"/>
      <c r="F27" s="713" t="s">
        <v>6</v>
      </c>
      <c r="G27" s="714" t="s">
        <v>6</v>
      </c>
      <c r="H27" s="713" t="s">
        <v>6</v>
      </c>
      <c r="I27" s="714" t="s">
        <v>6</v>
      </c>
      <c r="J27" s="715" t="s">
        <v>6</v>
      </c>
    </row>
    <row r="28" spans="2:10" ht="26.25" thickBot="1">
      <c r="B28" s="19" t="s">
        <v>32</v>
      </c>
      <c r="C28" s="179" t="s">
        <v>477</v>
      </c>
      <c r="D28" s="175"/>
      <c r="E28" s="121"/>
      <c r="F28" s="713" t="s">
        <v>6</v>
      </c>
      <c r="G28" s="714" t="s">
        <v>6</v>
      </c>
      <c r="H28" s="713" t="s">
        <v>6</v>
      </c>
      <c r="I28" s="714" t="s">
        <v>6</v>
      </c>
      <c r="J28" s="715" t="s">
        <v>6</v>
      </c>
    </row>
    <row r="29" spans="2:10" ht="15.75" thickBot="1">
      <c r="B29" s="15"/>
      <c r="C29" s="15"/>
      <c r="D29" s="15"/>
      <c r="E29" s="117"/>
      <c r="F29" s="713" t="s">
        <v>6</v>
      </c>
      <c r="G29" s="714" t="s">
        <v>6</v>
      </c>
      <c r="H29" s="713" t="s">
        <v>6</v>
      </c>
      <c r="I29" s="714" t="s">
        <v>6</v>
      </c>
      <c r="J29" s="715" t="s">
        <v>6</v>
      </c>
    </row>
    <row r="30" spans="2:10" ht="15.75" thickBot="1">
      <c r="B30" s="12" t="s">
        <v>33</v>
      </c>
      <c r="C30" s="113"/>
      <c r="D30" s="114"/>
      <c r="E30" s="115"/>
      <c r="F30" s="713" t="s">
        <v>5</v>
      </c>
      <c r="G30" s="714" t="s">
        <v>6</v>
      </c>
      <c r="H30" s="713" t="s">
        <v>6</v>
      </c>
      <c r="I30" s="714" t="s">
        <v>5</v>
      </c>
      <c r="J30" s="715" t="s">
        <v>6</v>
      </c>
    </row>
    <row r="31" spans="2:10" ht="15.75" thickBot="1">
      <c r="B31" s="13"/>
      <c r="C31" s="108" t="s">
        <v>456</v>
      </c>
      <c r="D31" s="108" t="s">
        <v>457</v>
      </c>
      <c r="E31" s="115"/>
      <c r="F31" s="713" t="s">
        <v>5</v>
      </c>
      <c r="G31" s="714" t="s">
        <v>6</v>
      </c>
      <c r="H31" s="713" t="s">
        <v>6</v>
      </c>
      <c r="I31" s="714" t="s">
        <v>5</v>
      </c>
      <c r="J31" s="715" t="s">
        <v>6</v>
      </c>
    </row>
    <row r="32" spans="2:10" ht="77.25" thickBot="1">
      <c r="B32" s="20" t="s">
        <v>737</v>
      </c>
      <c r="C32" s="403" t="s">
        <v>477</v>
      </c>
      <c r="D32" s="175"/>
      <c r="E32" s="118"/>
      <c r="F32" s="713" t="s">
        <v>5</v>
      </c>
      <c r="G32" s="714" t="s">
        <v>6</v>
      </c>
      <c r="H32" s="713" t="s">
        <v>6</v>
      </c>
      <c r="I32" s="714" t="s">
        <v>5</v>
      </c>
      <c r="J32" s="715" t="s">
        <v>6</v>
      </c>
    </row>
    <row r="33" spans="2:10" ht="15.75" thickBot="1">
      <c r="B33" s="15"/>
      <c r="C33" s="15"/>
      <c r="D33" s="15"/>
      <c r="E33" s="117"/>
      <c r="F33" s="713" t="s">
        <v>5</v>
      </c>
      <c r="G33" s="714" t="s">
        <v>6</v>
      </c>
      <c r="H33" s="713" t="s">
        <v>6</v>
      </c>
      <c r="I33" s="714" t="s">
        <v>5</v>
      </c>
      <c r="J33" s="715" t="s">
        <v>6</v>
      </c>
    </row>
    <row r="34" spans="2:10" ht="15.75" thickBot="1">
      <c r="B34" s="12" t="s">
        <v>36</v>
      </c>
      <c r="C34" s="113"/>
      <c r="D34" s="114"/>
      <c r="E34" s="115"/>
      <c r="F34" s="713" t="s">
        <v>6</v>
      </c>
      <c r="G34" s="714" t="s">
        <v>6</v>
      </c>
      <c r="H34" s="713" t="s">
        <v>6</v>
      </c>
      <c r="I34" s="714" t="s">
        <v>5</v>
      </c>
      <c r="J34" s="715" t="s">
        <v>6</v>
      </c>
    </row>
    <row r="35" spans="2:10" ht="15.75" thickBot="1">
      <c r="B35" s="13"/>
      <c r="C35" s="108" t="s">
        <v>456</v>
      </c>
      <c r="D35" s="108" t="s">
        <v>457</v>
      </c>
      <c r="E35" s="115"/>
      <c r="F35" s="713" t="s">
        <v>6</v>
      </c>
      <c r="G35" s="714" t="s">
        <v>6</v>
      </c>
      <c r="H35" s="713" t="s">
        <v>6</v>
      </c>
      <c r="I35" s="714" t="s">
        <v>5</v>
      </c>
      <c r="J35" s="715" t="s">
        <v>6</v>
      </c>
    </row>
    <row r="36" spans="2:10" ht="102.75" thickBot="1">
      <c r="B36" s="20" t="s">
        <v>1344</v>
      </c>
      <c r="C36" s="174" t="s">
        <v>477</v>
      </c>
      <c r="D36" s="175"/>
      <c r="E36" s="118"/>
      <c r="F36" s="713" t="s">
        <v>6</v>
      </c>
      <c r="G36" s="714" t="s">
        <v>6</v>
      </c>
      <c r="H36" s="713" t="s">
        <v>6</v>
      </c>
      <c r="I36" s="714" t="s">
        <v>5</v>
      </c>
      <c r="J36" s="715" t="s">
        <v>6</v>
      </c>
    </row>
    <row r="37" spans="2:10" ht="15.75" thickBot="1">
      <c r="B37" s="15"/>
      <c r="C37" s="15"/>
      <c r="D37" s="15"/>
      <c r="E37" s="117"/>
      <c r="F37" s="713" t="s">
        <v>6</v>
      </c>
      <c r="G37" s="714" t="s">
        <v>6</v>
      </c>
      <c r="H37" s="713" t="s">
        <v>6</v>
      </c>
      <c r="I37" s="714" t="s">
        <v>5</v>
      </c>
      <c r="J37" s="715" t="s">
        <v>6</v>
      </c>
    </row>
    <row r="38" spans="2:10" ht="15.75" thickBot="1">
      <c r="B38" s="12" t="s">
        <v>34</v>
      </c>
      <c r="C38" s="113"/>
      <c r="D38" s="114"/>
      <c r="E38" s="115"/>
      <c r="F38" s="713" t="s">
        <v>6</v>
      </c>
      <c r="G38" s="714" t="s">
        <v>6</v>
      </c>
      <c r="H38" s="713" t="s">
        <v>6</v>
      </c>
      <c r="I38" s="714" t="s">
        <v>6</v>
      </c>
      <c r="J38" s="715" t="s">
        <v>6</v>
      </c>
    </row>
    <row r="39" spans="2:10" ht="15.75" thickBot="1">
      <c r="B39" s="13"/>
      <c r="C39" s="108" t="s">
        <v>456</v>
      </c>
      <c r="D39" s="108" t="s">
        <v>457</v>
      </c>
      <c r="E39" s="115"/>
      <c r="F39" s="713" t="s">
        <v>6</v>
      </c>
      <c r="G39" s="714" t="s">
        <v>6</v>
      </c>
      <c r="H39" s="713" t="s">
        <v>6</v>
      </c>
      <c r="I39" s="714" t="s">
        <v>6</v>
      </c>
      <c r="J39" s="715" t="s">
        <v>6</v>
      </c>
    </row>
    <row r="40" spans="2:10" ht="39" thickBot="1">
      <c r="B40" s="20" t="s">
        <v>738</v>
      </c>
      <c r="C40" s="583" t="s">
        <v>477</v>
      </c>
      <c r="D40" s="701"/>
      <c r="E40" s="115"/>
      <c r="F40" s="713" t="s">
        <v>6</v>
      </c>
      <c r="G40" s="714" t="s">
        <v>6</v>
      </c>
      <c r="H40" s="713" t="s">
        <v>6</v>
      </c>
      <c r="I40" s="714" t="s">
        <v>6</v>
      </c>
      <c r="J40" s="715" t="s">
        <v>6</v>
      </c>
    </row>
    <row r="41" spans="2:10" ht="26.25" thickBot="1">
      <c r="B41" s="20" t="s">
        <v>1137</v>
      </c>
      <c r="C41" s="401" t="s">
        <v>477</v>
      </c>
      <c r="D41" s="400"/>
      <c r="E41" s="118"/>
      <c r="F41" s="713" t="s">
        <v>6</v>
      </c>
      <c r="G41" s="714" t="s">
        <v>6</v>
      </c>
      <c r="H41" s="713" t="s">
        <v>6</v>
      </c>
      <c r="I41" s="714" t="s">
        <v>6</v>
      </c>
      <c r="J41" s="715" t="s">
        <v>6</v>
      </c>
    </row>
    <row r="42" spans="2:10" ht="26.25" thickBot="1">
      <c r="B42" s="16" t="s">
        <v>1139</v>
      </c>
      <c r="C42" s="179" t="s">
        <v>477</v>
      </c>
      <c r="D42" s="175"/>
      <c r="E42" s="118"/>
      <c r="F42" s="713" t="s">
        <v>6</v>
      </c>
      <c r="G42" s="714" t="s">
        <v>6</v>
      </c>
      <c r="H42" s="713" t="s">
        <v>6</v>
      </c>
      <c r="I42" s="714" t="s">
        <v>6</v>
      </c>
      <c r="J42" s="715" t="s">
        <v>6</v>
      </c>
    </row>
    <row r="43" spans="2:10" ht="15.75" thickBot="1">
      <c r="B43" s="15"/>
      <c r="C43" s="15"/>
      <c r="D43" s="15"/>
      <c r="E43" s="117"/>
      <c r="F43" s="713" t="s">
        <v>6</v>
      </c>
      <c r="G43" s="714" t="s">
        <v>6</v>
      </c>
      <c r="H43" s="713" t="s">
        <v>6</v>
      </c>
      <c r="I43" s="714" t="s">
        <v>6</v>
      </c>
      <c r="J43" s="715" t="s">
        <v>6</v>
      </c>
    </row>
    <row r="44" spans="2:10" ht="15.75" thickBot="1">
      <c r="B44" s="12" t="s">
        <v>35</v>
      </c>
      <c r="C44" s="113"/>
      <c r="D44" s="114"/>
      <c r="E44" s="115"/>
      <c r="F44" s="713" t="s">
        <v>6</v>
      </c>
      <c r="G44" s="714" t="s">
        <v>6</v>
      </c>
      <c r="H44" s="713" t="s">
        <v>6</v>
      </c>
      <c r="I44" s="714" t="s">
        <v>6</v>
      </c>
      <c r="J44" s="715" t="s">
        <v>6</v>
      </c>
    </row>
    <row r="45" spans="2:10" ht="15.75" thickBot="1">
      <c r="B45" s="13"/>
      <c r="C45" s="108" t="s">
        <v>456</v>
      </c>
      <c r="D45" s="108" t="s">
        <v>457</v>
      </c>
      <c r="E45" s="115"/>
      <c r="F45" s="713" t="s">
        <v>6</v>
      </c>
      <c r="G45" s="714" t="s">
        <v>6</v>
      </c>
      <c r="H45" s="713" t="s">
        <v>6</v>
      </c>
      <c r="I45" s="714" t="s">
        <v>6</v>
      </c>
      <c r="J45" s="715" t="s">
        <v>6</v>
      </c>
    </row>
    <row r="46" spans="2:10" ht="26.25" thickBot="1">
      <c r="B46" s="16" t="s">
        <v>531</v>
      </c>
      <c r="C46" s="179" t="s">
        <v>477</v>
      </c>
      <c r="D46" s="175"/>
      <c r="E46" s="118"/>
      <c r="F46" s="716" t="s">
        <v>6</v>
      </c>
      <c r="G46" s="717" t="s">
        <v>6</v>
      </c>
      <c r="H46" s="716" t="s">
        <v>6</v>
      </c>
      <c r="I46" s="717" t="s">
        <v>6</v>
      </c>
      <c r="J46" s="709" t="s">
        <v>6</v>
      </c>
    </row>
    <row r="47"/>
    <row r="48"/>
    <row r="49"/>
    <row r="50"/>
    <row r="51"/>
    <row r="52"/>
    <row r="53"/>
    <row r="54"/>
    <row r="55"/>
  </sheetData>
  <sheetProtection algorithmName="SHA-512" hashValue="XAulNycRHIAU7UiV3YJEaHA2V9bJxiFJru1rWXHzWOhVdLwRZiTSt/epsIYeHvGreJXwril3GP+ywwqEI9ViuA==" saltValue="x10uoxCM2h3QMF2uDg2i3g==" spinCount="100000" sheet="1" objects="1" scenarios="1"/>
  <dataValidations count="2" disablePrompts="1">
    <dataValidation type="list" allowBlank="1" showInputMessage="1" showErrorMessage="1" sqref="C46 C16 C32 C36 C20:C27 C11:C12 C40:C42 C5:C9">
      <formula1>Checklist1_List</formula1>
    </dataValidation>
    <dataValidation type="list" allowBlank="1" showInputMessage="1" showErrorMessage="1" sqref="C28 C10">
      <formula1>Checklist2_List</formula1>
    </dataValidation>
  </dataValidations>
  <pageMargins left="0.7" right="0.7" top="0.75" bottom="0.75" header="0.3" footer="0.3"/>
  <pageSetup paperSize="9" orientation="portrait"/>
  <headerFooter scaleWithDoc="1" alignWithMargins="0" differentFirst="0" differentOddEven="0"/>
  <drawing r:id="rId2"/>
  <legacyDrawing r:id="rId3"/>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
  <dimension ref="A1:L50"/>
  <sheetViews>
    <sheetView topLeftCell="A19" showGridLines="0" showRowColHeaders="0" zoomScale="120" view="normal" tabSelected="1" workbookViewId="0">
      <selection pane="topLeft" activeCell="B47" sqref="B47"/>
    </sheetView>
  </sheetViews>
  <sheetFormatPr defaultColWidth="0" zeroHeight="true" defaultRowHeight="15"/>
  <cols>
    <col min="1" max="1" width="17.125" style="157" customWidth="1"/>
    <col min="2" max="2" width="33.75390625" style="157" customWidth="1"/>
    <col min="3" max="3" width="44.625" style="157" customWidth="1"/>
    <col min="4" max="4" width="17.125" style="157" customWidth="1"/>
    <col min="5" max="5" width="10.75390625" style="157" hidden="1" customWidth="1"/>
    <col min="6" max="6" width="13.875" style="157" hidden="1" customWidth="1"/>
    <col min="7" max="7" width="28.625" style="157" hidden="1" customWidth="1"/>
    <col min="8" max="9" width="10.75390625" style="157" hidden="1" customWidth="1"/>
    <col min="10" max="10" width="9.125" style="157" hidden="1" customWidth="1"/>
    <col min="11" max="11" width="16.375" style="157" hidden="1" customWidth="1"/>
    <col min="12" max="12" width="19.875" style="157" hidden="1" customWidth="1"/>
    <col min="13" max="16384" width="9.125" style="157" hidden="1" customWidth="1"/>
  </cols>
  <sheetData>
    <row r="1"/>
    <row r="2" spans="3:12" ht="59.25" customHeight="1">
      <c r="C2" s="619" t="str">
        <f>'G1. Guidance'!D3</f>
        <v>Mainstream School Financial Template 2020/21 v1.2</v>
      </c>
      <c r="E2" s="950" t="s">
        <v>331</v>
      </c>
      <c r="F2" s="950"/>
      <c r="G2" s="950"/>
      <c r="H2" s="950"/>
      <c r="I2" s="950"/>
      <c r="K2" s="951" t="s">
        <v>155</v>
      </c>
      <c r="L2" s="951"/>
    </row>
    <row r="3" spans="5:12" ht="31.5" customHeight="1">
      <c r="E3" s="710" t="s">
        <v>0</v>
      </c>
      <c r="F3" s="711" t="s">
        <v>1</v>
      </c>
      <c r="G3" s="710" t="s">
        <v>1031</v>
      </c>
      <c r="H3" s="711" t="s">
        <v>2</v>
      </c>
      <c r="I3" s="712" t="s">
        <v>3</v>
      </c>
      <c r="K3" s="724" t="s">
        <v>156</v>
      </c>
      <c r="L3" s="725" t="s">
        <v>157</v>
      </c>
    </row>
    <row r="4" spans="2:12" ht="31.5" customHeight="1">
      <c r="B4" s="181" t="s">
        <v>153</v>
      </c>
      <c r="C4" s="569" t="s">
        <v>1</v>
      </c>
      <c r="E4" s="718" t="s">
        <v>6</v>
      </c>
      <c r="F4" s="719" t="s">
        <v>6</v>
      </c>
      <c r="G4" s="718" t="s">
        <v>6</v>
      </c>
      <c r="H4" s="719" t="s">
        <v>6</v>
      </c>
      <c r="I4" s="720" t="s">
        <v>6</v>
      </c>
      <c r="K4" s="713"/>
      <c r="L4" s="726"/>
    </row>
    <row r="5" spans="2:12" customHeight="1">
      <c r="B5" s="182"/>
      <c r="C5" s="182"/>
      <c r="E5" s="718" t="s">
        <v>6</v>
      </c>
      <c r="F5" s="719" t="s">
        <v>6</v>
      </c>
      <c r="G5" s="718" t="s">
        <v>6</v>
      </c>
      <c r="H5" s="719" t="s">
        <v>6</v>
      </c>
      <c r="I5" s="720" t="s">
        <v>6</v>
      </c>
      <c r="K5" s="713"/>
      <c r="L5" s="726"/>
    </row>
    <row r="6" spans="2:12" ht="31.5" customHeight="1">
      <c r="B6" s="181" t="s">
        <v>37</v>
      </c>
      <c r="C6" s="183" t="s">
        <v>157</v>
      </c>
      <c r="D6" s="158"/>
      <c r="E6" s="718" t="s">
        <v>6</v>
      </c>
      <c r="F6" s="719" t="s">
        <v>6</v>
      </c>
      <c r="G6" s="718" t="s">
        <v>6</v>
      </c>
      <c r="H6" s="719" t="s">
        <v>6</v>
      </c>
      <c r="I6" s="720" t="s">
        <v>6</v>
      </c>
      <c r="K6" s="713"/>
      <c r="L6" s="726"/>
    </row>
    <row r="7" spans="2:12" customHeight="1">
      <c r="B7" s="184"/>
      <c r="C7" s="423"/>
      <c r="D7" s="158"/>
      <c r="E7" s="718" t="s">
        <v>6</v>
      </c>
      <c r="F7" s="719" t="s">
        <v>6</v>
      </c>
      <c r="G7" s="718" t="s">
        <v>6</v>
      </c>
      <c r="H7" s="719" t="s">
        <v>6</v>
      </c>
      <c r="I7" s="720" t="s">
        <v>6</v>
      </c>
      <c r="K7" s="713"/>
      <c r="L7" s="726"/>
    </row>
    <row r="8" spans="2:12" ht="31.5" customHeight="1">
      <c r="B8" s="181" t="str">
        <f>"Name of proposed "&amp; IF(School_Type_Value="UTC","UTC","school")</f>
        <v>Name of proposed school</v>
      </c>
      <c r="C8" s="618"/>
      <c r="D8" s="158"/>
      <c r="E8" s="718" t="s">
        <v>6</v>
      </c>
      <c r="F8" s="719" t="s">
        <v>6</v>
      </c>
      <c r="G8" s="718" t="s">
        <v>6</v>
      </c>
      <c r="H8" s="719" t="s">
        <v>6</v>
      </c>
      <c r="I8" s="720" t="s">
        <v>6</v>
      </c>
      <c r="K8" s="713"/>
      <c r="L8" s="726"/>
    </row>
    <row r="9" spans="2:12" customHeight="1">
      <c r="B9" s="184"/>
      <c r="C9" s="423"/>
      <c r="D9" s="158"/>
      <c r="E9" s="718" t="s">
        <v>6</v>
      </c>
      <c r="F9" s="719" t="s">
        <v>6</v>
      </c>
      <c r="G9" s="718" t="s">
        <v>6</v>
      </c>
      <c r="H9" s="719" t="s">
        <v>6</v>
      </c>
      <c r="I9" s="720" t="s">
        <v>6</v>
      </c>
      <c r="K9" s="713"/>
      <c r="L9" s="726"/>
    </row>
    <row r="10" spans="2:12" ht="31.5" customHeight="1">
      <c r="B10" s="181" t="s">
        <v>38</v>
      </c>
      <c r="C10" s="183"/>
      <c r="D10" s="158"/>
      <c r="E10" s="718" t="s">
        <v>6</v>
      </c>
      <c r="F10" s="719" t="s">
        <v>6</v>
      </c>
      <c r="G10" s="718" t="s">
        <v>6</v>
      </c>
      <c r="H10" s="719" t="s">
        <v>6</v>
      </c>
      <c r="I10" s="720" t="s">
        <v>6</v>
      </c>
      <c r="K10" s="713"/>
      <c r="L10" s="726"/>
    </row>
    <row r="11" spans="2:12" customHeight="1">
      <c r="B11" s="185"/>
      <c r="C11" s="184"/>
      <c r="D11" s="158"/>
      <c r="E11" s="718" t="s">
        <v>6</v>
      </c>
      <c r="F11" s="719" t="s">
        <v>6</v>
      </c>
      <c r="G11" s="718" t="s">
        <v>6</v>
      </c>
      <c r="H11" s="719" t="s">
        <v>6</v>
      </c>
      <c r="I11" s="720" t="s">
        <v>6</v>
      </c>
      <c r="K11" s="713"/>
      <c r="L11" s="726"/>
    </row>
    <row r="12" spans="2:12" ht="31.5" customHeight="1">
      <c r="B12" s="181" t="s">
        <v>1189</v>
      </c>
      <c r="C12" s="183"/>
      <c r="D12" s="570"/>
      <c r="E12" s="718" t="s">
        <v>6</v>
      </c>
      <c r="F12" s="719" t="s">
        <v>6</v>
      </c>
      <c r="G12" s="718" t="s">
        <v>6</v>
      </c>
      <c r="H12" s="719" t="s">
        <v>6</v>
      </c>
      <c r="I12" s="720" t="s">
        <v>6</v>
      </c>
      <c r="K12" s="713"/>
      <c r="L12" s="726"/>
    </row>
    <row r="13" spans="2:12" customHeight="1">
      <c r="B13" s="185"/>
      <c r="C13" s="184"/>
      <c r="D13" s="158"/>
      <c r="E13" s="718" t="s">
        <v>6</v>
      </c>
      <c r="F13" s="719" t="s">
        <v>6</v>
      </c>
      <c r="G13" s="718" t="s">
        <v>6</v>
      </c>
      <c r="H13" s="719" t="s">
        <v>6</v>
      </c>
      <c r="I13" s="720" t="s">
        <v>6</v>
      </c>
      <c r="K13" s="713"/>
      <c r="L13" s="726"/>
    </row>
    <row r="14" spans="2:12" ht="31.5" customHeight="1">
      <c r="B14" s="181" t="s">
        <v>39</v>
      </c>
      <c r="C14" s="569" t="str">
        <f ca="1">IFERROR(INDEX(LA_Region_List,MATCH(LA_Name_Value,LA_Name_List,0)),"—")</f>
        <v>—</v>
      </c>
      <c r="D14" s="158"/>
      <c r="E14" s="718" t="s">
        <v>6</v>
      </c>
      <c r="F14" s="719" t="s">
        <v>6</v>
      </c>
      <c r="G14" s="718" t="s">
        <v>6</v>
      </c>
      <c r="H14" s="719" t="s">
        <v>6</v>
      </c>
      <c r="I14" s="720" t="s">
        <v>6</v>
      </c>
      <c r="K14" s="713"/>
      <c r="L14" s="726"/>
    </row>
    <row r="15" spans="2:12" customHeight="1">
      <c r="B15" s="184"/>
      <c r="C15" s="184"/>
      <c r="D15" s="158"/>
      <c r="E15" s="718" t="s">
        <v>6</v>
      </c>
      <c r="F15" s="719" t="s">
        <v>6</v>
      </c>
      <c r="G15" s="718" t="s">
        <v>6</v>
      </c>
      <c r="H15" s="719" t="s">
        <v>6</v>
      </c>
      <c r="I15" s="720" t="s">
        <v>6</v>
      </c>
      <c r="K15" s="713"/>
      <c r="L15" s="726"/>
    </row>
    <row r="16" spans="2:12" ht="31.5" customHeight="1">
      <c r="B16" s="181" t="s">
        <v>40</v>
      </c>
      <c r="C16" s="186">
        <v>44075</v>
      </c>
      <c r="D16" s="158"/>
      <c r="E16" s="718" t="s">
        <v>6</v>
      </c>
      <c r="F16" s="719" t="s">
        <v>6</v>
      </c>
      <c r="G16" s="718" t="s">
        <v>6</v>
      </c>
      <c r="H16" s="719" t="s">
        <v>6</v>
      </c>
      <c r="I16" s="720" t="s">
        <v>6</v>
      </c>
      <c r="K16" s="713"/>
      <c r="L16" s="726"/>
    </row>
    <row r="17" spans="2:12" customHeight="1">
      <c r="B17" s="184"/>
      <c r="C17" s="184"/>
      <c r="D17" s="158"/>
      <c r="E17" s="718" t="s">
        <v>6</v>
      </c>
      <c r="F17" s="719" t="s">
        <v>6</v>
      </c>
      <c r="G17" s="718" t="s">
        <v>6</v>
      </c>
      <c r="H17" s="719" t="s">
        <v>6</v>
      </c>
      <c r="I17" s="720" t="s">
        <v>6</v>
      </c>
      <c r="K17" s="713"/>
      <c r="L17" s="726"/>
    </row>
    <row r="18" spans="2:12" ht="31.5" customHeight="1">
      <c r="B18" s="181" t="s">
        <v>1045</v>
      </c>
      <c r="C18" s="183" t="s">
        <v>165</v>
      </c>
      <c r="D18" s="158"/>
      <c r="E18" s="718" t="s">
        <v>6</v>
      </c>
      <c r="F18" s="719" t="s">
        <v>6</v>
      </c>
      <c r="G18" s="718" t="s">
        <v>6</v>
      </c>
      <c r="H18" s="719" t="s">
        <v>6</v>
      </c>
      <c r="I18" s="720" t="s">
        <v>6</v>
      </c>
      <c r="K18" s="713"/>
      <c r="L18" s="726"/>
    </row>
    <row r="19" spans="2:12" customHeight="1">
      <c r="B19" s="184"/>
      <c r="C19" s="184"/>
      <c r="D19" s="158"/>
      <c r="E19" s="718" t="s">
        <v>6</v>
      </c>
      <c r="F19" s="719" t="s">
        <v>6</v>
      </c>
      <c r="G19" s="718" t="s">
        <v>6</v>
      </c>
      <c r="H19" s="719" t="s">
        <v>6</v>
      </c>
      <c r="I19" s="720" t="s">
        <v>6</v>
      </c>
      <c r="K19" s="713"/>
      <c r="L19" s="726"/>
    </row>
    <row r="20" spans="2:12" ht="31.5" customHeight="1">
      <c r="B20" s="422" t="s">
        <v>41</v>
      </c>
      <c r="C20" s="618"/>
      <c r="D20" s="158"/>
      <c r="E20" s="718" t="s">
        <v>6</v>
      </c>
      <c r="F20" s="719" t="s">
        <v>6</v>
      </c>
      <c r="G20" s="718" t="s">
        <v>6</v>
      </c>
      <c r="H20" s="719" t="s">
        <v>6</v>
      </c>
      <c r="I20" s="720" t="s">
        <v>6</v>
      </c>
      <c r="K20" s="713"/>
      <c r="L20" s="726"/>
    </row>
    <row r="21" spans="2:12" ht="31.5" customHeight="1" hidden="1">
      <c r="B21" s="421" t="s">
        <v>773</v>
      </c>
      <c r="C21" s="952"/>
      <c r="D21" s="158"/>
      <c r="E21" s="718" t="s">
        <v>5</v>
      </c>
      <c r="F21" s="719" t="s">
        <v>5</v>
      </c>
      <c r="G21" s="718" t="s">
        <v>5</v>
      </c>
      <c r="H21" s="719" t="s">
        <v>5</v>
      </c>
      <c r="I21" s="720" t="s">
        <v>6</v>
      </c>
      <c r="K21" s="713"/>
      <c r="L21" s="726"/>
    </row>
    <row r="22" spans="2:12" customHeight="1">
      <c r="B22" s="423"/>
      <c r="C22" s="423"/>
      <c r="D22" s="158"/>
      <c r="E22" s="718" t="s">
        <v>6</v>
      </c>
      <c r="F22" s="719" t="s">
        <v>6</v>
      </c>
      <c r="G22" s="718" t="s">
        <v>6</v>
      </c>
      <c r="H22" s="719" t="s">
        <v>6</v>
      </c>
      <c r="I22" s="720" t="s">
        <v>6</v>
      </c>
      <c r="K22" s="713"/>
      <c r="L22" s="726"/>
    </row>
    <row r="23" spans="2:12" ht="31.5" customHeight="1" hidden="1">
      <c r="B23" s="181" t="s">
        <v>42</v>
      </c>
      <c r="C23" s="183"/>
      <c r="D23" s="158"/>
      <c r="E23" s="718" t="s">
        <v>6</v>
      </c>
      <c r="F23" s="719" t="s">
        <v>5</v>
      </c>
      <c r="G23" s="718" t="s">
        <v>5</v>
      </c>
      <c r="H23" s="719" t="s">
        <v>5</v>
      </c>
      <c r="I23" s="720" t="s">
        <v>5</v>
      </c>
      <c r="K23" s="713"/>
      <c r="L23" s="726"/>
    </row>
    <row r="24" spans="2:12" customHeight="1" hidden="1">
      <c r="B24" s="184"/>
      <c r="C24" s="184"/>
      <c r="D24" s="158"/>
      <c r="E24" s="718" t="s">
        <v>6</v>
      </c>
      <c r="F24" s="719" t="s">
        <v>5</v>
      </c>
      <c r="G24" s="718" t="s">
        <v>5</v>
      </c>
      <c r="H24" s="719" t="s">
        <v>5</v>
      </c>
      <c r="I24" s="720" t="s">
        <v>5</v>
      </c>
      <c r="K24" s="713"/>
      <c r="L24" s="726"/>
    </row>
    <row r="25" spans="2:12" ht="31.5" customHeight="1">
      <c r="B25" s="181" t="s">
        <v>154</v>
      </c>
      <c r="C25" s="183"/>
      <c r="D25" s="158"/>
      <c r="E25" s="718" t="s">
        <v>6</v>
      </c>
      <c r="F25" s="719" t="s">
        <v>6</v>
      </c>
      <c r="G25" s="718" t="s">
        <v>6</v>
      </c>
      <c r="H25" s="719" t="s">
        <v>6</v>
      </c>
      <c r="I25" s="720" t="s">
        <v>6</v>
      </c>
      <c r="K25" s="713"/>
      <c r="L25" s="726"/>
    </row>
    <row r="26" spans="2:12" customHeight="1">
      <c r="B26" s="187"/>
      <c r="C26" s="184"/>
      <c r="D26" s="158"/>
      <c r="E26" s="718" t="s">
        <v>6</v>
      </c>
      <c r="F26" s="719" t="s">
        <v>6</v>
      </c>
      <c r="G26" s="718" t="s">
        <v>6</v>
      </c>
      <c r="H26" s="719" t="s">
        <v>6</v>
      </c>
      <c r="I26" s="720" t="s">
        <v>6</v>
      </c>
      <c r="K26" s="713"/>
      <c r="L26" s="726"/>
    </row>
    <row r="27" spans="2:12" ht="31.5" customHeight="1">
      <c r="B27" s="181" t="s">
        <v>1044</v>
      </c>
      <c r="C27" s="188" t="s">
        <v>1182</v>
      </c>
      <c r="D27" s="158"/>
      <c r="E27" s="718" t="s">
        <v>6</v>
      </c>
      <c r="F27" s="719" t="s">
        <v>6</v>
      </c>
      <c r="G27" s="718" t="s">
        <v>6</v>
      </c>
      <c r="H27" s="719" t="s">
        <v>6</v>
      </c>
      <c r="I27" s="720" t="s">
        <v>6</v>
      </c>
      <c r="J27"/>
      <c r="K27" s="713"/>
      <c r="L27" s="726"/>
    </row>
    <row r="28" spans="2:12" customHeight="1">
      <c r="B28" s="184"/>
      <c r="C28" s="184"/>
      <c r="D28" s="158"/>
      <c r="E28" s="718" t="s">
        <v>6</v>
      </c>
      <c r="F28" s="719" t="s">
        <v>6</v>
      </c>
      <c r="G28" s="718" t="s">
        <v>6</v>
      </c>
      <c r="H28" s="719" t="s">
        <v>6</v>
      </c>
      <c r="I28" s="720" t="s">
        <v>6</v>
      </c>
      <c r="J28"/>
      <c r="K28" s="713"/>
      <c r="L28" s="726"/>
    </row>
    <row r="29" spans="2:12" ht="31.5" customHeight="1" hidden="1">
      <c r="B29" s="181" t="s">
        <v>43</v>
      </c>
      <c r="C29" s="183" t="s">
        <v>477</v>
      </c>
      <c r="D29" s="158"/>
      <c r="E29" s="718" t="s">
        <v>5</v>
      </c>
      <c r="F29" s="719" t="s">
        <v>5</v>
      </c>
      <c r="G29" s="718" t="s">
        <v>5</v>
      </c>
      <c r="H29" s="719" t="s">
        <v>6</v>
      </c>
      <c r="I29" s="720" t="s">
        <v>5</v>
      </c>
      <c r="J29"/>
      <c r="K29" s="713"/>
      <c r="L29" s="726"/>
    </row>
    <row r="30" spans="2:12" customHeight="1" hidden="1">
      <c r="B30" s="184"/>
      <c r="C30" s="184"/>
      <c r="D30" s="158"/>
      <c r="E30" s="718" t="s">
        <v>5</v>
      </c>
      <c r="F30" s="719" t="s">
        <v>5</v>
      </c>
      <c r="G30" s="718" t="s">
        <v>5</v>
      </c>
      <c r="H30" s="719" t="s">
        <v>6</v>
      </c>
      <c r="I30" s="720" t="s">
        <v>5</v>
      </c>
      <c r="K30" s="713"/>
      <c r="L30" s="726"/>
    </row>
    <row r="31" spans="2:12" ht="31.5" customHeight="1" hidden="1">
      <c r="B31" s="181" t="s">
        <v>44</v>
      </c>
      <c r="C31" s="183" t="s">
        <v>477</v>
      </c>
      <c r="D31" s="158"/>
      <c r="E31" s="718" t="s">
        <v>5</v>
      </c>
      <c r="F31" s="719" t="s">
        <v>5</v>
      </c>
      <c r="G31" s="718" t="s">
        <v>5</v>
      </c>
      <c r="H31" s="719" t="s">
        <v>6</v>
      </c>
      <c r="I31" s="720" t="s">
        <v>5</v>
      </c>
      <c r="K31" s="713"/>
      <c r="L31" s="726"/>
    </row>
    <row r="32" spans="2:12" customHeight="1" hidden="1">
      <c r="B32" s="184"/>
      <c r="C32" s="184"/>
      <c r="D32" s="158"/>
      <c r="E32" s="718" t="s">
        <v>5</v>
      </c>
      <c r="F32" s="719" t="s">
        <v>5</v>
      </c>
      <c r="G32" s="718" t="s">
        <v>5</v>
      </c>
      <c r="H32" s="719" t="s">
        <v>6</v>
      </c>
      <c r="I32" s="720" t="s">
        <v>5</v>
      </c>
      <c r="K32" s="713"/>
      <c r="L32" s="726"/>
    </row>
    <row r="33" spans="2:12" ht="31.5" customHeight="1" hidden="1">
      <c r="B33" s="181" t="s">
        <v>45</v>
      </c>
      <c r="C33" s="183" t="s">
        <v>477</v>
      </c>
      <c r="D33" s="158"/>
      <c r="E33" s="718" t="s">
        <v>5</v>
      </c>
      <c r="F33" s="719" t="s">
        <v>5</v>
      </c>
      <c r="G33" s="718" t="s">
        <v>5</v>
      </c>
      <c r="H33" s="719" t="s">
        <v>6</v>
      </c>
      <c r="I33" s="720" t="s">
        <v>5</v>
      </c>
      <c r="K33" s="713"/>
      <c r="L33" s="726"/>
    </row>
    <row r="34" spans="2:12" customHeight="1" hidden="1">
      <c r="B34" s="184"/>
      <c r="C34" s="184"/>
      <c r="D34" s="158"/>
      <c r="E34" s="718" t="s">
        <v>5</v>
      </c>
      <c r="F34" s="719" t="s">
        <v>5</v>
      </c>
      <c r="G34" s="718" t="s">
        <v>5</v>
      </c>
      <c r="H34" s="719" t="s">
        <v>6</v>
      </c>
      <c r="I34" s="720" t="s">
        <v>5</v>
      </c>
      <c r="K34" s="713"/>
      <c r="L34" s="726"/>
    </row>
    <row r="35" spans="2:12" ht="31.5" customHeight="1" hidden="1">
      <c r="B35" s="181" t="s">
        <v>46</v>
      </c>
      <c r="C35" s="183" t="s">
        <v>477</v>
      </c>
      <c r="D35" s="158"/>
      <c r="E35" s="718" t="s">
        <v>5</v>
      </c>
      <c r="F35" s="719" t="s">
        <v>5</v>
      </c>
      <c r="G35" s="718" t="s">
        <v>5</v>
      </c>
      <c r="H35" s="719" t="s">
        <v>6</v>
      </c>
      <c r="I35" s="720" t="s">
        <v>5</v>
      </c>
      <c r="K35" s="713"/>
      <c r="L35" s="726"/>
    </row>
    <row r="36" spans="2:12" customHeight="1" hidden="1">
      <c r="B36" s="184"/>
      <c r="C36" s="184"/>
      <c r="D36" s="158"/>
      <c r="E36" s="718" t="s">
        <v>5</v>
      </c>
      <c r="F36" s="719" t="s">
        <v>5</v>
      </c>
      <c r="G36" s="718" t="s">
        <v>5</v>
      </c>
      <c r="H36" s="719" t="s">
        <v>6</v>
      </c>
      <c r="I36" s="720" t="s">
        <v>5</v>
      </c>
      <c r="K36" s="713"/>
      <c r="L36" s="726"/>
    </row>
    <row r="37" spans="2:12" ht="31.5" customHeight="1" hidden="1">
      <c r="B37" s="181" t="s">
        <v>1138</v>
      </c>
      <c r="C37" s="183" t="s">
        <v>477</v>
      </c>
      <c r="D37" s="158"/>
      <c r="E37" s="718" t="s">
        <v>6</v>
      </c>
      <c r="F37" s="719" t="s">
        <v>5</v>
      </c>
      <c r="G37" s="718" t="s">
        <v>5</v>
      </c>
      <c r="H37" s="719" t="s">
        <v>6</v>
      </c>
      <c r="I37" s="720" t="s">
        <v>5</v>
      </c>
      <c r="K37" s="713"/>
      <c r="L37" s="726"/>
    </row>
    <row r="38" spans="2:12" customHeight="1" hidden="1">
      <c r="B38" s="184"/>
      <c r="C38" s="184"/>
      <c r="D38" s="158"/>
      <c r="E38" s="718" t="s">
        <v>6</v>
      </c>
      <c r="F38" s="719" t="s">
        <v>5</v>
      </c>
      <c r="G38" s="718" t="s">
        <v>5</v>
      </c>
      <c r="H38" s="719" t="s">
        <v>6</v>
      </c>
      <c r="I38" s="720" t="s">
        <v>5</v>
      </c>
      <c r="K38" s="713"/>
      <c r="L38" s="726"/>
    </row>
    <row r="39" spans="2:12" ht="31.5" customHeight="1">
      <c r="B39" s="181" t="s">
        <v>1046</v>
      </c>
      <c r="C39" s="183" t="s">
        <v>168</v>
      </c>
      <c r="D39" s="158"/>
      <c r="E39" s="718" t="s">
        <v>6</v>
      </c>
      <c r="F39" s="719" t="s">
        <v>6</v>
      </c>
      <c r="G39" s="718" t="s">
        <v>6</v>
      </c>
      <c r="H39" s="719" t="s">
        <v>6</v>
      </c>
      <c r="I39" s="720" t="s">
        <v>6</v>
      </c>
      <c r="K39" s="713"/>
      <c r="L39" s="726"/>
    </row>
    <row r="40" spans="2:12" customHeight="1">
      <c r="B40" s="184"/>
      <c r="C40" s="184"/>
      <c r="E40" s="718" t="s">
        <v>6</v>
      </c>
      <c r="F40" s="719" t="s">
        <v>6</v>
      </c>
      <c r="G40" s="718" t="s">
        <v>6</v>
      </c>
      <c r="H40" s="719" t="s">
        <v>6</v>
      </c>
      <c r="I40" s="720" t="s">
        <v>6</v>
      </c>
      <c r="K40" s="713"/>
      <c r="L40" s="726"/>
    </row>
    <row r="41" spans="2:12" ht="31.5" customHeight="1">
      <c r="B41" s="181" t="s">
        <v>50</v>
      </c>
      <c r="C41" s="183" t="s">
        <v>477</v>
      </c>
      <c r="E41" s="721" t="s">
        <v>6</v>
      </c>
      <c r="F41" s="722" t="s">
        <v>6</v>
      </c>
      <c r="G41" s="721" t="s">
        <v>6</v>
      </c>
      <c r="H41" s="722" t="s">
        <v>6</v>
      </c>
      <c r="I41" s="723" t="s">
        <v>6</v>
      </c>
      <c r="K41" s="721" t="s">
        <v>5</v>
      </c>
      <c r="L41" s="727" t="s">
        <v>6</v>
      </c>
    </row>
    <row r="42" ht="31.5" customHeight="1"/>
    <row r="43"/>
    <row r="44"/>
    <row r="45"/>
    <row r="46"/>
    <row r="47"/>
    <row r="48"/>
    <row r="49"/>
    <row r="50"/>
  </sheetData>
  <mergeCells count="3">
    <mergeCell ref="E2:I2"/>
    <mergeCell ref="K2:L2"/>
    <mergeCell ref="C20:C21"/>
  </mergeCells>
  <dataValidations count="14">
    <dataValidation type="list" allowBlank="1" showInputMessage="1" sqref="C6">
      <formula1>Proposition_Stage_List</formula1>
    </dataValidation>
    <dataValidation type="list" allowBlank="1" showInputMessage="1" showErrorMessage="1" sqref="C16">
      <formula1>Opening_Date_List</formula1>
    </dataValidation>
    <dataValidation type="list" allowBlank="1" showInputMessage="1" showErrorMessage="1" sqref="C10">
      <formula1>LA_Name_List</formula1>
    </dataValidation>
    <dataValidation type="list" allowBlank="1" showInputMessage="1" sqref="C37">
      <formula1>Independent_School_List</formula1>
    </dataValidation>
    <dataValidation type="list" allowBlank="1" showInputMessage="1" sqref="C39">
      <formula1>Insurance_List</formula1>
    </dataValidation>
    <dataValidation type="list" allowBlank="1" showInputMessage="1" showErrorMessage="1" sqref="C41">
      <formula1>Version_List</formula1>
    </dataValidation>
    <dataValidation type="list" allowBlank="1" showInputMessage="1" showErrorMessage="1" prompt="Dropdown will be locked unless previous dropdowns have been completed." sqref="C35">
      <formula1>IF(AND($C$29&lt;&gt;"Please Select",$C$29&lt;&gt;"",$C$31&lt;&gt;"Please Select",$C$31&lt;&gt;"",$C$33&lt;&gt;"Please Select",$C$33&lt;&gt;""),SEN4_List)</formula1>
    </dataValidation>
    <dataValidation type="list" allowBlank="1" showInputMessage="1" showErrorMessage="1" prompt="Dropdown will be locked unless previous dropdowns have been completed or if subsequent dropdown has been completed." sqref="C33">
      <formula1>IF(AND(AND($C$29&lt;&gt;"Please Select",$C$29&lt;&gt;""),AND($C$31&lt;&gt;"Please Select",$C$31&lt;&gt;""),OR($C$35="Please Select",$C$35="")),SEN3_List)</formula1>
    </dataValidation>
    <dataValidation type="list" allowBlank="1" showInputMessage="1" showErrorMessage="1" prompt="Dropdown will be locked unless previous dropdown has been completed or if subsequent dropdowns have been completed." sqref="C31">
      <formula1>IF(AND(AND($C$29&lt;&gt;"Please Select",$C$29&lt;&gt;""),OR($C$33="Please Select",$C$33=""),OR($C$35="Please Select",$C$35="")),SEN2_List)</formula1>
    </dataValidation>
    <dataValidation type="list" allowBlank="1" showInputMessage="1" sqref="C18">
      <formula1>IF(AND(School_Type_Value&lt;&gt;"Studio School",School_Type_Value&lt;&gt;"UTC"),Age_Range_List)</formula1>
    </dataValidation>
    <dataValidation type="decimal" operator="greaterThan" allowBlank="1" showInputMessage="1" showErrorMessage="1" errorTitle="Invalid Entry" error="You may only enter a number greater than zero." sqref="C20:C21">
      <formula1>0</formula1>
    </dataValidation>
    <dataValidation type="date" operator="greaterThanOrEqual" allowBlank="1" showInputMessage="1" showErrorMessage="1" sqref="C27">
      <formula1>43185</formula1>
    </dataValidation>
    <dataValidation type="list" allowBlank="1" showInputMessage="1" showErrorMessage="1" prompt="Dropdown will be locked if subsequent dropdowns have been completed." sqref="C29">
      <formula1>IF(AND(OR($C$31="Please Select",$C$31=""),OR($C$33="Please Select",$C$33=""),OR($C$35="Please Select",$C$35="")),SEN1_List)</formula1>
    </dataValidation>
    <dataValidation type="list" allowBlank="1" showInputMessage="1" showErrorMessage="1" sqref="C12">
      <formula1>LA_Name_List_1819</formula1>
    </dataValidation>
  </dataValidations>
  <pageMargins left="0.7" right="0.7" top="0.75" bottom="0.75" header="0.3" footer="0.3"/>
  <pageSetup paperSize="9" orientation="portrait"/>
  <headerFooter scaleWithDoc="1" alignWithMargins="0" differentFirst="0" differentOddEven="0"/>
  <drawing r:id="rId4"/>
  <legacyDrawing r:id="rId5"/>
  <extLst/>
</worksheet>
</file>

<file path=xl/worksheets/sheet5.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4"/>
  <dimension ref="A1:AN160"/>
  <sheetViews>
    <sheetView topLeftCell="A1" showGridLines="0" showRowColHeaders="0" view="normal" workbookViewId="0">
      <pane ySplit="3" topLeftCell="A4" activePane="bottomLeft" state="frozen"/>
      <selection pane="bottomLeft" activeCell="C35" sqref="C35:E36"/>
    </sheetView>
  </sheetViews>
  <sheetFormatPr defaultColWidth="0" zeroHeight="true" defaultRowHeight="15"/>
  <cols>
    <col min="1" max="1" width="10.00390625" style="177" customWidth="1"/>
    <col min="2" max="2" width="59.375" style="177" customWidth="1"/>
    <col min="3" max="9" width="9.125" style="177" customWidth="1"/>
    <col min="10" max="10" width="9.875" style="177" customWidth="1"/>
    <col min="11" max="11" width="10.00390625" style="177" customWidth="1"/>
    <col min="12" max="13" width="11.625" style="177" hidden="1" customWidth="1"/>
    <col min="14" max="14" width="11.00390625" style="177" hidden="1" customWidth="1"/>
    <col min="15" max="15" width="11.875" style="177" hidden="1" customWidth="1"/>
    <col min="16" max="16" width="11.75390625" style="177" hidden="1" customWidth="1"/>
    <col min="17" max="18" width="11.00390625" style="177" hidden="1" customWidth="1"/>
    <col min="19" max="19" width="12.75390625" style="177" hidden="1" customWidth="1"/>
    <col min="20" max="25" width="12.25390625" style="177" hidden="1" customWidth="1"/>
    <col min="26" max="32" width="28.00390625" style="177" hidden="1" customWidth="1"/>
    <col min="33" max="33" width="12.625" style="177" hidden="1" customWidth="1"/>
    <col min="34" max="40" width="12.75390625" style="177" hidden="1" customWidth="1"/>
    <col min="41" max="16384" width="9.125" style="177" hidden="1" customWidth="1"/>
  </cols>
  <sheetData>
    <row r="1" spans="3:40" ht="52.5" customHeight="1">
      <c r="C1" s="953" t="s">
        <v>577</v>
      </c>
      <c r="D1" s="953"/>
      <c r="E1" s="953"/>
      <c r="F1" s="953"/>
      <c r="G1" s="953"/>
      <c r="H1" s="953"/>
      <c r="I1" s="953"/>
      <c r="J1" s="953"/>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row>
    <row r="2" spans="12:40" ht="22.5" customHeight="1">
      <c r="L2" s="177" t="s">
        <v>331</v>
      </c>
      <c r="M2" s="724" t="s">
        <v>0</v>
      </c>
      <c r="N2" s="728" t="s">
        <v>0</v>
      </c>
      <c r="O2" s="724" t="s">
        <v>0</v>
      </c>
      <c r="P2" s="728" t="s">
        <v>0</v>
      </c>
      <c r="Q2" s="724" t="s">
        <v>0</v>
      </c>
      <c r="R2" s="728" t="s">
        <v>0</v>
      </c>
      <c r="S2" s="724" t="s">
        <v>1</v>
      </c>
      <c r="T2" s="728" t="s">
        <v>1</v>
      </c>
      <c r="U2" s="724" t="s">
        <v>1</v>
      </c>
      <c r="V2" s="728" t="s">
        <v>1</v>
      </c>
      <c r="W2" s="724" t="s">
        <v>1</v>
      </c>
      <c r="X2" s="728" t="s">
        <v>1</v>
      </c>
      <c r="Y2" s="724" t="s">
        <v>1</v>
      </c>
      <c r="Z2" s="728" t="s">
        <v>1031</v>
      </c>
      <c r="AA2" s="724" t="s">
        <v>1031</v>
      </c>
      <c r="AB2" s="728" t="s">
        <v>1031</v>
      </c>
      <c r="AC2" s="724" t="s">
        <v>1031</v>
      </c>
      <c r="AD2" s="728" t="s">
        <v>1031</v>
      </c>
      <c r="AE2" s="724" t="s">
        <v>1031</v>
      </c>
      <c r="AF2" s="728" t="s">
        <v>1031</v>
      </c>
      <c r="AG2" s="724" t="s">
        <v>2</v>
      </c>
      <c r="AH2" s="728" t="s">
        <v>2</v>
      </c>
      <c r="AI2" s="724" t="s">
        <v>2</v>
      </c>
      <c r="AJ2" s="728" t="s">
        <v>2</v>
      </c>
      <c r="AK2" s="724" t="s">
        <v>2</v>
      </c>
      <c r="AL2" s="728" t="s">
        <v>2</v>
      </c>
      <c r="AM2" s="724" t="s">
        <v>2</v>
      </c>
      <c r="AN2" s="725" t="s">
        <v>3</v>
      </c>
    </row>
    <row r="3" spans="3:40" ht="30" customHeight="1">
      <c r="C3" s="123" t="str">
        <f>IF(OR(Opening_Date_Value="Please Select",Opening_Date_Value=""),"--",YEAR(EDATE(Opening_Date_Value,-8)) &amp; "/" &amp; RIGHT(YEAR(EDATE(Opening_Date_Value,4)),2))</f>
        <v>2020/21</v>
      </c>
      <c r="D3" s="68" t="str">
        <f>IF(OR(Opening_Date_Value="Please Select",Opening_Date_Value=""),"--",YEAR(EDATE(Opening_Date_Value,4)) &amp; "/" &amp; RIGHT(YEAR(EDATE(Opening_Date_Value,16)),2))</f>
        <v>2021/22</v>
      </c>
      <c r="E3" s="68" t="str">
        <f>IF(OR(Opening_Date_Value="Please Select",Opening_Date_Value=""),"--",YEAR(EDATE(Opening_Date_Value,16)) &amp; "/" &amp; RIGHT(YEAR(EDATE(Opening_Date_Value,28)),2))</f>
        <v>2022/23</v>
      </c>
      <c r="F3" s="68" t="str">
        <f>IF(OR(Opening_Date_Value="Please Select",Opening_Date_Value=""),"--",YEAR(EDATE(Opening_Date_Value,28)) &amp; "/" &amp; RIGHT(YEAR(EDATE(Opening_Date_Value,40)),2))</f>
        <v>2023/24</v>
      </c>
      <c r="G3" s="68" t="str">
        <f>IF(OR(Opening_Date_Value="Please Select",Opening_Date_Value=""),"--",YEAR(EDATE(Opening_Date_Value,40)) &amp; "/" &amp; RIGHT(YEAR(EDATE(Opening_Date_Value,56)),2))</f>
        <v>2024/25</v>
      </c>
      <c r="H3" s="68" t="str">
        <f>IF(OR(Opening_Date_Value="Please Select",Opening_Date_Value=""),"--",YEAR(EDATE(Opening_Date_Value,56)) &amp; "/" &amp; RIGHT(YEAR(EDATE(Opening_Date_Value,68)),2))</f>
        <v>2025/26</v>
      </c>
      <c r="I3" s="68" t="str">
        <f>IF(OR(Opening_Date_Value="Please Select",Opening_Date_Value=""),"--",YEAR(EDATE(Opening_Date_Value,68)) &amp; "/" &amp; RIGHT(YEAR(EDATE(Opening_Date_Value,80)),2))</f>
        <v>2026/27</v>
      </c>
      <c r="J3" s="124" t="str">
        <f>IF(OR(Opening_Date_Value="Please Select",Opening_Date_Value=""),"--",YEAR(EDATE(Opening_Date_Value,80)) &amp; "/" &amp; RIGHT(YEAR(EDATE(Opening_Date_Value,92)),2))</f>
        <v>2027/28</v>
      </c>
      <c r="L3" s="177" t="s">
        <v>159</v>
      </c>
      <c r="M3" s="710" t="s">
        <v>477</v>
      </c>
      <c r="N3" s="728" t="s">
        <v>160</v>
      </c>
      <c r="O3" s="724" t="s">
        <v>161</v>
      </c>
      <c r="P3" s="728" t="s">
        <v>162</v>
      </c>
      <c r="Q3" s="724" t="s">
        <v>163</v>
      </c>
      <c r="R3" s="728" t="s">
        <v>164</v>
      </c>
      <c r="S3" s="710" t="s">
        <v>477</v>
      </c>
      <c r="T3" s="728" t="s">
        <v>160</v>
      </c>
      <c r="U3" s="724" t="s">
        <v>161</v>
      </c>
      <c r="V3" s="728" t="s">
        <v>162</v>
      </c>
      <c r="W3" s="724" t="s">
        <v>163</v>
      </c>
      <c r="X3" s="728" t="s">
        <v>164</v>
      </c>
      <c r="Y3" s="724" t="s">
        <v>165</v>
      </c>
      <c r="Z3" s="711" t="s">
        <v>477</v>
      </c>
      <c r="AA3" s="724" t="s">
        <v>160</v>
      </c>
      <c r="AB3" s="728" t="s">
        <v>161</v>
      </c>
      <c r="AC3" s="724" t="s">
        <v>162</v>
      </c>
      <c r="AD3" s="728" t="s">
        <v>163</v>
      </c>
      <c r="AE3" s="724" t="s">
        <v>164</v>
      </c>
      <c r="AF3" s="728" t="s">
        <v>165</v>
      </c>
      <c r="AG3" s="710" t="s">
        <v>477</v>
      </c>
      <c r="AH3" s="728" t="s">
        <v>160</v>
      </c>
      <c r="AI3" s="724" t="s">
        <v>161</v>
      </c>
      <c r="AJ3" s="728" t="s">
        <v>162</v>
      </c>
      <c r="AK3" s="724" t="s">
        <v>163</v>
      </c>
      <c r="AL3" s="728" t="s">
        <v>164</v>
      </c>
      <c r="AM3" s="724" t="s">
        <v>165</v>
      </c>
      <c r="AN3" s="729" t="s">
        <v>478</v>
      </c>
    </row>
    <row r="4" spans="2:40" hidden="1">
      <c r="B4" s="177" t="s">
        <v>460</v>
      </c>
      <c r="C4" s="630"/>
      <c r="D4" s="630"/>
      <c r="E4" s="630"/>
      <c r="F4" s="630"/>
      <c r="G4" s="630"/>
      <c r="H4" s="630"/>
      <c r="I4" s="630"/>
      <c r="J4" s="630"/>
      <c r="M4" s="713" t="s">
        <v>6</v>
      </c>
      <c r="N4" s="714" t="s">
        <v>6</v>
      </c>
      <c r="O4" s="713" t="s">
        <v>5</v>
      </c>
      <c r="P4" s="714" t="s">
        <v>5</v>
      </c>
      <c r="Q4" s="713" t="s">
        <v>6</v>
      </c>
      <c r="R4" s="714" t="s">
        <v>6</v>
      </c>
      <c r="S4" s="713" t="s">
        <v>5</v>
      </c>
      <c r="T4" s="714" t="s">
        <v>5</v>
      </c>
      <c r="U4" s="713" t="s">
        <v>5</v>
      </c>
      <c r="V4" s="714" t="s">
        <v>5</v>
      </c>
      <c r="W4" s="713" t="s">
        <v>5</v>
      </c>
      <c r="X4" s="714" t="s">
        <v>5</v>
      </c>
      <c r="Y4" s="713" t="s">
        <v>5</v>
      </c>
      <c r="Z4" s="714" t="s">
        <v>5</v>
      </c>
      <c r="AA4" s="713" t="s">
        <v>5</v>
      </c>
      <c r="AB4" s="714" t="s">
        <v>5</v>
      </c>
      <c r="AC4" s="713" t="s">
        <v>5</v>
      </c>
      <c r="AD4" s="714" t="s">
        <v>5</v>
      </c>
      <c r="AE4" s="713" t="s">
        <v>5</v>
      </c>
      <c r="AF4" s="714" t="s">
        <v>5</v>
      </c>
      <c r="AG4" s="713" t="s">
        <v>5</v>
      </c>
      <c r="AH4" s="714" t="s">
        <v>5</v>
      </c>
      <c r="AI4" s="713" t="s">
        <v>5</v>
      </c>
      <c r="AJ4" s="714" t="s">
        <v>5</v>
      </c>
      <c r="AK4" s="713" t="s">
        <v>5</v>
      </c>
      <c r="AL4" s="714" t="s">
        <v>5</v>
      </c>
      <c r="AM4" s="713" t="s">
        <v>5</v>
      </c>
      <c r="AN4" s="726" t="s">
        <v>5</v>
      </c>
    </row>
    <row r="5" spans="2:40" hidden="1">
      <c r="B5" s="177" t="s">
        <v>461</v>
      </c>
      <c r="C5" s="581"/>
      <c r="D5" s="630"/>
      <c r="E5" s="630"/>
      <c r="F5" s="581"/>
      <c r="G5" s="581"/>
      <c r="H5" s="581"/>
      <c r="I5" s="581"/>
      <c r="J5" s="581"/>
      <c r="M5" s="713" t="s">
        <v>6</v>
      </c>
      <c r="N5" s="714" t="s">
        <v>6</v>
      </c>
      <c r="O5" s="713" t="s">
        <v>5</v>
      </c>
      <c r="P5" s="714" t="s">
        <v>5</v>
      </c>
      <c r="Q5" s="713" t="s">
        <v>6</v>
      </c>
      <c r="R5" s="714" t="s">
        <v>6</v>
      </c>
      <c r="S5" s="713" t="s">
        <v>5</v>
      </c>
      <c r="T5" s="714" t="s">
        <v>5</v>
      </c>
      <c r="U5" s="713" t="s">
        <v>5</v>
      </c>
      <c r="V5" s="714" t="s">
        <v>5</v>
      </c>
      <c r="W5" s="713" t="s">
        <v>5</v>
      </c>
      <c r="X5" s="714" t="s">
        <v>5</v>
      </c>
      <c r="Y5" s="713" t="s">
        <v>5</v>
      </c>
      <c r="Z5" s="714" t="s">
        <v>5</v>
      </c>
      <c r="AA5" s="713" t="s">
        <v>5</v>
      </c>
      <c r="AB5" s="714" t="s">
        <v>5</v>
      </c>
      <c r="AC5" s="713" t="s">
        <v>5</v>
      </c>
      <c r="AD5" s="714" t="s">
        <v>5</v>
      </c>
      <c r="AE5" s="713" t="s">
        <v>5</v>
      </c>
      <c r="AF5" s="714" t="s">
        <v>5</v>
      </c>
      <c r="AG5" s="713" t="s">
        <v>5</v>
      </c>
      <c r="AH5" s="714" t="s">
        <v>5</v>
      </c>
      <c r="AI5" s="713" t="s">
        <v>5</v>
      </c>
      <c r="AJ5" s="714" t="s">
        <v>5</v>
      </c>
      <c r="AK5" s="713" t="s">
        <v>5</v>
      </c>
      <c r="AL5" s="714" t="s">
        <v>5</v>
      </c>
      <c r="AM5" s="713" t="s">
        <v>5</v>
      </c>
      <c r="AN5" s="726" t="s">
        <v>5</v>
      </c>
    </row>
    <row r="6" spans="2:40" hidden="1">
      <c r="B6" s="177" t="s">
        <v>462</v>
      </c>
      <c r="C6" s="581"/>
      <c r="D6" s="581"/>
      <c r="E6" s="630"/>
      <c r="F6" s="581"/>
      <c r="G6" s="581"/>
      <c r="H6" s="581"/>
      <c r="I6" s="581"/>
      <c r="J6" s="581"/>
      <c r="M6" s="713" t="s">
        <v>6</v>
      </c>
      <c r="N6" s="714" t="s">
        <v>6</v>
      </c>
      <c r="O6" s="713" t="s">
        <v>5</v>
      </c>
      <c r="P6" s="714" t="s">
        <v>5</v>
      </c>
      <c r="Q6" s="713" t="s">
        <v>6</v>
      </c>
      <c r="R6" s="714" t="s">
        <v>6</v>
      </c>
      <c r="S6" s="713" t="s">
        <v>5</v>
      </c>
      <c r="T6" s="714" t="s">
        <v>5</v>
      </c>
      <c r="U6" s="713" t="s">
        <v>5</v>
      </c>
      <c r="V6" s="714" t="s">
        <v>5</v>
      </c>
      <c r="W6" s="713" t="s">
        <v>5</v>
      </c>
      <c r="X6" s="714" t="s">
        <v>5</v>
      </c>
      <c r="Y6" s="713" t="s">
        <v>5</v>
      </c>
      <c r="Z6" s="714" t="s">
        <v>5</v>
      </c>
      <c r="AA6" s="713" t="s">
        <v>5</v>
      </c>
      <c r="AB6" s="714" t="s">
        <v>5</v>
      </c>
      <c r="AC6" s="713" t="s">
        <v>5</v>
      </c>
      <c r="AD6" s="714" t="s">
        <v>5</v>
      </c>
      <c r="AE6" s="713" t="s">
        <v>5</v>
      </c>
      <c r="AF6" s="714" t="s">
        <v>5</v>
      </c>
      <c r="AG6" s="713" t="s">
        <v>5</v>
      </c>
      <c r="AH6" s="714" t="s">
        <v>5</v>
      </c>
      <c r="AI6" s="713" t="s">
        <v>5</v>
      </c>
      <c r="AJ6" s="714" t="s">
        <v>5</v>
      </c>
      <c r="AK6" s="713" t="s">
        <v>5</v>
      </c>
      <c r="AL6" s="714" t="s">
        <v>5</v>
      </c>
      <c r="AM6" s="713" t="s">
        <v>5</v>
      </c>
      <c r="AN6" s="726" t="s">
        <v>5</v>
      </c>
    </row>
    <row r="7" spans="2:40" hidden="1">
      <c r="B7" s="177" t="s">
        <v>463</v>
      </c>
      <c r="C7" s="581"/>
      <c r="D7" s="581"/>
      <c r="E7" s="581"/>
      <c r="F7" s="581"/>
      <c r="G7" s="581"/>
      <c r="H7" s="581"/>
      <c r="I7" s="581"/>
      <c r="J7" s="581"/>
      <c r="M7" s="713" t="s">
        <v>6</v>
      </c>
      <c r="N7" s="714" t="s">
        <v>6</v>
      </c>
      <c r="O7" s="713" t="s">
        <v>5</v>
      </c>
      <c r="P7" s="714" t="s">
        <v>5</v>
      </c>
      <c r="Q7" s="713" t="s">
        <v>6</v>
      </c>
      <c r="R7" s="714" t="s">
        <v>6</v>
      </c>
      <c r="S7" s="713" t="s">
        <v>5</v>
      </c>
      <c r="T7" s="714" t="s">
        <v>5</v>
      </c>
      <c r="U7" s="713" t="s">
        <v>5</v>
      </c>
      <c r="V7" s="714" t="s">
        <v>5</v>
      </c>
      <c r="W7" s="713" t="s">
        <v>5</v>
      </c>
      <c r="X7" s="714" t="s">
        <v>5</v>
      </c>
      <c r="Y7" s="713" t="s">
        <v>5</v>
      </c>
      <c r="Z7" s="714" t="s">
        <v>5</v>
      </c>
      <c r="AA7" s="713" t="s">
        <v>5</v>
      </c>
      <c r="AB7" s="714" t="s">
        <v>5</v>
      </c>
      <c r="AC7" s="713" t="s">
        <v>5</v>
      </c>
      <c r="AD7" s="714" t="s">
        <v>5</v>
      </c>
      <c r="AE7" s="713" t="s">
        <v>5</v>
      </c>
      <c r="AF7" s="714" t="s">
        <v>5</v>
      </c>
      <c r="AG7" s="713" t="s">
        <v>5</v>
      </c>
      <c r="AH7" s="714" t="s">
        <v>5</v>
      </c>
      <c r="AI7" s="713" t="s">
        <v>5</v>
      </c>
      <c r="AJ7" s="714" t="s">
        <v>5</v>
      </c>
      <c r="AK7" s="713" t="s">
        <v>5</v>
      </c>
      <c r="AL7" s="714" t="s">
        <v>5</v>
      </c>
      <c r="AM7" s="713" t="s">
        <v>5</v>
      </c>
      <c r="AN7" s="726" t="s">
        <v>5</v>
      </c>
    </row>
    <row r="8" spans="2:40" hidden="1">
      <c r="B8" s="177" t="s">
        <v>464</v>
      </c>
      <c r="C8" s="581"/>
      <c r="D8" s="581"/>
      <c r="E8" s="581"/>
      <c r="F8" s="581"/>
      <c r="G8" s="581"/>
      <c r="H8" s="581"/>
      <c r="I8" s="581"/>
      <c r="J8" s="581"/>
      <c r="M8" s="713" t="s">
        <v>6</v>
      </c>
      <c r="N8" s="714" t="s">
        <v>6</v>
      </c>
      <c r="O8" s="713" t="s">
        <v>5</v>
      </c>
      <c r="P8" s="714" t="s">
        <v>5</v>
      </c>
      <c r="Q8" s="713" t="s">
        <v>6</v>
      </c>
      <c r="R8" s="714" t="s">
        <v>6</v>
      </c>
      <c r="S8" s="713" t="s">
        <v>5</v>
      </c>
      <c r="T8" s="714" t="s">
        <v>5</v>
      </c>
      <c r="U8" s="713" t="s">
        <v>5</v>
      </c>
      <c r="V8" s="714" t="s">
        <v>5</v>
      </c>
      <c r="W8" s="713" t="s">
        <v>5</v>
      </c>
      <c r="X8" s="714" t="s">
        <v>5</v>
      </c>
      <c r="Y8" s="713" t="s">
        <v>5</v>
      </c>
      <c r="Z8" s="714" t="s">
        <v>5</v>
      </c>
      <c r="AA8" s="713" t="s">
        <v>5</v>
      </c>
      <c r="AB8" s="714" t="s">
        <v>5</v>
      </c>
      <c r="AC8" s="713" t="s">
        <v>5</v>
      </c>
      <c r="AD8" s="714" t="s">
        <v>5</v>
      </c>
      <c r="AE8" s="713" t="s">
        <v>5</v>
      </c>
      <c r="AF8" s="714" t="s">
        <v>5</v>
      </c>
      <c r="AG8" s="713" t="s">
        <v>5</v>
      </c>
      <c r="AH8" s="714" t="s">
        <v>5</v>
      </c>
      <c r="AI8" s="713" t="s">
        <v>5</v>
      </c>
      <c r="AJ8" s="714" t="s">
        <v>5</v>
      </c>
      <c r="AK8" s="713" t="s">
        <v>5</v>
      </c>
      <c r="AL8" s="714" t="s">
        <v>5</v>
      </c>
      <c r="AM8" s="713" t="s">
        <v>5</v>
      </c>
      <c r="AN8" s="726" t="s">
        <v>5</v>
      </c>
    </row>
    <row r="9" spans="2:40" hidden="1">
      <c r="B9" s="177" t="s">
        <v>465</v>
      </c>
      <c r="C9" s="581"/>
      <c r="D9" s="581"/>
      <c r="E9" s="581"/>
      <c r="F9" s="581"/>
      <c r="G9" s="581"/>
      <c r="H9" s="581"/>
      <c r="I9" s="581"/>
      <c r="J9" s="581"/>
      <c r="M9" s="713" t="s">
        <v>6</v>
      </c>
      <c r="N9" s="714" t="s">
        <v>6</v>
      </c>
      <c r="O9" s="713" t="s">
        <v>5</v>
      </c>
      <c r="P9" s="714" t="s">
        <v>5</v>
      </c>
      <c r="Q9" s="713" t="s">
        <v>6</v>
      </c>
      <c r="R9" s="714" t="s">
        <v>6</v>
      </c>
      <c r="S9" s="713" t="s">
        <v>5</v>
      </c>
      <c r="T9" s="714" t="s">
        <v>5</v>
      </c>
      <c r="U9" s="713" t="s">
        <v>5</v>
      </c>
      <c r="V9" s="714" t="s">
        <v>5</v>
      </c>
      <c r="W9" s="713" t="s">
        <v>5</v>
      </c>
      <c r="X9" s="714" t="s">
        <v>5</v>
      </c>
      <c r="Y9" s="713" t="s">
        <v>5</v>
      </c>
      <c r="Z9" s="714" t="s">
        <v>5</v>
      </c>
      <c r="AA9" s="713" t="s">
        <v>5</v>
      </c>
      <c r="AB9" s="714" t="s">
        <v>5</v>
      </c>
      <c r="AC9" s="713" t="s">
        <v>5</v>
      </c>
      <c r="AD9" s="714" t="s">
        <v>5</v>
      </c>
      <c r="AE9" s="713" t="s">
        <v>5</v>
      </c>
      <c r="AF9" s="714" t="s">
        <v>5</v>
      </c>
      <c r="AG9" s="713" t="s">
        <v>5</v>
      </c>
      <c r="AH9" s="714" t="s">
        <v>5</v>
      </c>
      <c r="AI9" s="713" t="s">
        <v>5</v>
      </c>
      <c r="AJ9" s="714" t="s">
        <v>5</v>
      </c>
      <c r="AK9" s="713" t="s">
        <v>5</v>
      </c>
      <c r="AL9" s="714" t="s">
        <v>5</v>
      </c>
      <c r="AM9" s="713" t="s">
        <v>5</v>
      </c>
      <c r="AN9" s="726" t="s">
        <v>5</v>
      </c>
    </row>
    <row r="10" spans="2:40" hidden="1">
      <c r="B10" s="177" t="s">
        <v>466</v>
      </c>
      <c r="C10" s="581"/>
      <c r="D10" s="581"/>
      <c r="E10" s="581"/>
      <c r="F10" s="581"/>
      <c r="G10" s="581"/>
      <c r="H10" s="581"/>
      <c r="I10" s="581"/>
      <c r="J10" s="581"/>
      <c r="M10" s="713" t="s">
        <v>6</v>
      </c>
      <c r="N10" s="714" t="s">
        <v>6</v>
      </c>
      <c r="O10" s="713" t="s">
        <v>5</v>
      </c>
      <c r="P10" s="714" t="s">
        <v>5</v>
      </c>
      <c r="Q10" s="713" t="s">
        <v>6</v>
      </c>
      <c r="R10" s="714" t="s">
        <v>6</v>
      </c>
      <c r="S10" s="713" t="s">
        <v>5</v>
      </c>
      <c r="T10" s="714" t="s">
        <v>5</v>
      </c>
      <c r="U10" s="713" t="s">
        <v>5</v>
      </c>
      <c r="V10" s="714" t="s">
        <v>5</v>
      </c>
      <c r="W10" s="713" t="s">
        <v>5</v>
      </c>
      <c r="X10" s="714" t="s">
        <v>5</v>
      </c>
      <c r="Y10" s="713" t="s">
        <v>5</v>
      </c>
      <c r="Z10" s="714" t="s">
        <v>5</v>
      </c>
      <c r="AA10" s="713" t="s">
        <v>5</v>
      </c>
      <c r="AB10" s="714" t="s">
        <v>5</v>
      </c>
      <c r="AC10" s="713" t="s">
        <v>5</v>
      </c>
      <c r="AD10" s="714" t="s">
        <v>5</v>
      </c>
      <c r="AE10" s="713" t="s">
        <v>5</v>
      </c>
      <c r="AF10" s="714" t="s">
        <v>5</v>
      </c>
      <c r="AG10" s="713" t="s">
        <v>5</v>
      </c>
      <c r="AH10" s="714" t="s">
        <v>5</v>
      </c>
      <c r="AI10" s="713" t="s">
        <v>5</v>
      </c>
      <c r="AJ10" s="714" t="s">
        <v>5</v>
      </c>
      <c r="AK10" s="713" t="s">
        <v>5</v>
      </c>
      <c r="AL10" s="714" t="s">
        <v>5</v>
      </c>
      <c r="AM10" s="713" t="s">
        <v>5</v>
      </c>
      <c r="AN10" s="726" t="s">
        <v>5</v>
      </c>
    </row>
    <row r="11" spans="2:40" hidden="1">
      <c r="B11" s="177" t="s">
        <v>467</v>
      </c>
      <c r="C11" s="581"/>
      <c r="D11" s="581"/>
      <c r="E11" s="581"/>
      <c r="F11" s="581"/>
      <c r="G11" s="581"/>
      <c r="H11" s="581"/>
      <c r="I11" s="581"/>
      <c r="J11" s="581"/>
      <c r="M11" s="713" t="s">
        <v>6</v>
      </c>
      <c r="N11" s="714" t="s">
        <v>5</v>
      </c>
      <c r="O11" s="713" t="s">
        <v>6</v>
      </c>
      <c r="P11" s="714" t="s">
        <v>6</v>
      </c>
      <c r="Q11" s="713" t="s">
        <v>6</v>
      </c>
      <c r="R11" s="714" t="s">
        <v>6</v>
      </c>
      <c r="S11" s="713" t="s">
        <v>5</v>
      </c>
      <c r="T11" s="714" t="s">
        <v>5</v>
      </c>
      <c r="U11" s="713" t="s">
        <v>5</v>
      </c>
      <c r="V11" s="714" t="s">
        <v>5</v>
      </c>
      <c r="W11" s="713" t="s">
        <v>5</v>
      </c>
      <c r="X11" s="714" t="s">
        <v>5</v>
      </c>
      <c r="Y11" s="713" t="s">
        <v>5</v>
      </c>
      <c r="Z11" s="714" t="s">
        <v>5</v>
      </c>
      <c r="AA11" s="713" t="s">
        <v>5</v>
      </c>
      <c r="AB11" s="714" t="s">
        <v>5</v>
      </c>
      <c r="AC11" s="713" t="s">
        <v>5</v>
      </c>
      <c r="AD11" s="714" t="s">
        <v>5</v>
      </c>
      <c r="AE11" s="713" t="s">
        <v>5</v>
      </c>
      <c r="AF11" s="714" t="s">
        <v>5</v>
      </c>
      <c r="AG11" s="713" t="s">
        <v>5</v>
      </c>
      <c r="AH11" s="714" t="s">
        <v>5</v>
      </c>
      <c r="AI11" s="713" t="s">
        <v>5</v>
      </c>
      <c r="AJ11" s="714" t="s">
        <v>5</v>
      </c>
      <c r="AK11" s="713" t="s">
        <v>5</v>
      </c>
      <c r="AL11" s="714" t="s">
        <v>5</v>
      </c>
      <c r="AM11" s="713" t="s">
        <v>5</v>
      </c>
      <c r="AN11" s="726" t="s">
        <v>5</v>
      </c>
    </row>
    <row r="12" spans="2:40" hidden="1">
      <c r="B12" s="177" t="s">
        <v>468</v>
      </c>
      <c r="C12" s="581"/>
      <c r="D12" s="581"/>
      <c r="E12" s="581"/>
      <c r="F12" s="581"/>
      <c r="G12" s="581"/>
      <c r="H12" s="581"/>
      <c r="I12" s="581"/>
      <c r="J12" s="581"/>
      <c r="M12" s="713" t="s">
        <v>6</v>
      </c>
      <c r="N12" s="714" t="s">
        <v>5</v>
      </c>
      <c r="O12" s="713" t="s">
        <v>6</v>
      </c>
      <c r="P12" s="714" t="s">
        <v>6</v>
      </c>
      <c r="Q12" s="713" t="s">
        <v>6</v>
      </c>
      <c r="R12" s="714" t="s">
        <v>6</v>
      </c>
      <c r="S12" s="713" t="s">
        <v>5</v>
      </c>
      <c r="T12" s="714" t="s">
        <v>5</v>
      </c>
      <c r="U12" s="713" t="s">
        <v>5</v>
      </c>
      <c r="V12" s="714" t="s">
        <v>5</v>
      </c>
      <c r="W12" s="713" t="s">
        <v>5</v>
      </c>
      <c r="X12" s="714" t="s">
        <v>5</v>
      </c>
      <c r="Y12" s="713" t="s">
        <v>5</v>
      </c>
      <c r="Z12" s="714" t="s">
        <v>5</v>
      </c>
      <c r="AA12" s="713" t="s">
        <v>5</v>
      </c>
      <c r="AB12" s="714" t="s">
        <v>5</v>
      </c>
      <c r="AC12" s="713" t="s">
        <v>5</v>
      </c>
      <c r="AD12" s="714" t="s">
        <v>5</v>
      </c>
      <c r="AE12" s="713" t="s">
        <v>5</v>
      </c>
      <c r="AF12" s="714" t="s">
        <v>5</v>
      </c>
      <c r="AG12" s="713" t="s">
        <v>5</v>
      </c>
      <c r="AH12" s="714" t="s">
        <v>5</v>
      </c>
      <c r="AI12" s="713" t="s">
        <v>5</v>
      </c>
      <c r="AJ12" s="714" t="s">
        <v>5</v>
      </c>
      <c r="AK12" s="713" t="s">
        <v>5</v>
      </c>
      <c r="AL12" s="714" t="s">
        <v>5</v>
      </c>
      <c r="AM12" s="713" t="s">
        <v>5</v>
      </c>
      <c r="AN12" s="726" t="s">
        <v>5</v>
      </c>
    </row>
    <row r="13" spans="2:40" hidden="1">
      <c r="B13" s="177" t="s">
        <v>469</v>
      </c>
      <c r="C13" s="581"/>
      <c r="D13" s="581"/>
      <c r="E13" s="581"/>
      <c r="F13" s="581"/>
      <c r="G13" s="581"/>
      <c r="H13" s="581"/>
      <c r="I13" s="581"/>
      <c r="J13" s="581"/>
      <c r="M13" s="713" t="s">
        <v>6</v>
      </c>
      <c r="N13" s="714" t="s">
        <v>5</v>
      </c>
      <c r="O13" s="713" t="s">
        <v>6</v>
      </c>
      <c r="P13" s="714" t="s">
        <v>6</v>
      </c>
      <c r="Q13" s="713" t="s">
        <v>6</v>
      </c>
      <c r="R13" s="714" t="s">
        <v>6</v>
      </c>
      <c r="S13" s="713" t="s">
        <v>5</v>
      </c>
      <c r="T13" s="714" t="s">
        <v>5</v>
      </c>
      <c r="U13" s="713" t="s">
        <v>5</v>
      </c>
      <c r="V13" s="714" t="s">
        <v>5</v>
      </c>
      <c r="W13" s="713" t="s">
        <v>5</v>
      </c>
      <c r="X13" s="714" t="s">
        <v>5</v>
      </c>
      <c r="Y13" s="713" t="s">
        <v>5</v>
      </c>
      <c r="Z13" s="714" t="s">
        <v>5</v>
      </c>
      <c r="AA13" s="713" t="s">
        <v>5</v>
      </c>
      <c r="AB13" s="714" t="s">
        <v>5</v>
      </c>
      <c r="AC13" s="713" t="s">
        <v>5</v>
      </c>
      <c r="AD13" s="714" t="s">
        <v>5</v>
      </c>
      <c r="AE13" s="713" t="s">
        <v>5</v>
      </c>
      <c r="AF13" s="714" t="s">
        <v>5</v>
      </c>
      <c r="AG13" s="713" t="s">
        <v>5</v>
      </c>
      <c r="AH13" s="714" t="s">
        <v>5</v>
      </c>
      <c r="AI13" s="713" t="s">
        <v>5</v>
      </c>
      <c r="AJ13" s="714" t="s">
        <v>5</v>
      </c>
      <c r="AK13" s="713" t="s">
        <v>5</v>
      </c>
      <c r="AL13" s="714" t="s">
        <v>5</v>
      </c>
      <c r="AM13" s="713" t="s">
        <v>5</v>
      </c>
      <c r="AN13" s="726" t="s">
        <v>5</v>
      </c>
    </row>
    <row r="14" spans="2:40" hidden="1">
      <c r="B14" s="177" t="s">
        <v>470</v>
      </c>
      <c r="C14" s="581"/>
      <c r="D14" s="581"/>
      <c r="E14" s="581"/>
      <c r="F14" s="581"/>
      <c r="G14" s="581"/>
      <c r="H14" s="581"/>
      <c r="I14" s="581"/>
      <c r="J14" s="581"/>
      <c r="M14" s="713" t="s">
        <v>6</v>
      </c>
      <c r="N14" s="714" t="s">
        <v>5</v>
      </c>
      <c r="O14" s="713" t="s">
        <v>6</v>
      </c>
      <c r="P14" s="714" t="s">
        <v>6</v>
      </c>
      <c r="Q14" s="713" t="s">
        <v>6</v>
      </c>
      <c r="R14" s="714" t="s">
        <v>6</v>
      </c>
      <c r="S14" s="713" t="s">
        <v>5</v>
      </c>
      <c r="T14" s="714" t="s">
        <v>5</v>
      </c>
      <c r="U14" s="713" t="s">
        <v>5</v>
      </c>
      <c r="V14" s="714" t="s">
        <v>5</v>
      </c>
      <c r="W14" s="713" t="s">
        <v>5</v>
      </c>
      <c r="X14" s="714" t="s">
        <v>5</v>
      </c>
      <c r="Y14" s="713" t="s">
        <v>5</v>
      </c>
      <c r="Z14" s="714" t="s">
        <v>5</v>
      </c>
      <c r="AA14" s="713" t="s">
        <v>5</v>
      </c>
      <c r="AB14" s="714" t="s">
        <v>5</v>
      </c>
      <c r="AC14" s="713" t="s">
        <v>5</v>
      </c>
      <c r="AD14" s="714" t="s">
        <v>5</v>
      </c>
      <c r="AE14" s="713" t="s">
        <v>5</v>
      </c>
      <c r="AF14" s="714" t="s">
        <v>5</v>
      </c>
      <c r="AG14" s="713" t="s">
        <v>5</v>
      </c>
      <c r="AH14" s="714" t="s">
        <v>5</v>
      </c>
      <c r="AI14" s="713" t="s">
        <v>5</v>
      </c>
      <c r="AJ14" s="714" t="s">
        <v>5</v>
      </c>
      <c r="AK14" s="713" t="s">
        <v>5</v>
      </c>
      <c r="AL14" s="714" t="s">
        <v>5</v>
      </c>
      <c r="AM14" s="713" t="s">
        <v>5</v>
      </c>
      <c r="AN14" s="726" t="s">
        <v>5</v>
      </c>
    </row>
    <row r="15" spans="2:40" hidden="1">
      <c r="B15" s="177" t="s">
        <v>471</v>
      </c>
      <c r="C15" s="581"/>
      <c r="D15" s="581"/>
      <c r="E15" s="581"/>
      <c r="F15" s="581"/>
      <c r="G15" s="581"/>
      <c r="H15" s="581"/>
      <c r="I15" s="581"/>
      <c r="J15" s="581"/>
      <c r="M15" s="713" t="s">
        <v>6</v>
      </c>
      <c r="N15" s="714" t="s">
        <v>5</v>
      </c>
      <c r="O15" s="713" t="s">
        <v>6</v>
      </c>
      <c r="P15" s="714" t="s">
        <v>6</v>
      </c>
      <c r="Q15" s="713" t="s">
        <v>6</v>
      </c>
      <c r="R15" s="714" t="s">
        <v>6</v>
      </c>
      <c r="S15" s="713" t="s">
        <v>5</v>
      </c>
      <c r="T15" s="714" t="s">
        <v>5</v>
      </c>
      <c r="U15" s="713" t="s">
        <v>5</v>
      </c>
      <c r="V15" s="714" t="s">
        <v>5</v>
      </c>
      <c r="W15" s="713" t="s">
        <v>5</v>
      </c>
      <c r="X15" s="714" t="s">
        <v>5</v>
      </c>
      <c r="Y15" s="713" t="s">
        <v>5</v>
      </c>
      <c r="Z15" s="714" t="s">
        <v>5</v>
      </c>
      <c r="AA15" s="713" t="s">
        <v>5</v>
      </c>
      <c r="AB15" s="714" t="s">
        <v>5</v>
      </c>
      <c r="AC15" s="713" t="s">
        <v>5</v>
      </c>
      <c r="AD15" s="714" t="s">
        <v>5</v>
      </c>
      <c r="AE15" s="713" t="s">
        <v>5</v>
      </c>
      <c r="AF15" s="714" t="s">
        <v>5</v>
      </c>
      <c r="AG15" s="713" t="s">
        <v>5</v>
      </c>
      <c r="AH15" s="714" t="s">
        <v>5</v>
      </c>
      <c r="AI15" s="713" t="s">
        <v>5</v>
      </c>
      <c r="AJ15" s="714" t="s">
        <v>5</v>
      </c>
      <c r="AK15" s="713" t="s">
        <v>5</v>
      </c>
      <c r="AL15" s="714" t="s">
        <v>5</v>
      </c>
      <c r="AM15" s="713" t="s">
        <v>5</v>
      </c>
      <c r="AN15" s="726" t="s">
        <v>5</v>
      </c>
    </row>
    <row r="16" spans="2:40" hidden="1">
      <c r="B16" s="177" t="s">
        <v>1010</v>
      </c>
      <c r="C16" s="581"/>
      <c r="D16" s="581"/>
      <c r="E16" s="581"/>
      <c r="F16" s="581"/>
      <c r="G16" s="581"/>
      <c r="H16" s="581"/>
      <c r="I16" s="581"/>
      <c r="J16" s="581"/>
      <c r="M16" s="713" t="s">
        <v>6</v>
      </c>
      <c r="N16" s="714" t="s">
        <v>5</v>
      </c>
      <c r="O16" s="713" t="s">
        <v>5</v>
      </c>
      <c r="P16" s="714" t="s">
        <v>6</v>
      </c>
      <c r="Q16" s="713" t="s">
        <v>5</v>
      </c>
      <c r="R16" s="714" t="s">
        <v>6</v>
      </c>
      <c r="S16" s="713" t="s">
        <v>5</v>
      </c>
      <c r="T16" s="714" t="s">
        <v>5</v>
      </c>
      <c r="U16" s="713" t="s">
        <v>5</v>
      </c>
      <c r="V16" s="714" t="s">
        <v>5</v>
      </c>
      <c r="W16" s="713" t="s">
        <v>5</v>
      </c>
      <c r="X16" s="714" t="s">
        <v>5</v>
      </c>
      <c r="Y16" s="713" t="s">
        <v>5</v>
      </c>
      <c r="Z16" s="714" t="s">
        <v>5</v>
      </c>
      <c r="AA16" s="713" t="s">
        <v>5</v>
      </c>
      <c r="AB16" s="714" t="s">
        <v>5</v>
      </c>
      <c r="AC16" s="713" t="s">
        <v>5</v>
      </c>
      <c r="AD16" s="714" t="s">
        <v>5</v>
      </c>
      <c r="AE16" s="713" t="s">
        <v>5</v>
      </c>
      <c r="AF16" s="714" t="s">
        <v>5</v>
      </c>
      <c r="AG16" s="713" t="s">
        <v>5</v>
      </c>
      <c r="AH16" s="714" t="s">
        <v>5</v>
      </c>
      <c r="AI16" s="713" t="s">
        <v>5</v>
      </c>
      <c r="AJ16" s="714" t="s">
        <v>5</v>
      </c>
      <c r="AK16" s="713" t="s">
        <v>5</v>
      </c>
      <c r="AL16" s="714" t="s">
        <v>5</v>
      </c>
      <c r="AM16" s="713" t="s">
        <v>5</v>
      </c>
      <c r="AN16" s="726" t="s">
        <v>5</v>
      </c>
    </row>
    <row r="17" spans="2:40" hidden="1">
      <c r="B17" s="177" t="s">
        <v>1011</v>
      </c>
      <c r="C17" s="581"/>
      <c r="D17" s="581"/>
      <c r="E17" s="581"/>
      <c r="F17" s="581"/>
      <c r="G17" s="581"/>
      <c r="H17" s="581"/>
      <c r="I17" s="581"/>
      <c r="J17" s="581"/>
      <c r="M17" s="713" t="s">
        <v>6</v>
      </c>
      <c r="N17" s="714" t="s">
        <v>5</v>
      </c>
      <c r="O17" s="713" t="s">
        <v>5</v>
      </c>
      <c r="P17" s="714" t="s">
        <v>6</v>
      </c>
      <c r="Q17" s="713" t="s">
        <v>5</v>
      </c>
      <c r="R17" s="714" t="s">
        <v>6</v>
      </c>
      <c r="S17" s="713" t="s">
        <v>5</v>
      </c>
      <c r="T17" s="714" t="s">
        <v>5</v>
      </c>
      <c r="U17" s="713" t="s">
        <v>5</v>
      </c>
      <c r="V17" s="714" t="s">
        <v>5</v>
      </c>
      <c r="W17" s="713" t="s">
        <v>5</v>
      </c>
      <c r="X17" s="714" t="s">
        <v>5</v>
      </c>
      <c r="Y17" s="713" t="s">
        <v>5</v>
      </c>
      <c r="Z17" s="714" t="s">
        <v>5</v>
      </c>
      <c r="AA17" s="713" t="s">
        <v>5</v>
      </c>
      <c r="AB17" s="714" t="s">
        <v>5</v>
      </c>
      <c r="AC17" s="713" t="s">
        <v>5</v>
      </c>
      <c r="AD17" s="714" t="s">
        <v>5</v>
      </c>
      <c r="AE17" s="713" t="s">
        <v>5</v>
      </c>
      <c r="AF17" s="714" t="s">
        <v>5</v>
      </c>
      <c r="AG17" s="713" t="s">
        <v>5</v>
      </c>
      <c r="AH17" s="714" t="s">
        <v>5</v>
      </c>
      <c r="AI17" s="713" t="s">
        <v>5</v>
      </c>
      <c r="AJ17" s="714" t="s">
        <v>5</v>
      </c>
      <c r="AK17" s="713" t="s">
        <v>5</v>
      </c>
      <c r="AL17" s="714" t="s">
        <v>5</v>
      </c>
      <c r="AM17" s="713" t="s">
        <v>5</v>
      </c>
      <c r="AN17" s="726" t="s">
        <v>5</v>
      </c>
    </row>
    <row r="18" spans="13:40" hidden="1">
      <c r="M18" s="713" t="s">
        <v>6</v>
      </c>
      <c r="N18" s="714" t="s">
        <v>5</v>
      </c>
      <c r="O18" s="713" t="s">
        <v>5</v>
      </c>
      <c r="P18" s="714" t="s">
        <v>6</v>
      </c>
      <c r="Q18" s="713" t="s">
        <v>5</v>
      </c>
      <c r="R18" s="714" t="s">
        <v>6</v>
      </c>
      <c r="S18" s="713" t="s">
        <v>5</v>
      </c>
      <c r="T18" s="714" t="s">
        <v>5</v>
      </c>
      <c r="U18" s="713" t="s">
        <v>5</v>
      </c>
      <c r="V18" s="714" t="s">
        <v>5</v>
      </c>
      <c r="W18" s="713" t="s">
        <v>5</v>
      </c>
      <c r="X18" s="714" t="s">
        <v>5</v>
      </c>
      <c r="Y18" s="713" t="s">
        <v>5</v>
      </c>
      <c r="Z18" s="714" t="s">
        <v>5</v>
      </c>
      <c r="AA18" s="713" t="s">
        <v>5</v>
      </c>
      <c r="AB18" s="714" t="s">
        <v>5</v>
      </c>
      <c r="AC18" s="713" t="s">
        <v>5</v>
      </c>
      <c r="AD18" s="714" t="s">
        <v>5</v>
      </c>
      <c r="AE18" s="713" t="s">
        <v>5</v>
      </c>
      <c r="AF18" s="714" t="s">
        <v>5</v>
      </c>
      <c r="AG18" s="713" t="s">
        <v>5</v>
      </c>
      <c r="AH18" s="714" t="s">
        <v>5</v>
      </c>
      <c r="AI18" s="713" t="s">
        <v>5</v>
      </c>
      <c r="AJ18" s="714" t="s">
        <v>5</v>
      </c>
      <c r="AK18" s="713" t="s">
        <v>5</v>
      </c>
      <c r="AL18" s="714" t="s">
        <v>5</v>
      </c>
      <c r="AM18" s="713" t="s">
        <v>5</v>
      </c>
      <c r="AN18" s="726" t="s">
        <v>5</v>
      </c>
    </row>
    <row r="19" spans="2:40" hidden="1">
      <c r="B19" s="177" t="s">
        <v>342</v>
      </c>
      <c r="C19" s="581"/>
      <c r="D19" s="581"/>
      <c r="E19" s="581"/>
      <c r="F19" s="581"/>
      <c r="G19" s="581"/>
      <c r="H19" s="581"/>
      <c r="I19" s="581"/>
      <c r="J19" s="581"/>
      <c r="M19" s="713" t="s">
        <v>6</v>
      </c>
      <c r="N19" s="714" t="s">
        <v>5</v>
      </c>
      <c r="O19" s="713" t="s">
        <v>5</v>
      </c>
      <c r="P19" s="714" t="s">
        <v>6</v>
      </c>
      <c r="Q19" s="713" t="s">
        <v>5</v>
      </c>
      <c r="R19" s="714" t="s">
        <v>6</v>
      </c>
      <c r="S19" s="713" t="s">
        <v>5</v>
      </c>
      <c r="T19" s="714" t="s">
        <v>5</v>
      </c>
      <c r="U19" s="713" t="s">
        <v>5</v>
      </c>
      <c r="V19" s="714" t="s">
        <v>5</v>
      </c>
      <c r="W19" s="713" t="s">
        <v>5</v>
      </c>
      <c r="X19" s="714" t="s">
        <v>5</v>
      </c>
      <c r="Y19" s="713" t="s">
        <v>5</v>
      </c>
      <c r="Z19" s="714" t="s">
        <v>5</v>
      </c>
      <c r="AA19" s="713" t="s">
        <v>5</v>
      </c>
      <c r="AB19" s="714" t="s">
        <v>5</v>
      </c>
      <c r="AC19" s="713" t="s">
        <v>5</v>
      </c>
      <c r="AD19" s="714" t="s">
        <v>5</v>
      </c>
      <c r="AE19" s="713" t="s">
        <v>5</v>
      </c>
      <c r="AF19" s="714" t="s">
        <v>5</v>
      </c>
      <c r="AG19" s="713" t="s">
        <v>5</v>
      </c>
      <c r="AH19" s="714" t="s">
        <v>5</v>
      </c>
      <c r="AI19" s="713" t="s">
        <v>5</v>
      </c>
      <c r="AJ19" s="714" t="s">
        <v>5</v>
      </c>
      <c r="AK19" s="713" t="s">
        <v>5</v>
      </c>
      <c r="AL19" s="714" t="s">
        <v>5</v>
      </c>
      <c r="AM19" s="713" t="s">
        <v>5</v>
      </c>
      <c r="AN19" s="726" t="s">
        <v>5</v>
      </c>
    </row>
    <row r="20" spans="2:40" hidden="1">
      <c r="B20" s="531" t="s">
        <v>343</v>
      </c>
      <c r="C20" s="581"/>
      <c r="D20" s="581"/>
      <c r="E20" s="581"/>
      <c r="F20" s="581"/>
      <c r="G20" s="581"/>
      <c r="H20" s="581"/>
      <c r="I20" s="581"/>
      <c r="J20" s="581"/>
      <c r="M20" s="713" t="s">
        <v>6</v>
      </c>
      <c r="N20" s="714" t="s">
        <v>5</v>
      </c>
      <c r="O20" s="713" t="s">
        <v>5</v>
      </c>
      <c r="P20" s="714" t="s">
        <v>6</v>
      </c>
      <c r="Q20" s="713" t="s">
        <v>5</v>
      </c>
      <c r="R20" s="714" t="s">
        <v>6</v>
      </c>
      <c r="S20" s="713" t="s">
        <v>5</v>
      </c>
      <c r="T20" s="714" t="s">
        <v>5</v>
      </c>
      <c r="U20" s="713" t="s">
        <v>5</v>
      </c>
      <c r="V20" s="714" t="s">
        <v>5</v>
      </c>
      <c r="W20" s="713" t="s">
        <v>5</v>
      </c>
      <c r="X20" s="714" t="s">
        <v>5</v>
      </c>
      <c r="Y20" s="713" t="s">
        <v>5</v>
      </c>
      <c r="Z20" s="714" t="s">
        <v>5</v>
      </c>
      <c r="AA20" s="713" t="s">
        <v>5</v>
      </c>
      <c r="AB20" s="714" t="s">
        <v>5</v>
      </c>
      <c r="AC20" s="713" t="s">
        <v>5</v>
      </c>
      <c r="AD20" s="714" t="s">
        <v>5</v>
      </c>
      <c r="AE20" s="713" t="s">
        <v>5</v>
      </c>
      <c r="AF20" s="714" t="s">
        <v>5</v>
      </c>
      <c r="AG20" s="713" t="s">
        <v>5</v>
      </c>
      <c r="AH20" s="714" t="s">
        <v>5</v>
      </c>
      <c r="AI20" s="713" t="s">
        <v>5</v>
      </c>
      <c r="AJ20" s="714" t="s">
        <v>5</v>
      </c>
      <c r="AK20" s="713" t="s">
        <v>5</v>
      </c>
      <c r="AL20" s="714" t="s">
        <v>5</v>
      </c>
      <c r="AM20" s="713" t="s">
        <v>5</v>
      </c>
      <c r="AN20" s="726" t="s">
        <v>5</v>
      </c>
    </row>
    <row r="21" spans="2:40" hidden="1">
      <c r="B21" s="177" t="s">
        <v>344</v>
      </c>
      <c r="C21" s="581"/>
      <c r="D21" s="581"/>
      <c r="E21" s="581"/>
      <c r="F21" s="581"/>
      <c r="G21" s="581"/>
      <c r="H21" s="581"/>
      <c r="I21" s="581"/>
      <c r="J21" s="581"/>
      <c r="M21" s="713" t="s">
        <v>6</v>
      </c>
      <c r="N21" s="714" t="s">
        <v>5</v>
      </c>
      <c r="O21" s="713" t="s">
        <v>5</v>
      </c>
      <c r="P21" s="714" t="s">
        <v>6</v>
      </c>
      <c r="Q21" s="713" t="s">
        <v>5</v>
      </c>
      <c r="R21" s="714" t="s">
        <v>6</v>
      </c>
      <c r="S21" s="713" t="s">
        <v>5</v>
      </c>
      <c r="T21" s="714" t="s">
        <v>5</v>
      </c>
      <c r="U21" s="713" t="s">
        <v>5</v>
      </c>
      <c r="V21" s="714" t="s">
        <v>5</v>
      </c>
      <c r="W21" s="713" t="s">
        <v>5</v>
      </c>
      <c r="X21" s="714" t="s">
        <v>5</v>
      </c>
      <c r="Y21" s="713" t="s">
        <v>5</v>
      </c>
      <c r="Z21" s="714" t="s">
        <v>5</v>
      </c>
      <c r="AA21" s="713" t="s">
        <v>5</v>
      </c>
      <c r="AB21" s="714" t="s">
        <v>5</v>
      </c>
      <c r="AC21" s="713" t="s">
        <v>5</v>
      </c>
      <c r="AD21" s="714" t="s">
        <v>5</v>
      </c>
      <c r="AE21" s="713" t="s">
        <v>5</v>
      </c>
      <c r="AF21" s="714" t="s">
        <v>5</v>
      </c>
      <c r="AG21" s="713" t="s">
        <v>5</v>
      </c>
      <c r="AH21" s="714" t="s">
        <v>5</v>
      </c>
      <c r="AI21" s="713" t="s">
        <v>5</v>
      </c>
      <c r="AJ21" s="714" t="s">
        <v>5</v>
      </c>
      <c r="AK21" s="713" t="s">
        <v>5</v>
      </c>
      <c r="AL21" s="714" t="s">
        <v>5</v>
      </c>
      <c r="AM21" s="713" t="s">
        <v>5</v>
      </c>
      <c r="AN21" s="726" t="s">
        <v>5</v>
      </c>
    </row>
    <row r="22" spans="13:40" hidden="1">
      <c r="M22" s="713" t="s">
        <v>5</v>
      </c>
      <c r="N22" s="714" t="s">
        <v>5</v>
      </c>
      <c r="O22" s="713" t="s">
        <v>5</v>
      </c>
      <c r="P22" s="714" t="s">
        <v>5</v>
      </c>
      <c r="Q22" s="713" t="s">
        <v>5</v>
      </c>
      <c r="R22" s="714" t="s">
        <v>5</v>
      </c>
      <c r="S22" s="713" t="s">
        <v>5</v>
      </c>
      <c r="T22" s="714" t="s">
        <v>5</v>
      </c>
      <c r="U22" s="713" t="s">
        <v>5</v>
      </c>
      <c r="V22" s="714" t="s">
        <v>5</v>
      </c>
      <c r="W22" s="713" t="s">
        <v>5</v>
      </c>
      <c r="X22" s="714" t="s">
        <v>5</v>
      </c>
      <c r="Y22" s="713" t="s">
        <v>5</v>
      </c>
      <c r="Z22" s="714" t="s">
        <v>5</v>
      </c>
      <c r="AA22" s="713" t="s">
        <v>5</v>
      </c>
      <c r="AB22" s="714" t="s">
        <v>5</v>
      </c>
      <c r="AC22" s="713" t="s">
        <v>5</v>
      </c>
      <c r="AD22" s="714" t="s">
        <v>5</v>
      </c>
      <c r="AE22" s="713" t="s">
        <v>5</v>
      </c>
      <c r="AF22" s="714" t="s">
        <v>5</v>
      </c>
      <c r="AG22" s="713" t="s">
        <v>5</v>
      </c>
      <c r="AH22" s="714" t="s">
        <v>5</v>
      </c>
      <c r="AI22" s="713" t="s">
        <v>5</v>
      </c>
      <c r="AJ22" s="714" t="s">
        <v>5</v>
      </c>
      <c r="AK22" s="713" t="s">
        <v>5</v>
      </c>
      <c r="AL22" s="714" t="s">
        <v>5</v>
      </c>
      <c r="AM22" s="713" t="s">
        <v>5</v>
      </c>
      <c r="AN22" s="726" t="s">
        <v>5</v>
      </c>
    </row>
    <row r="23" spans="2:40" hidden="1">
      <c r="B23" s="177" t="s">
        <v>460</v>
      </c>
      <c r="C23" s="581"/>
      <c r="D23" s="581"/>
      <c r="E23" s="581"/>
      <c r="F23" s="581"/>
      <c r="G23" s="581"/>
      <c r="H23" s="581"/>
      <c r="I23" s="581"/>
      <c r="J23" s="581"/>
      <c r="M23" s="713" t="s">
        <v>5</v>
      </c>
      <c r="N23" s="714" t="s">
        <v>5</v>
      </c>
      <c r="O23" s="713" t="s">
        <v>5</v>
      </c>
      <c r="P23" s="714" t="s">
        <v>5</v>
      </c>
      <c r="Q23" s="713" t="s">
        <v>5</v>
      </c>
      <c r="R23" s="714" t="s">
        <v>5</v>
      </c>
      <c r="S23" s="713" t="s">
        <v>6</v>
      </c>
      <c r="T23" s="714" t="s">
        <v>6</v>
      </c>
      <c r="U23" s="713" t="s">
        <v>5</v>
      </c>
      <c r="V23" s="714" t="s">
        <v>5</v>
      </c>
      <c r="W23" s="713" t="s">
        <v>6</v>
      </c>
      <c r="X23" s="714" t="s">
        <v>6</v>
      </c>
      <c r="Y23" s="713" t="s">
        <v>5</v>
      </c>
      <c r="Z23" s="714" t="s">
        <v>6</v>
      </c>
      <c r="AA23" s="713" t="s">
        <v>6</v>
      </c>
      <c r="AB23" s="714" t="s">
        <v>5</v>
      </c>
      <c r="AC23" s="713" t="s">
        <v>5</v>
      </c>
      <c r="AD23" s="714" t="s">
        <v>6</v>
      </c>
      <c r="AE23" s="713" t="s">
        <v>6</v>
      </c>
      <c r="AF23" s="714" t="s">
        <v>5</v>
      </c>
      <c r="AG23" s="713" t="s">
        <v>5</v>
      </c>
      <c r="AH23" s="714" t="s">
        <v>5</v>
      </c>
      <c r="AI23" s="713" t="s">
        <v>5</v>
      </c>
      <c r="AJ23" s="714" t="s">
        <v>5</v>
      </c>
      <c r="AK23" s="713" t="s">
        <v>5</v>
      </c>
      <c r="AL23" s="714" t="s">
        <v>5</v>
      </c>
      <c r="AM23" s="713" t="s">
        <v>5</v>
      </c>
      <c r="AN23" s="726" t="s">
        <v>5</v>
      </c>
    </row>
    <row r="24" spans="2:40" hidden="1">
      <c r="B24" s="177" t="s">
        <v>461</v>
      </c>
      <c r="C24" s="581"/>
      <c r="D24" s="581"/>
      <c r="E24" s="581"/>
      <c r="F24" s="581"/>
      <c r="G24" s="581"/>
      <c r="H24" s="581"/>
      <c r="I24" s="581"/>
      <c r="J24" s="581"/>
      <c r="M24" s="713" t="s">
        <v>5</v>
      </c>
      <c r="N24" s="714" t="s">
        <v>5</v>
      </c>
      <c r="O24" s="713" t="s">
        <v>5</v>
      </c>
      <c r="P24" s="714" t="s">
        <v>5</v>
      </c>
      <c r="Q24" s="713" t="s">
        <v>5</v>
      </c>
      <c r="R24" s="714" t="s">
        <v>5</v>
      </c>
      <c r="S24" s="713" t="s">
        <v>6</v>
      </c>
      <c r="T24" s="714" t="s">
        <v>6</v>
      </c>
      <c r="U24" s="713" t="s">
        <v>5</v>
      </c>
      <c r="V24" s="714" t="s">
        <v>5</v>
      </c>
      <c r="W24" s="713" t="s">
        <v>6</v>
      </c>
      <c r="X24" s="714" t="s">
        <v>6</v>
      </c>
      <c r="Y24" s="713" t="s">
        <v>5</v>
      </c>
      <c r="Z24" s="714" t="s">
        <v>6</v>
      </c>
      <c r="AA24" s="713" t="s">
        <v>6</v>
      </c>
      <c r="AB24" s="714" t="s">
        <v>5</v>
      </c>
      <c r="AC24" s="713" t="s">
        <v>5</v>
      </c>
      <c r="AD24" s="714" t="s">
        <v>6</v>
      </c>
      <c r="AE24" s="713" t="s">
        <v>6</v>
      </c>
      <c r="AF24" s="714" t="s">
        <v>5</v>
      </c>
      <c r="AG24" s="713" t="s">
        <v>5</v>
      </c>
      <c r="AH24" s="714" t="s">
        <v>5</v>
      </c>
      <c r="AI24" s="713" t="s">
        <v>5</v>
      </c>
      <c r="AJ24" s="714" t="s">
        <v>5</v>
      </c>
      <c r="AK24" s="713" t="s">
        <v>5</v>
      </c>
      <c r="AL24" s="714" t="s">
        <v>5</v>
      </c>
      <c r="AM24" s="713" t="s">
        <v>5</v>
      </c>
      <c r="AN24" s="726" t="s">
        <v>5</v>
      </c>
    </row>
    <row r="25" spans="2:40" hidden="1">
      <c r="B25" s="177" t="s">
        <v>462</v>
      </c>
      <c r="C25" s="581"/>
      <c r="D25" s="581"/>
      <c r="E25" s="581"/>
      <c r="F25" s="581"/>
      <c r="G25" s="581"/>
      <c r="H25" s="581"/>
      <c r="I25" s="581"/>
      <c r="J25" s="581"/>
      <c r="M25" s="713" t="s">
        <v>5</v>
      </c>
      <c r="N25" s="714" t="s">
        <v>5</v>
      </c>
      <c r="O25" s="713" t="s">
        <v>5</v>
      </c>
      <c r="P25" s="714" t="s">
        <v>5</v>
      </c>
      <c r="Q25" s="713" t="s">
        <v>5</v>
      </c>
      <c r="R25" s="714" t="s">
        <v>5</v>
      </c>
      <c r="S25" s="713" t="s">
        <v>6</v>
      </c>
      <c r="T25" s="714" t="s">
        <v>6</v>
      </c>
      <c r="U25" s="713" t="s">
        <v>5</v>
      </c>
      <c r="V25" s="714" t="s">
        <v>5</v>
      </c>
      <c r="W25" s="713" t="s">
        <v>6</v>
      </c>
      <c r="X25" s="714" t="s">
        <v>6</v>
      </c>
      <c r="Y25" s="713" t="s">
        <v>5</v>
      </c>
      <c r="Z25" s="714" t="s">
        <v>6</v>
      </c>
      <c r="AA25" s="713" t="s">
        <v>6</v>
      </c>
      <c r="AB25" s="714" t="s">
        <v>5</v>
      </c>
      <c r="AC25" s="713" t="s">
        <v>5</v>
      </c>
      <c r="AD25" s="714" t="s">
        <v>6</v>
      </c>
      <c r="AE25" s="713" t="s">
        <v>6</v>
      </c>
      <c r="AF25" s="714" t="s">
        <v>5</v>
      </c>
      <c r="AG25" s="713" t="s">
        <v>5</v>
      </c>
      <c r="AH25" s="714" t="s">
        <v>5</v>
      </c>
      <c r="AI25" s="713" t="s">
        <v>5</v>
      </c>
      <c r="AJ25" s="714" t="s">
        <v>5</v>
      </c>
      <c r="AK25" s="713" t="s">
        <v>5</v>
      </c>
      <c r="AL25" s="714" t="s">
        <v>5</v>
      </c>
      <c r="AM25" s="713" t="s">
        <v>5</v>
      </c>
      <c r="AN25" s="726" t="s">
        <v>5</v>
      </c>
    </row>
    <row r="26" spans="2:40" hidden="1">
      <c r="B26" s="177" t="s">
        <v>463</v>
      </c>
      <c r="C26" s="581"/>
      <c r="D26" s="581"/>
      <c r="E26" s="581"/>
      <c r="F26" s="581"/>
      <c r="G26" s="581"/>
      <c r="H26" s="581"/>
      <c r="I26" s="581"/>
      <c r="J26" s="581"/>
      <c r="M26" s="713" t="s">
        <v>5</v>
      </c>
      <c r="N26" s="714" t="s">
        <v>5</v>
      </c>
      <c r="O26" s="713" t="s">
        <v>5</v>
      </c>
      <c r="P26" s="714" t="s">
        <v>5</v>
      </c>
      <c r="Q26" s="713" t="s">
        <v>5</v>
      </c>
      <c r="R26" s="714" t="s">
        <v>5</v>
      </c>
      <c r="S26" s="713" t="s">
        <v>6</v>
      </c>
      <c r="T26" s="714" t="s">
        <v>6</v>
      </c>
      <c r="U26" s="713" t="s">
        <v>5</v>
      </c>
      <c r="V26" s="714" t="s">
        <v>5</v>
      </c>
      <c r="W26" s="713" t="s">
        <v>6</v>
      </c>
      <c r="X26" s="714" t="s">
        <v>6</v>
      </c>
      <c r="Y26" s="713" t="s">
        <v>5</v>
      </c>
      <c r="Z26" s="714" t="s">
        <v>6</v>
      </c>
      <c r="AA26" s="713" t="s">
        <v>6</v>
      </c>
      <c r="AB26" s="714" t="s">
        <v>5</v>
      </c>
      <c r="AC26" s="713" t="s">
        <v>5</v>
      </c>
      <c r="AD26" s="714" t="s">
        <v>6</v>
      </c>
      <c r="AE26" s="713" t="s">
        <v>6</v>
      </c>
      <c r="AF26" s="714" t="s">
        <v>5</v>
      </c>
      <c r="AG26" s="713" t="s">
        <v>5</v>
      </c>
      <c r="AH26" s="714" t="s">
        <v>5</v>
      </c>
      <c r="AI26" s="713" t="s">
        <v>5</v>
      </c>
      <c r="AJ26" s="714" t="s">
        <v>5</v>
      </c>
      <c r="AK26" s="713" t="s">
        <v>5</v>
      </c>
      <c r="AL26" s="714" t="s">
        <v>5</v>
      </c>
      <c r="AM26" s="713" t="s">
        <v>5</v>
      </c>
      <c r="AN26" s="726" t="s">
        <v>5</v>
      </c>
    </row>
    <row r="27" spans="2:40" hidden="1">
      <c r="B27" s="177" t="s">
        <v>464</v>
      </c>
      <c r="C27" s="581"/>
      <c r="D27" s="581"/>
      <c r="E27" s="581"/>
      <c r="F27" s="581"/>
      <c r="G27" s="581"/>
      <c r="H27" s="581"/>
      <c r="I27" s="581"/>
      <c r="J27" s="581"/>
      <c r="M27" s="713" t="s">
        <v>5</v>
      </c>
      <c r="N27" s="714" t="s">
        <v>5</v>
      </c>
      <c r="O27" s="713" t="s">
        <v>5</v>
      </c>
      <c r="P27" s="714" t="s">
        <v>5</v>
      </c>
      <c r="Q27" s="713" t="s">
        <v>5</v>
      </c>
      <c r="R27" s="714" t="s">
        <v>5</v>
      </c>
      <c r="S27" s="713" t="s">
        <v>6</v>
      </c>
      <c r="T27" s="714" t="s">
        <v>6</v>
      </c>
      <c r="U27" s="713" t="s">
        <v>5</v>
      </c>
      <c r="V27" s="714" t="s">
        <v>5</v>
      </c>
      <c r="W27" s="713" t="s">
        <v>6</v>
      </c>
      <c r="X27" s="714" t="s">
        <v>6</v>
      </c>
      <c r="Y27" s="713" t="s">
        <v>5</v>
      </c>
      <c r="Z27" s="714" t="s">
        <v>6</v>
      </c>
      <c r="AA27" s="713" t="s">
        <v>6</v>
      </c>
      <c r="AB27" s="714" t="s">
        <v>5</v>
      </c>
      <c r="AC27" s="713" t="s">
        <v>5</v>
      </c>
      <c r="AD27" s="714" t="s">
        <v>6</v>
      </c>
      <c r="AE27" s="713" t="s">
        <v>6</v>
      </c>
      <c r="AF27" s="714" t="s">
        <v>5</v>
      </c>
      <c r="AG27" s="713" t="s">
        <v>5</v>
      </c>
      <c r="AH27" s="714" t="s">
        <v>5</v>
      </c>
      <c r="AI27" s="713" t="s">
        <v>5</v>
      </c>
      <c r="AJ27" s="714" t="s">
        <v>5</v>
      </c>
      <c r="AK27" s="713" t="s">
        <v>5</v>
      </c>
      <c r="AL27" s="714" t="s">
        <v>5</v>
      </c>
      <c r="AM27" s="713" t="s">
        <v>5</v>
      </c>
      <c r="AN27" s="726" t="s">
        <v>5</v>
      </c>
    </row>
    <row r="28" spans="2:40" hidden="1">
      <c r="B28" s="177" t="s">
        <v>465</v>
      </c>
      <c r="C28" s="581"/>
      <c r="D28" s="581"/>
      <c r="E28" s="581"/>
      <c r="F28" s="581"/>
      <c r="G28" s="581"/>
      <c r="H28" s="581"/>
      <c r="I28" s="581"/>
      <c r="J28" s="581"/>
      <c r="M28" s="713" t="s">
        <v>5</v>
      </c>
      <c r="N28" s="714" t="s">
        <v>5</v>
      </c>
      <c r="O28" s="713" t="s">
        <v>5</v>
      </c>
      <c r="P28" s="714" t="s">
        <v>5</v>
      </c>
      <c r="Q28" s="713" t="s">
        <v>5</v>
      </c>
      <c r="R28" s="714" t="s">
        <v>5</v>
      </c>
      <c r="S28" s="713" t="s">
        <v>6</v>
      </c>
      <c r="T28" s="714" t="s">
        <v>6</v>
      </c>
      <c r="U28" s="713" t="s">
        <v>5</v>
      </c>
      <c r="V28" s="714" t="s">
        <v>5</v>
      </c>
      <c r="W28" s="713" t="s">
        <v>6</v>
      </c>
      <c r="X28" s="714" t="s">
        <v>6</v>
      </c>
      <c r="Y28" s="713" t="s">
        <v>5</v>
      </c>
      <c r="Z28" s="714" t="s">
        <v>6</v>
      </c>
      <c r="AA28" s="713" t="s">
        <v>6</v>
      </c>
      <c r="AB28" s="714" t="s">
        <v>5</v>
      </c>
      <c r="AC28" s="713" t="s">
        <v>5</v>
      </c>
      <c r="AD28" s="714" t="s">
        <v>6</v>
      </c>
      <c r="AE28" s="713" t="s">
        <v>6</v>
      </c>
      <c r="AF28" s="714" t="s">
        <v>5</v>
      </c>
      <c r="AG28" s="713" t="s">
        <v>5</v>
      </c>
      <c r="AH28" s="714" t="s">
        <v>5</v>
      </c>
      <c r="AI28" s="713" t="s">
        <v>5</v>
      </c>
      <c r="AJ28" s="714" t="s">
        <v>5</v>
      </c>
      <c r="AK28" s="713" t="s">
        <v>5</v>
      </c>
      <c r="AL28" s="714" t="s">
        <v>5</v>
      </c>
      <c r="AM28" s="713" t="s">
        <v>5</v>
      </c>
      <c r="AN28" s="726" t="s">
        <v>5</v>
      </c>
    </row>
    <row r="29" spans="2:40" hidden="1">
      <c r="B29" s="177" t="s">
        <v>466</v>
      </c>
      <c r="C29" s="581"/>
      <c r="D29" s="581"/>
      <c r="E29" s="581"/>
      <c r="F29" s="581"/>
      <c r="G29" s="581"/>
      <c r="H29" s="581"/>
      <c r="I29" s="581"/>
      <c r="J29" s="581"/>
      <c r="M29" s="713" t="s">
        <v>5</v>
      </c>
      <c r="N29" s="714" t="s">
        <v>5</v>
      </c>
      <c r="O29" s="713" t="s">
        <v>5</v>
      </c>
      <c r="P29" s="714" t="s">
        <v>5</v>
      </c>
      <c r="Q29" s="713" t="s">
        <v>5</v>
      </c>
      <c r="R29" s="714" t="s">
        <v>5</v>
      </c>
      <c r="S29" s="713" t="s">
        <v>6</v>
      </c>
      <c r="T29" s="714" t="s">
        <v>6</v>
      </c>
      <c r="U29" s="713" t="s">
        <v>5</v>
      </c>
      <c r="V29" s="714" t="s">
        <v>5</v>
      </c>
      <c r="W29" s="713" t="s">
        <v>6</v>
      </c>
      <c r="X29" s="714" t="s">
        <v>6</v>
      </c>
      <c r="Y29" s="713" t="s">
        <v>5</v>
      </c>
      <c r="Z29" s="714" t="s">
        <v>6</v>
      </c>
      <c r="AA29" s="713" t="s">
        <v>6</v>
      </c>
      <c r="AB29" s="714" t="s">
        <v>5</v>
      </c>
      <c r="AC29" s="713" t="s">
        <v>5</v>
      </c>
      <c r="AD29" s="714" t="s">
        <v>6</v>
      </c>
      <c r="AE29" s="713" t="s">
        <v>6</v>
      </c>
      <c r="AF29" s="714" t="s">
        <v>5</v>
      </c>
      <c r="AG29" s="713" t="s">
        <v>5</v>
      </c>
      <c r="AH29" s="714" t="s">
        <v>5</v>
      </c>
      <c r="AI29" s="713" t="s">
        <v>5</v>
      </c>
      <c r="AJ29" s="714" t="s">
        <v>5</v>
      </c>
      <c r="AK29" s="713" t="s">
        <v>5</v>
      </c>
      <c r="AL29" s="714" t="s">
        <v>5</v>
      </c>
      <c r="AM29" s="713" t="s">
        <v>5</v>
      </c>
      <c r="AN29" s="726" t="s">
        <v>5</v>
      </c>
    </row>
    <row r="30" spans="2:40" hidden="1">
      <c r="B30" s="177" t="s">
        <v>467</v>
      </c>
      <c r="C30" s="581"/>
      <c r="D30" s="581"/>
      <c r="E30" s="581"/>
      <c r="F30" s="581"/>
      <c r="G30" s="581"/>
      <c r="H30" s="581"/>
      <c r="I30" s="581"/>
      <c r="J30" s="581"/>
      <c r="M30" s="713" t="s">
        <v>5</v>
      </c>
      <c r="N30" s="714" t="s">
        <v>5</v>
      </c>
      <c r="O30" s="713" t="s">
        <v>5</v>
      </c>
      <c r="P30" s="714" t="s">
        <v>5</v>
      </c>
      <c r="Q30" s="713" t="s">
        <v>5</v>
      </c>
      <c r="R30" s="714" t="s">
        <v>5</v>
      </c>
      <c r="S30" s="713" t="s">
        <v>6</v>
      </c>
      <c r="T30" s="714" t="s">
        <v>5</v>
      </c>
      <c r="U30" s="713" t="s">
        <v>6</v>
      </c>
      <c r="V30" s="714" t="s">
        <v>6</v>
      </c>
      <c r="W30" s="713" t="s">
        <v>6</v>
      </c>
      <c r="X30" s="714" t="s">
        <v>6</v>
      </c>
      <c r="Y30" s="713" t="s">
        <v>5</v>
      </c>
      <c r="Z30" s="714" t="s">
        <v>6</v>
      </c>
      <c r="AA30" s="713" t="s">
        <v>5</v>
      </c>
      <c r="AB30" s="714" t="s">
        <v>6</v>
      </c>
      <c r="AC30" s="713" t="s">
        <v>6</v>
      </c>
      <c r="AD30" s="714" t="s">
        <v>6</v>
      </c>
      <c r="AE30" s="713" t="s">
        <v>6</v>
      </c>
      <c r="AF30" s="714" t="s">
        <v>5</v>
      </c>
      <c r="AG30" s="713" t="s">
        <v>5</v>
      </c>
      <c r="AH30" s="714" t="s">
        <v>5</v>
      </c>
      <c r="AI30" s="713" t="s">
        <v>5</v>
      </c>
      <c r="AJ30" s="714" t="s">
        <v>5</v>
      </c>
      <c r="AK30" s="713" t="s">
        <v>5</v>
      </c>
      <c r="AL30" s="714" t="s">
        <v>5</v>
      </c>
      <c r="AM30" s="713" t="s">
        <v>5</v>
      </c>
      <c r="AN30" s="726" t="s">
        <v>5</v>
      </c>
    </row>
    <row r="31" spans="2:40" hidden="1">
      <c r="B31" s="177" t="s">
        <v>468</v>
      </c>
      <c r="C31" s="581"/>
      <c r="D31" s="581"/>
      <c r="E31" s="581"/>
      <c r="F31" s="581"/>
      <c r="G31" s="581"/>
      <c r="H31" s="581"/>
      <c r="I31" s="581"/>
      <c r="J31" s="581"/>
      <c r="M31" s="713" t="s">
        <v>5</v>
      </c>
      <c r="N31" s="714" t="s">
        <v>5</v>
      </c>
      <c r="O31" s="713" t="s">
        <v>5</v>
      </c>
      <c r="P31" s="714" t="s">
        <v>5</v>
      </c>
      <c r="Q31" s="713" t="s">
        <v>5</v>
      </c>
      <c r="R31" s="714" t="s">
        <v>5</v>
      </c>
      <c r="S31" s="713" t="s">
        <v>6</v>
      </c>
      <c r="T31" s="714" t="s">
        <v>5</v>
      </c>
      <c r="U31" s="713" t="s">
        <v>6</v>
      </c>
      <c r="V31" s="714" t="s">
        <v>6</v>
      </c>
      <c r="W31" s="713" t="s">
        <v>6</v>
      </c>
      <c r="X31" s="714" t="s">
        <v>6</v>
      </c>
      <c r="Y31" s="713" t="s">
        <v>5</v>
      </c>
      <c r="Z31" s="714" t="s">
        <v>6</v>
      </c>
      <c r="AA31" s="713" t="s">
        <v>5</v>
      </c>
      <c r="AB31" s="714" t="s">
        <v>6</v>
      </c>
      <c r="AC31" s="713" t="s">
        <v>6</v>
      </c>
      <c r="AD31" s="714" t="s">
        <v>6</v>
      </c>
      <c r="AE31" s="713" t="s">
        <v>6</v>
      </c>
      <c r="AF31" s="714" t="s">
        <v>5</v>
      </c>
      <c r="AG31" s="713" t="s">
        <v>5</v>
      </c>
      <c r="AH31" s="714" t="s">
        <v>5</v>
      </c>
      <c r="AI31" s="713" t="s">
        <v>5</v>
      </c>
      <c r="AJ31" s="714" t="s">
        <v>5</v>
      </c>
      <c r="AK31" s="713" t="s">
        <v>5</v>
      </c>
      <c r="AL31" s="714" t="s">
        <v>5</v>
      </c>
      <c r="AM31" s="713" t="s">
        <v>5</v>
      </c>
      <c r="AN31" s="726" t="s">
        <v>5</v>
      </c>
    </row>
    <row r="32" spans="2:40" hidden="1">
      <c r="B32" s="177" t="s">
        <v>469</v>
      </c>
      <c r="C32" s="581"/>
      <c r="D32" s="581"/>
      <c r="E32" s="581"/>
      <c r="F32" s="581"/>
      <c r="G32" s="581"/>
      <c r="H32" s="581"/>
      <c r="I32" s="581"/>
      <c r="J32" s="581"/>
      <c r="M32" s="713" t="s">
        <v>5</v>
      </c>
      <c r="N32" s="714" t="s">
        <v>5</v>
      </c>
      <c r="O32" s="713" t="s">
        <v>5</v>
      </c>
      <c r="P32" s="714" t="s">
        <v>5</v>
      </c>
      <c r="Q32" s="713" t="s">
        <v>5</v>
      </c>
      <c r="R32" s="714" t="s">
        <v>5</v>
      </c>
      <c r="S32" s="713" t="s">
        <v>6</v>
      </c>
      <c r="T32" s="714" t="s">
        <v>5</v>
      </c>
      <c r="U32" s="713" t="s">
        <v>6</v>
      </c>
      <c r="V32" s="714" t="s">
        <v>6</v>
      </c>
      <c r="W32" s="713" t="s">
        <v>6</v>
      </c>
      <c r="X32" s="714" t="s">
        <v>6</v>
      </c>
      <c r="Y32" s="713" t="s">
        <v>5</v>
      </c>
      <c r="Z32" s="714" t="s">
        <v>6</v>
      </c>
      <c r="AA32" s="713" t="s">
        <v>5</v>
      </c>
      <c r="AB32" s="714" t="s">
        <v>6</v>
      </c>
      <c r="AC32" s="713" t="s">
        <v>6</v>
      </c>
      <c r="AD32" s="714" t="s">
        <v>6</v>
      </c>
      <c r="AE32" s="713" t="s">
        <v>6</v>
      </c>
      <c r="AF32" s="714" t="s">
        <v>5</v>
      </c>
      <c r="AG32" s="713" t="s">
        <v>5</v>
      </c>
      <c r="AH32" s="714" t="s">
        <v>5</v>
      </c>
      <c r="AI32" s="713" t="s">
        <v>5</v>
      </c>
      <c r="AJ32" s="714" t="s">
        <v>5</v>
      </c>
      <c r="AK32" s="713" t="s">
        <v>5</v>
      </c>
      <c r="AL32" s="714" t="s">
        <v>5</v>
      </c>
      <c r="AM32" s="713" t="s">
        <v>5</v>
      </c>
      <c r="AN32" s="726" t="s">
        <v>5</v>
      </c>
    </row>
    <row r="33" spans="2:40" hidden="1">
      <c r="B33" s="177" t="s">
        <v>470</v>
      </c>
      <c r="C33" s="581"/>
      <c r="D33" s="581"/>
      <c r="E33" s="581"/>
      <c r="F33" s="581"/>
      <c r="G33" s="581"/>
      <c r="H33" s="581"/>
      <c r="I33" s="581"/>
      <c r="J33" s="581"/>
      <c r="M33" s="713" t="s">
        <v>5</v>
      </c>
      <c r="N33" s="714" t="s">
        <v>5</v>
      </c>
      <c r="O33" s="713" t="s">
        <v>5</v>
      </c>
      <c r="P33" s="714" t="s">
        <v>5</v>
      </c>
      <c r="Q33" s="713" t="s">
        <v>5</v>
      </c>
      <c r="R33" s="714" t="s">
        <v>5</v>
      </c>
      <c r="S33" s="713" t="s">
        <v>6</v>
      </c>
      <c r="T33" s="714" t="s">
        <v>5</v>
      </c>
      <c r="U33" s="713" t="s">
        <v>6</v>
      </c>
      <c r="V33" s="714" t="s">
        <v>6</v>
      </c>
      <c r="W33" s="713" t="s">
        <v>6</v>
      </c>
      <c r="X33" s="714" t="s">
        <v>6</v>
      </c>
      <c r="Y33" s="713" t="s">
        <v>5</v>
      </c>
      <c r="Z33" s="714" t="s">
        <v>6</v>
      </c>
      <c r="AA33" s="713" t="s">
        <v>5</v>
      </c>
      <c r="AB33" s="714" t="s">
        <v>6</v>
      </c>
      <c r="AC33" s="713" t="s">
        <v>6</v>
      </c>
      <c r="AD33" s="714" t="s">
        <v>6</v>
      </c>
      <c r="AE33" s="713" t="s">
        <v>6</v>
      </c>
      <c r="AF33" s="714" t="s">
        <v>5</v>
      </c>
      <c r="AG33" s="713" t="s">
        <v>5</v>
      </c>
      <c r="AH33" s="714" t="s">
        <v>5</v>
      </c>
      <c r="AI33" s="713" t="s">
        <v>5</v>
      </c>
      <c r="AJ33" s="714" t="s">
        <v>5</v>
      </c>
      <c r="AK33" s="713" t="s">
        <v>5</v>
      </c>
      <c r="AL33" s="714" t="s">
        <v>5</v>
      </c>
      <c r="AM33" s="713" t="s">
        <v>5</v>
      </c>
      <c r="AN33" s="726" t="s">
        <v>5</v>
      </c>
    </row>
    <row r="34" spans="2:40" hidden="1">
      <c r="B34" s="177" t="s">
        <v>471</v>
      </c>
      <c r="C34" s="581"/>
      <c r="D34" s="581"/>
      <c r="E34" s="581"/>
      <c r="F34" s="581"/>
      <c r="G34" s="581"/>
      <c r="H34" s="581"/>
      <c r="I34" s="581"/>
      <c r="J34" s="581"/>
      <c r="M34" s="713" t="s">
        <v>5</v>
      </c>
      <c r="N34" s="714" t="s">
        <v>5</v>
      </c>
      <c r="O34" s="713" t="s">
        <v>5</v>
      </c>
      <c r="P34" s="714" t="s">
        <v>5</v>
      </c>
      <c r="Q34" s="713" t="s">
        <v>5</v>
      </c>
      <c r="R34" s="714" t="s">
        <v>5</v>
      </c>
      <c r="S34" s="713" t="s">
        <v>6</v>
      </c>
      <c r="T34" s="714" t="s">
        <v>5</v>
      </c>
      <c r="U34" s="713" t="s">
        <v>6</v>
      </c>
      <c r="V34" s="714" t="s">
        <v>6</v>
      </c>
      <c r="W34" s="713" t="s">
        <v>6</v>
      </c>
      <c r="X34" s="714" t="s">
        <v>6</v>
      </c>
      <c r="Y34" s="713" t="s">
        <v>5</v>
      </c>
      <c r="Z34" s="714" t="s">
        <v>6</v>
      </c>
      <c r="AA34" s="713" t="s">
        <v>5</v>
      </c>
      <c r="AB34" s="714" t="s">
        <v>6</v>
      </c>
      <c r="AC34" s="713" t="s">
        <v>6</v>
      </c>
      <c r="AD34" s="714" t="s">
        <v>6</v>
      </c>
      <c r="AE34" s="713" t="s">
        <v>6</v>
      </c>
      <c r="AF34" s="714" t="s">
        <v>5</v>
      </c>
      <c r="AG34" s="713" t="s">
        <v>5</v>
      </c>
      <c r="AH34" s="714" t="s">
        <v>5</v>
      </c>
      <c r="AI34" s="713" t="s">
        <v>5</v>
      </c>
      <c r="AJ34" s="714" t="s">
        <v>5</v>
      </c>
      <c r="AK34" s="713" t="s">
        <v>5</v>
      </c>
      <c r="AL34" s="714" t="s">
        <v>5</v>
      </c>
      <c r="AM34" s="713" t="s">
        <v>5</v>
      </c>
      <c r="AN34" s="726" t="s">
        <v>5</v>
      </c>
    </row>
    <row r="35" spans="2:40">
      <c r="B35" s="177" t="s">
        <v>472</v>
      </c>
      <c r="C35" s="581"/>
      <c r="D35" s="581"/>
      <c r="E35" s="581"/>
      <c r="F35" s="581"/>
      <c r="G35" s="581"/>
      <c r="H35" s="581"/>
      <c r="I35" s="581"/>
      <c r="J35" s="581"/>
      <c r="M35" s="713" t="s">
        <v>5</v>
      </c>
      <c r="N35" s="714" t="s">
        <v>5</v>
      </c>
      <c r="O35" s="713" t="s">
        <v>5</v>
      </c>
      <c r="P35" s="714" t="s">
        <v>5</v>
      </c>
      <c r="Q35" s="713" t="s">
        <v>5</v>
      </c>
      <c r="R35" s="714" t="s">
        <v>5</v>
      </c>
      <c r="S35" s="713" t="s">
        <v>6</v>
      </c>
      <c r="T35" s="714" t="s">
        <v>5</v>
      </c>
      <c r="U35" s="713" t="s">
        <v>5</v>
      </c>
      <c r="V35" s="714" t="s">
        <v>6</v>
      </c>
      <c r="W35" s="713" t="s">
        <v>5</v>
      </c>
      <c r="X35" s="714" t="s">
        <v>6</v>
      </c>
      <c r="Y35" s="713" t="s">
        <v>6</v>
      </c>
      <c r="Z35" s="714" t="s">
        <v>6</v>
      </c>
      <c r="AA35" s="713" t="s">
        <v>5</v>
      </c>
      <c r="AB35" s="714" t="s">
        <v>5</v>
      </c>
      <c r="AC35" s="713" t="s">
        <v>6</v>
      </c>
      <c r="AD35" s="714" t="s">
        <v>5</v>
      </c>
      <c r="AE35" s="713" t="s">
        <v>6</v>
      </c>
      <c r="AF35" s="714" t="s">
        <v>6</v>
      </c>
      <c r="AG35" s="713" t="s">
        <v>5</v>
      </c>
      <c r="AH35" s="714" t="s">
        <v>5</v>
      </c>
      <c r="AI35" s="713" t="s">
        <v>5</v>
      </c>
      <c r="AJ35" s="714" t="s">
        <v>5</v>
      </c>
      <c r="AK35" s="713" t="s">
        <v>5</v>
      </c>
      <c r="AL35" s="714" t="s">
        <v>5</v>
      </c>
      <c r="AM35" s="713" t="s">
        <v>5</v>
      </c>
      <c r="AN35" s="726" t="s">
        <v>5</v>
      </c>
    </row>
    <row r="36" spans="2:40">
      <c r="B36" s="177" t="s">
        <v>473</v>
      </c>
      <c r="C36" s="581"/>
      <c r="D36" s="581"/>
      <c r="E36" s="581"/>
      <c r="F36" s="581"/>
      <c r="G36" s="581"/>
      <c r="H36" s="581"/>
      <c r="I36" s="581"/>
      <c r="J36" s="581"/>
      <c r="M36" s="713" t="s">
        <v>5</v>
      </c>
      <c r="N36" s="714" t="s">
        <v>5</v>
      </c>
      <c r="O36" s="713" t="s">
        <v>5</v>
      </c>
      <c r="P36" s="714" t="s">
        <v>5</v>
      </c>
      <c r="Q36" s="713" t="s">
        <v>5</v>
      </c>
      <c r="R36" s="714" t="s">
        <v>5</v>
      </c>
      <c r="S36" s="713" t="s">
        <v>6</v>
      </c>
      <c r="T36" s="714" t="s">
        <v>5</v>
      </c>
      <c r="U36" s="713" t="s">
        <v>5</v>
      </c>
      <c r="V36" s="714" t="s">
        <v>6</v>
      </c>
      <c r="W36" s="713" t="s">
        <v>5</v>
      </c>
      <c r="X36" s="714" t="s">
        <v>6</v>
      </c>
      <c r="Y36" s="713" t="s">
        <v>6</v>
      </c>
      <c r="Z36" s="714" t="s">
        <v>6</v>
      </c>
      <c r="AA36" s="713" t="s">
        <v>5</v>
      </c>
      <c r="AB36" s="714" t="s">
        <v>5</v>
      </c>
      <c r="AC36" s="713" t="s">
        <v>6</v>
      </c>
      <c r="AD36" s="714" t="s">
        <v>5</v>
      </c>
      <c r="AE36" s="713" t="s">
        <v>6</v>
      </c>
      <c r="AF36" s="714" t="s">
        <v>6</v>
      </c>
      <c r="AG36" s="713" t="s">
        <v>5</v>
      </c>
      <c r="AH36" s="714" t="s">
        <v>5</v>
      </c>
      <c r="AI36" s="713" t="s">
        <v>5</v>
      </c>
      <c r="AJ36" s="714" t="s">
        <v>5</v>
      </c>
      <c r="AK36" s="713" t="s">
        <v>5</v>
      </c>
      <c r="AL36" s="714" t="s">
        <v>5</v>
      </c>
      <c r="AM36" s="713" t="s">
        <v>5</v>
      </c>
      <c r="AN36" s="726" t="s">
        <v>5</v>
      </c>
    </row>
    <row r="37" spans="13:40" hidden="1">
      <c r="M37" s="713" t="s">
        <v>5</v>
      </c>
      <c r="N37" s="714" t="s">
        <v>5</v>
      </c>
      <c r="O37" s="713" t="s">
        <v>5</v>
      </c>
      <c r="P37" s="714" t="s">
        <v>5</v>
      </c>
      <c r="Q37" s="713" t="s">
        <v>5</v>
      </c>
      <c r="R37" s="714" t="s">
        <v>5</v>
      </c>
      <c r="S37" s="713" t="s">
        <v>5</v>
      </c>
      <c r="T37" s="714" t="s">
        <v>5</v>
      </c>
      <c r="U37" s="713" t="s">
        <v>5</v>
      </c>
      <c r="V37" s="714" t="s">
        <v>5</v>
      </c>
      <c r="W37" s="713" t="s">
        <v>5</v>
      </c>
      <c r="X37" s="714" t="s">
        <v>5</v>
      </c>
      <c r="Y37" s="713" t="s">
        <v>5</v>
      </c>
      <c r="Z37" s="714" t="s">
        <v>5</v>
      </c>
      <c r="AA37" s="713" t="s">
        <v>5</v>
      </c>
      <c r="AB37" s="714" t="s">
        <v>5</v>
      </c>
      <c r="AC37" s="713" t="s">
        <v>5</v>
      </c>
      <c r="AD37" s="714" t="s">
        <v>5</v>
      </c>
      <c r="AE37" s="713" t="s">
        <v>5</v>
      </c>
      <c r="AF37" s="714" t="s">
        <v>5</v>
      </c>
      <c r="AG37" s="713" t="s">
        <v>6</v>
      </c>
      <c r="AH37" s="714" t="s">
        <v>6</v>
      </c>
      <c r="AI37" s="713" t="s">
        <v>6</v>
      </c>
      <c r="AJ37" s="714" t="s">
        <v>6</v>
      </c>
      <c r="AK37" s="713" t="s">
        <v>6</v>
      </c>
      <c r="AL37" s="714" t="s">
        <v>6</v>
      </c>
      <c r="AM37" s="713" t="s">
        <v>6</v>
      </c>
      <c r="AN37" s="726" t="s">
        <v>5</v>
      </c>
    </row>
    <row r="38" spans="2:40" hidden="1">
      <c r="B38" s="547" t="s">
        <v>138</v>
      </c>
      <c r="M38" s="713" t="s">
        <v>5</v>
      </c>
      <c r="N38" s="714" t="s">
        <v>5</v>
      </c>
      <c r="O38" s="713" t="s">
        <v>5</v>
      </c>
      <c r="P38" s="714" t="s">
        <v>5</v>
      </c>
      <c r="Q38" s="713" t="s">
        <v>5</v>
      </c>
      <c r="R38" s="714" t="s">
        <v>5</v>
      </c>
      <c r="S38" s="713" t="s">
        <v>5</v>
      </c>
      <c r="T38" s="714" t="s">
        <v>5</v>
      </c>
      <c r="U38" s="713" t="s">
        <v>5</v>
      </c>
      <c r="V38" s="714" t="s">
        <v>5</v>
      </c>
      <c r="W38" s="713" t="s">
        <v>5</v>
      </c>
      <c r="X38" s="714" t="s">
        <v>5</v>
      </c>
      <c r="Y38" s="713" t="s">
        <v>5</v>
      </c>
      <c r="Z38" s="714" t="s">
        <v>5</v>
      </c>
      <c r="AA38" s="713" t="s">
        <v>5</v>
      </c>
      <c r="AB38" s="714" t="s">
        <v>5</v>
      </c>
      <c r="AC38" s="713" t="s">
        <v>5</v>
      </c>
      <c r="AD38" s="714" t="s">
        <v>5</v>
      </c>
      <c r="AE38" s="713" t="s">
        <v>5</v>
      </c>
      <c r="AF38" s="714" t="s">
        <v>5</v>
      </c>
      <c r="AG38" s="713" t="s">
        <v>6</v>
      </c>
      <c r="AH38" s="714" t="s">
        <v>6</v>
      </c>
      <c r="AI38" s="713" t="s">
        <v>6</v>
      </c>
      <c r="AJ38" s="714" t="s">
        <v>6</v>
      </c>
      <c r="AK38" s="713" t="s">
        <v>6</v>
      </c>
      <c r="AL38" s="714" t="s">
        <v>6</v>
      </c>
      <c r="AM38" s="713" t="s">
        <v>6</v>
      </c>
      <c r="AN38" s="726" t="s">
        <v>5</v>
      </c>
    </row>
    <row r="39" spans="2:40" hidden="1">
      <c r="B39" s="702" t="str">
        <f>IF(OR(SEN1_Value="Please Select",SEN1_Value=""),"",SEN1_Value)</f>
        <v/>
      </c>
      <c r="M39" s="713" t="s">
        <v>5</v>
      </c>
      <c r="N39" s="714" t="s">
        <v>5</v>
      </c>
      <c r="O39" s="713" t="s">
        <v>5</v>
      </c>
      <c r="P39" s="714" t="s">
        <v>5</v>
      </c>
      <c r="Q39" s="713" t="s">
        <v>5</v>
      </c>
      <c r="R39" s="714" t="s">
        <v>5</v>
      </c>
      <c r="S39" s="713" t="s">
        <v>5</v>
      </c>
      <c r="T39" s="714" t="s">
        <v>5</v>
      </c>
      <c r="U39" s="713" t="s">
        <v>5</v>
      </c>
      <c r="V39" s="714" t="s">
        <v>5</v>
      </c>
      <c r="W39" s="713" t="s">
        <v>5</v>
      </c>
      <c r="X39" s="714" t="s">
        <v>5</v>
      </c>
      <c r="Y39" s="713" t="s">
        <v>5</v>
      </c>
      <c r="Z39" s="714" t="s">
        <v>5</v>
      </c>
      <c r="AA39" s="713" t="s">
        <v>5</v>
      </c>
      <c r="AB39" s="714" t="s">
        <v>5</v>
      </c>
      <c r="AC39" s="713" t="s">
        <v>5</v>
      </c>
      <c r="AD39" s="714" t="s">
        <v>5</v>
      </c>
      <c r="AE39" s="713" t="s">
        <v>5</v>
      </c>
      <c r="AF39" s="714" t="s">
        <v>5</v>
      </c>
      <c r="AG39" s="713" t="s">
        <v>6</v>
      </c>
      <c r="AH39" s="714" t="s">
        <v>6</v>
      </c>
      <c r="AI39" s="713" t="s">
        <v>6</v>
      </c>
      <c r="AJ39" s="714" t="s">
        <v>6</v>
      </c>
      <c r="AK39" s="713" t="s">
        <v>6</v>
      </c>
      <c r="AL39" s="714" t="s">
        <v>6</v>
      </c>
      <c r="AM39" s="713" t="s">
        <v>6</v>
      </c>
      <c r="AN39" s="726" t="s">
        <v>5</v>
      </c>
    </row>
    <row r="40" spans="2:40" hidden="1">
      <c r="B40" s="547" t="s">
        <v>460</v>
      </c>
      <c r="C40" s="581"/>
      <c r="D40" s="581"/>
      <c r="E40" s="581"/>
      <c r="F40" s="581"/>
      <c r="G40" s="581"/>
      <c r="H40" s="581"/>
      <c r="I40" s="581"/>
      <c r="J40" s="581"/>
      <c r="M40" s="713" t="s">
        <v>5</v>
      </c>
      <c r="N40" s="714" t="s">
        <v>5</v>
      </c>
      <c r="O40" s="713" t="s">
        <v>5</v>
      </c>
      <c r="P40" s="714" t="s">
        <v>5</v>
      </c>
      <c r="Q40" s="713" t="s">
        <v>5</v>
      </c>
      <c r="R40" s="714" t="s">
        <v>5</v>
      </c>
      <c r="S40" s="713" t="s">
        <v>5</v>
      </c>
      <c r="T40" s="714" t="s">
        <v>5</v>
      </c>
      <c r="U40" s="713" t="s">
        <v>5</v>
      </c>
      <c r="V40" s="714" t="s">
        <v>5</v>
      </c>
      <c r="W40" s="713" t="s">
        <v>5</v>
      </c>
      <c r="X40" s="714" t="s">
        <v>5</v>
      </c>
      <c r="Y40" s="713" t="s">
        <v>5</v>
      </c>
      <c r="Z40" s="714" t="s">
        <v>5</v>
      </c>
      <c r="AA40" s="713" t="s">
        <v>5</v>
      </c>
      <c r="AB40" s="714" t="s">
        <v>5</v>
      </c>
      <c r="AC40" s="713" t="s">
        <v>5</v>
      </c>
      <c r="AD40" s="714" t="s">
        <v>5</v>
      </c>
      <c r="AE40" s="713" t="s">
        <v>5</v>
      </c>
      <c r="AF40" s="714" t="s">
        <v>5</v>
      </c>
      <c r="AG40" s="713" t="s">
        <v>6</v>
      </c>
      <c r="AH40" s="714" t="s">
        <v>6</v>
      </c>
      <c r="AI40" s="713" t="s">
        <v>5</v>
      </c>
      <c r="AJ40" s="714" t="s">
        <v>5</v>
      </c>
      <c r="AK40" s="713" t="s">
        <v>6</v>
      </c>
      <c r="AL40" s="714" t="s">
        <v>6</v>
      </c>
      <c r="AM40" s="713" t="s">
        <v>5</v>
      </c>
      <c r="AN40" s="726" t="s">
        <v>5</v>
      </c>
    </row>
    <row r="41" spans="2:40" hidden="1">
      <c r="B41" s="547" t="s">
        <v>461</v>
      </c>
      <c r="C41" s="581"/>
      <c r="D41" s="581"/>
      <c r="E41" s="581"/>
      <c r="F41" s="581"/>
      <c r="G41" s="581"/>
      <c r="H41" s="581"/>
      <c r="I41" s="581"/>
      <c r="J41" s="581"/>
      <c r="M41" s="713" t="s">
        <v>5</v>
      </c>
      <c r="N41" s="714" t="s">
        <v>5</v>
      </c>
      <c r="O41" s="713" t="s">
        <v>5</v>
      </c>
      <c r="P41" s="714" t="s">
        <v>5</v>
      </c>
      <c r="Q41" s="713" t="s">
        <v>5</v>
      </c>
      <c r="R41" s="714" t="s">
        <v>5</v>
      </c>
      <c r="S41" s="713" t="s">
        <v>5</v>
      </c>
      <c r="T41" s="714" t="s">
        <v>5</v>
      </c>
      <c r="U41" s="713" t="s">
        <v>5</v>
      </c>
      <c r="V41" s="714" t="s">
        <v>5</v>
      </c>
      <c r="W41" s="713" t="s">
        <v>5</v>
      </c>
      <c r="X41" s="714" t="s">
        <v>5</v>
      </c>
      <c r="Y41" s="713" t="s">
        <v>5</v>
      </c>
      <c r="Z41" s="714" t="s">
        <v>5</v>
      </c>
      <c r="AA41" s="713" t="s">
        <v>5</v>
      </c>
      <c r="AB41" s="714" t="s">
        <v>5</v>
      </c>
      <c r="AC41" s="713" t="s">
        <v>5</v>
      </c>
      <c r="AD41" s="714" t="s">
        <v>5</v>
      </c>
      <c r="AE41" s="713" t="s">
        <v>5</v>
      </c>
      <c r="AF41" s="714" t="s">
        <v>5</v>
      </c>
      <c r="AG41" s="713" t="s">
        <v>6</v>
      </c>
      <c r="AH41" s="714" t="s">
        <v>6</v>
      </c>
      <c r="AI41" s="713" t="s">
        <v>5</v>
      </c>
      <c r="AJ41" s="714" t="s">
        <v>5</v>
      </c>
      <c r="AK41" s="713" t="s">
        <v>6</v>
      </c>
      <c r="AL41" s="714" t="s">
        <v>6</v>
      </c>
      <c r="AM41" s="713" t="s">
        <v>5</v>
      </c>
      <c r="AN41" s="726" t="s">
        <v>5</v>
      </c>
    </row>
    <row r="42" spans="2:40" hidden="1">
      <c r="B42" s="547" t="s">
        <v>462</v>
      </c>
      <c r="C42" s="581"/>
      <c r="D42" s="581"/>
      <c r="E42" s="581"/>
      <c r="F42" s="581"/>
      <c r="G42" s="581"/>
      <c r="H42" s="581"/>
      <c r="I42" s="581"/>
      <c r="J42" s="581"/>
      <c r="M42" s="713" t="s">
        <v>5</v>
      </c>
      <c r="N42" s="714" t="s">
        <v>5</v>
      </c>
      <c r="O42" s="713" t="s">
        <v>5</v>
      </c>
      <c r="P42" s="714" t="s">
        <v>5</v>
      </c>
      <c r="Q42" s="713" t="s">
        <v>5</v>
      </c>
      <c r="R42" s="714" t="s">
        <v>5</v>
      </c>
      <c r="S42" s="713" t="s">
        <v>5</v>
      </c>
      <c r="T42" s="714" t="s">
        <v>5</v>
      </c>
      <c r="U42" s="713" t="s">
        <v>5</v>
      </c>
      <c r="V42" s="714" t="s">
        <v>5</v>
      </c>
      <c r="W42" s="713" t="s">
        <v>5</v>
      </c>
      <c r="X42" s="714" t="s">
        <v>5</v>
      </c>
      <c r="Y42" s="713" t="s">
        <v>5</v>
      </c>
      <c r="Z42" s="714" t="s">
        <v>5</v>
      </c>
      <c r="AA42" s="713" t="s">
        <v>5</v>
      </c>
      <c r="AB42" s="714" t="s">
        <v>5</v>
      </c>
      <c r="AC42" s="713" t="s">
        <v>5</v>
      </c>
      <c r="AD42" s="714" t="s">
        <v>5</v>
      </c>
      <c r="AE42" s="713" t="s">
        <v>5</v>
      </c>
      <c r="AF42" s="714" t="s">
        <v>5</v>
      </c>
      <c r="AG42" s="713" t="s">
        <v>6</v>
      </c>
      <c r="AH42" s="714" t="s">
        <v>6</v>
      </c>
      <c r="AI42" s="713" t="s">
        <v>5</v>
      </c>
      <c r="AJ42" s="714" t="s">
        <v>5</v>
      </c>
      <c r="AK42" s="713" t="s">
        <v>6</v>
      </c>
      <c r="AL42" s="714" t="s">
        <v>6</v>
      </c>
      <c r="AM42" s="713" t="s">
        <v>5</v>
      </c>
      <c r="AN42" s="726" t="s">
        <v>5</v>
      </c>
    </row>
    <row r="43" spans="2:40" hidden="1">
      <c r="B43" s="547" t="s">
        <v>463</v>
      </c>
      <c r="C43" s="581"/>
      <c r="D43" s="581"/>
      <c r="E43" s="581"/>
      <c r="F43" s="581"/>
      <c r="G43" s="581"/>
      <c r="H43" s="581"/>
      <c r="I43" s="581"/>
      <c r="J43" s="581"/>
      <c r="M43" s="713" t="s">
        <v>5</v>
      </c>
      <c r="N43" s="714" t="s">
        <v>5</v>
      </c>
      <c r="O43" s="713" t="s">
        <v>5</v>
      </c>
      <c r="P43" s="714" t="s">
        <v>5</v>
      </c>
      <c r="Q43" s="713" t="s">
        <v>5</v>
      </c>
      <c r="R43" s="714" t="s">
        <v>5</v>
      </c>
      <c r="S43" s="713" t="s">
        <v>5</v>
      </c>
      <c r="T43" s="714" t="s">
        <v>5</v>
      </c>
      <c r="U43" s="713" t="s">
        <v>5</v>
      </c>
      <c r="V43" s="714" t="s">
        <v>5</v>
      </c>
      <c r="W43" s="713" t="s">
        <v>5</v>
      </c>
      <c r="X43" s="714" t="s">
        <v>5</v>
      </c>
      <c r="Y43" s="713" t="s">
        <v>5</v>
      </c>
      <c r="Z43" s="714" t="s">
        <v>5</v>
      </c>
      <c r="AA43" s="713" t="s">
        <v>5</v>
      </c>
      <c r="AB43" s="714" t="s">
        <v>5</v>
      </c>
      <c r="AC43" s="713" t="s">
        <v>5</v>
      </c>
      <c r="AD43" s="714" t="s">
        <v>5</v>
      </c>
      <c r="AE43" s="713" t="s">
        <v>5</v>
      </c>
      <c r="AF43" s="714" t="s">
        <v>5</v>
      </c>
      <c r="AG43" s="713" t="s">
        <v>6</v>
      </c>
      <c r="AH43" s="714" t="s">
        <v>6</v>
      </c>
      <c r="AI43" s="713" t="s">
        <v>5</v>
      </c>
      <c r="AJ43" s="714" t="s">
        <v>5</v>
      </c>
      <c r="AK43" s="713" t="s">
        <v>6</v>
      </c>
      <c r="AL43" s="714" t="s">
        <v>6</v>
      </c>
      <c r="AM43" s="713" t="s">
        <v>5</v>
      </c>
      <c r="AN43" s="726" t="s">
        <v>5</v>
      </c>
    </row>
    <row r="44" spans="2:40" hidden="1">
      <c r="B44" s="547" t="s">
        <v>464</v>
      </c>
      <c r="C44" s="581"/>
      <c r="D44" s="581"/>
      <c r="E44" s="581"/>
      <c r="F44" s="581"/>
      <c r="G44" s="581"/>
      <c r="H44" s="581"/>
      <c r="I44" s="581"/>
      <c r="J44" s="581"/>
      <c r="M44" s="713" t="s">
        <v>5</v>
      </c>
      <c r="N44" s="714" t="s">
        <v>5</v>
      </c>
      <c r="O44" s="713" t="s">
        <v>5</v>
      </c>
      <c r="P44" s="714" t="s">
        <v>5</v>
      </c>
      <c r="Q44" s="713" t="s">
        <v>5</v>
      </c>
      <c r="R44" s="714" t="s">
        <v>5</v>
      </c>
      <c r="S44" s="713" t="s">
        <v>5</v>
      </c>
      <c r="T44" s="714" t="s">
        <v>5</v>
      </c>
      <c r="U44" s="713" t="s">
        <v>5</v>
      </c>
      <c r="V44" s="714" t="s">
        <v>5</v>
      </c>
      <c r="W44" s="713" t="s">
        <v>5</v>
      </c>
      <c r="X44" s="714" t="s">
        <v>5</v>
      </c>
      <c r="Y44" s="713" t="s">
        <v>5</v>
      </c>
      <c r="Z44" s="714" t="s">
        <v>5</v>
      </c>
      <c r="AA44" s="713" t="s">
        <v>5</v>
      </c>
      <c r="AB44" s="714" t="s">
        <v>5</v>
      </c>
      <c r="AC44" s="713" t="s">
        <v>5</v>
      </c>
      <c r="AD44" s="714" t="s">
        <v>5</v>
      </c>
      <c r="AE44" s="713" t="s">
        <v>5</v>
      </c>
      <c r="AF44" s="714" t="s">
        <v>5</v>
      </c>
      <c r="AG44" s="713" t="s">
        <v>6</v>
      </c>
      <c r="AH44" s="714" t="s">
        <v>6</v>
      </c>
      <c r="AI44" s="713" t="s">
        <v>5</v>
      </c>
      <c r="AJ44" s="714" t="s">
        <v>5</v>
      </c>
      <c r="AK44" s="713" t="s">
        <v>6</v>
      </c>
      <c r="AL44" s="714" t="s">
        <v>6</v>
      </c>
      <c r="AM44" s="713" t="s">
        <v>5</v>
      </c>
      <c r="AN44" s="726" t="s">
        <v>5</v>
      </c>
    </row>
    <row r="45" spans="2:40" hidden="1">
      <c r="B45" s="547" t="s">
        <v>465</v>
      </c>
      <c r="C45" s="581"/>
      <c r="D45" s="581"/>
      <c r="E45" s="581"/>
      <c r="F45" s="581"/>
      <c r="G45" s="581"/>
      <c r="H45" s="581"/>
      <c r="I45" s="581"/>
      <c r="J45" s="581"/>
      <c r="M45" s="713" t="s">
        <v>5</v>
      </c>
      <c r="N45" s="714" t="s">
        <v>5</v>
      </c>
      <c r="O45" s="713" t="s">
        <v>5</v>
      </c>
      <c r="P45" s="714" t="s">
        <v>5</v>
      </c>
      <c r="Q45" s="713" t="s">
        <v>5</v>
      </c>
      <c r="R45" s="714" t="s">
        <v>5</v>
      </c>
      <c r="S45" s="713" t="s">
        <v>5</v>
      </c>
      <c r="T45" s="714" t="s">
        <v>5</v>
      </c>
      <c r="U45" s="713" t="s">
        <v>5</v>
      </c>
      <c r="V45" s="714" t="s">
        <v>5</v>
      </c>
      <c r="W45" s="713" t="s">
        <v>5</v>
      </c>
      <c r="X45" s="714" t="s">
        <v>5</v>
      </c>
      <c r="Y45" s="713" t="s">
        <v>5</v>
      </c>
      <c r="Z45" s="714" t="s">
        <v>5</v>
      </c>
      <c r="AA45" s="713" t="s">
        <v>5</v>
      </c>
      <c r="AB45" s="714" t="s">
        <v>5</v>
      </c>
      <c r="AC45" s="713" t="s">
        <v>5</v>
      </c>
      <c r="AD45" s="714" t="s">
        <v>5</v>
      </c>
      <c r="AE45" s="713" t="s">
        <v>5</v>
      </c>
      <c r="AF45" s="714" t="s">
        <v>5</v>
      </c>
      <c r="AG45" s="713" t="s">
        <v>6</v>
      </c>
      <c r="AH45" s="714" t="s">
        <v>6</v>
      </c>
      <c r="AI45" s="713" t="s">
        <v>5</v>
      </c>
      <c r="AJ45" s="714" t="s">
        <v>5</v>
      </c>
      <c r="AK45" s="713" t="s">
        <v>6</v>
      </c>
      <c r="AL45" s="714" t="s">
        <v>6</v>
      </c>
      <c r="AM45" s="713" t="s">
        <v>5</v>
      </c>
      <c r="AN45" s="726" t="s">
        <v>5</v>
      </c>
    </row>
    <row r="46" spans="2:40" hidden="1">
      <c r="B46" s="547" t="s">
        <v>466</v>
      </c>
      <c r="C46" s="581"/>
      <c r="D46" s="581"/>
      <c r="E46" s="581"/>
      <c r="F46" s="581"/>
      <c r="G46" s="581"/>
      <c r="H46" s="581"/>
      <c r="I46" s="581"/>
      <c r="J46" s="581"/>
      <c r="M46" s="713" t="s">
        <v>5</v>
      </c>
      <c r="N46" s="714" t="s">
        <v>5</v>
      </c>
      <c r="O46" s="713" t="s">
        <v>5</v>
      </c>
      <c r="P46" s="714" t="s">
        <v>5</v>
      </c>
      <c r="Q46" s="713" t="s">
        <v>5</v>
      </c>
      <c r="R46" s="714" t="s">
        <v>5</v>
      </c>
      <c r="S46" s="713" t="s">
        <v>5</v>
      </c>
      <c r="T46" s="714" t="s">
        <v>5</v>
      </c>
      <c r="U46" s="713" t="s">
        <v>5</v>
      </c>
      <c r="V46" s="714" t="s">
        <v>5</v>
      </c>
      <c r="W46" s="713" t="s">
        <v>5</v>
      </c>
      <c r="X46" s="714" t="s">
        <v>5</v>
      </c>
      <c r="Y46" s="713" t="s">
        <v>5</v>
      </c>
      <c r="Z46" s="714" t="s">
        <v>5</v>
      </c>
      <c r="AA46" s="713" t="s">
        <v>5</v>
      </c>
      <c r="AB46" s="714" t="s">
        <v>5</v>
      </c>
      <c r="AC46" s="713" t="s">
        <v>5</v>
      </c>
      <c r="AD46" s="714" t="s">
        <v>5</v>
      </c>
      <c r="AE46" s="713" t="s">
        <v>5</v>
      </c>
      <c r="AF46" s="714" t="s">
        <v>5</v>
      </c>
      <c r="AG46" s="713" t="s">
        <v>6</v>
      </c>
      <c r="AH46" s="714" t="s">
        <v>6</v>
      </c>
      <c r="AI46" s="713" t="s">
        <v>5</v>
      </c>
      <c r="AJ46" s="714" t="s">
        <v>5</v>
      </c>
      <c r="AK46" s="713" t="s">
        <v>6</v>
      </c>
      <c r="AL46" s="714" t="s">
        <v>6</v>
      </c>
      <c r="AM46" s="713" t="s">
        <v>5</v>
      </c>
      <c r="AN46" s="726" t="s">
        <v>5</v>
      </c>
    </row>
    <row r="47" spans="2:40" hidden="1">
      <c r="B47" s="547" t="s">
        <v>467</v>
      </c>
      <c r="C47" s="581"/>
      <c r="D47" s="581"/>
      <c r="E47" s="581"/>
      <c r="F47" s="581"/>
      <c r="G47" s="581"/>
      <c r="H47" s="581"/>
      <c r="I47" s="581"/>
      <c r="J47" s="581"/>
      <c r="M47" s="713" t="s">
        <v>5</v>
      </c>
      <c r="N47" s="714" t="s">
        <v>5</v>
      </c>
      <c r="O47" s="713" t="s">
        <v>5</v>
      </c>
      <c r="P47" s="714" t="s">
        <v>5</v>
      </c>
      <c r="Q47" s="713" t="s">
        <v>5</v>
      </c>
      <c r="R47" s="714" t="s">
        <v>5</v>
      </c>
      <c r="S47" s="713" t="s">
        <v>5</v>
      </c>
      <c r="T47" s="714" t="s">
        <v>5</v>
      </c>
      <c r="U47" s="713" t="s">
        <v>5</v>
      </c>
      <c r="V47" s="714" t="s">
        <v>5</v>
      </c>
      <c r="W47" s="713" t="s">
        <v>5</v>
      </c>
      <c r="X47" s="714" t="s">
        <v>5</v>
      </c>
      <c r="Y47" s="713" t="s">
        <v>5</v>
      </c>
      <c r="Z47" s="714" t="s">
        <v>5</v>
      </c>
      <c r="AA47" s="713" t="s">
        <v>5</v>
      </c>
      <c r="AB47" s="714" t="s">
        <v>5</v>
      </c>
      <c r="AC47" s="713" t="s">
        <v>5</v>
      </c>
      <c r="AD47" s="714" t="s">
        <v>5</v>
      </c>
      <c r="AE47" s="713" t="s">
        <v>5</v>
      </c>
      <c r="AF47" s="714" t="s">
        <v>5</v>
      </c>
      <c r="AG47" s="713" t="s">
        <v>6</v>
      </c>
      <c r="AH47" s="714" t="s">
        <v>5</v>
      </c>
      <c r="AI47" s="713" t="s">
        <v>6</v>
      </c>
      <c r="AJ47" s="714" t="s">
        <v>6</v>
      </c>
      <c r="AK47" s="713" t="s">
        <v>6</v>
      </c>
      <c r="AL47" s="714" t="s">
        <v>6</v>
      </c>
      <c r="AM47" s="713" t="s">
        <v>5</v>
      </c>
      <c r="AN47" s="726" t="s">
        <v>5</v>
      </c>
    </row>
    <row r="48" spans="2:40" hidden="1">
      <c r="B48" s="547" t="s">
        <v>468</v>
      </c>
      <c r="C48" s="581"/>
      <c r="D48" s="581"/>
      <c r="E48" s="581"/>
      <c r="F48" s="581"/>
      <c r="G48" s="581"/>
      <c r="H48" s="581"/>
      <c r="I48" s="581"/>
      <c r="J48" s="581"/>
      <c r="M48" s="713" t="s">
        <v>5</v>
      </c>
      <c r="N48" s="714" t="s">
        <v>5</v>
      </c>
      <c r="O48" s="713" t="s">
        <v>5</v>
      </c>
      <c r="P48" s="714" t="s">
        <v>5</v>
      </c>
      <c r="Q48" s="713" t="s">
        <v>5</v>
      </c>
      <c r="R48" s="714" t="s">
        <v>5</v>
      </c>
      <c r="S48" s="713" t="s">
        <v>5</v>
      </c>
      <c r="T48" s="714" t="s">
        <v>5</v>
      </c>
      <c r="U48" s="713" t="s">
        <v>5</v>
      </c>
      <c r="V48" s="714" t="s">
        <v>5</v>
      </c>
      <c r="W48" s="713" t="s">
        <v>5</v>
      </c>
      <c r="X48" s="714" t="s">
        <v>5</v>
      </c>
      <c r="Y48" s="713" t="s">
        <v>5</v>
      </c>
      <c r="Z48" s="714" t="s">
        <v>5</v>
      </c>
      <c r="AA48" s="713" t="s">
        <v>5</v>
      </c>
      <c r="AB48" s="714" t="s">
        <v>5</v>
      </c>
      <c r="AC48" s="713" t="s">
        <v>5</v>
      </c>
      <c r="AD48" s="714" t="s">
        <v>5</v>
      </c>
      <c r="AE48" s="713" t="s">
        <v>5</v>
      </c>
      <c r="AF48" s="714" t="s">
        <v>5</v>
      </c>
      <c r="AG48" s="713" t="s">
        <v>6</v>
      </c>
      <c r="AH48" s="714" t="s">
        <v>5</v>
      </c>
      <c r="AI48" s="713" t="s">
        <v>6</v>
      </c>
      <c r="AJ48" s="714" t="s">
        <v>6</v>
      </c>
      <c r="AK48" s="713" t="s">
        <v>6</v>
      </c>
      <c r="AL48" s="714" t="s">
        <v>6</v>
      </c>
      <c r="AM48" s="713" t="s">
        <v>5</v>
      </c>
      <c r="AN48" s="726" t="s">
        <v>5</v>
      </c>
    </row>
    <row r="49" spans="2:40" hidden="1">
      <c r="B49" s="547" t="s">
        <v>469</v>
      </c>
      <c r="C49" s="581"/>
      <c r="D49" s="581"/>
      <c r="E49" s="581"/>
      <c r="F49" s="581"/>
      <c r="G49" s="581"/>
      <c r="H49" s="581"/>
      <c r="I49" s="581"/>
      <c r="J49" s="581"/>
      <c r="M49" s="713" t="s">
        <v>5</v>
      </c>
      <c r="N49" s="714" t="s">
        <v>5</v>
      </c>
      <c r="O49" s="713" t="s">
        <v>5</v>
      </c>
      <c r="P49" s="714" t="s">
        <v>5</v>
      </c>
      <c r="Q49" s="713" t="s">
        <v>5</v>
      </c>
      <c r="R49" s="714" t="s">
        <v>5</v>
      </c>
      <c r="S49" s="713" t="s">
        <v>5</v>
      </c>
      <c r="T49" s="714" t="s">
        <v>5</v>
      </c>
      <c r="U49" s="713" t="s">
        <v>5</v>
      </c>
      <c r="V49" s="714" t="s">
        <v>5</v>
      </c>
      <c r="W49" s="713" t="s">
        <v>5</v>
      </c>
      <c r="X49" s="714" t="s">
        <v>5</v>
      </c>
      <c r="Y49" s="713" t="s">
        <v>5</v>
      </c>
      <c r="Z49" s="714" t="s">
        <v>5</v>
      </c>
      <c r="AA49" s="713" t="s">
        <v>5</v>
      </c>
      <c r="AB49" s="714" t="s">
        <v>5</v>
      </c>
      <c r="AC49" s="713" t="s">
        <v>5</v>
      </c>
      <c r="AD49" s="714" t="s">
        <v>5</v>
      </c>
      <c r="AE49" s="713" t="s">
        <v>5</v>
      </c>
      <c r="AF49" s="714" t="s">
        <v>5</v>
      </c>
      <c r="AG49" s="713" t="s">
        <v>6</v>
      </c>
      <c r="AH49" s="714" t="s">
        <v>5</v>
      </c>
      <c r="AI49" s="713" t="s">
        <v>6</v>
      </c>
      <c r="AJ49" s="714" t="s">
        <v>6</v>
      </c>
      <c r="AK49" s="713" t="s">
        <v>6</v>
      </c>
      <c r="AL49" s="714" t="s">
        <v>6</v>
      </c>
      <c r="AM49" s="713" t="s">
        <v>5</v>
      </c>
      <c r="AN49" s="726" t="s">
        <v>5</v>
      </c>
    </row>
    <row r="50" spans="2:40" hidden="1">
      <c r="B50" s="547" t="s">
        <v>470</v>
      </c>
      <c r="C50" s="581"/>
      <c r="D50" s="581"/>
      <c r="E50" s="581"/>
      <c r="F50" s="581"/>
      <c r="G50" s="581"/>
      <c r="H50" s="581"/>
      <c r="I50" s="581"/>
      <c r="J50" s="581"/>
      <c r="M50" s="713" t="s">
        <v>5</v>
      </c>
      <c r="N50" s="714" t="s">
        <v>5</v>
      </c>
      <c r="O50" s="713" t="s">
        <v>5</v>
      </c>
      <c r="P50" s="714" t="s">
        <v>5</v>
      </c>
      <c r="Q50" s="713" t="s">
        <v>5</v>
      </c>
      <c r="R50" s="714" t="s">
        <v>5</v>
      </c>
      <c r="S50" s="713" t="s">
        <v>5</v>
      </c>
      <c r="T50" s="714" t="s">
        <v>5</v>
      </c>
      <c r="U50" s="713" t="s">
        <v>5</v>
      </c>
      <c r="V50" s="714" t="s">
        <v>5</v>
      </c>
      <c r="W50" s="713" t="s">
        <v>5</v>
      </c>
      <c r="X50" s="714" t="s">
        <v>5</v>
      </c>
      <c r="Y50" s="713" t="s">
        <v>5</v>
      </c>
      <c r="Z50" s="714" t="s">
        <v>5</v>
      </c>
      <c r="AA50" s="713" t="s">
        <v>5</v>
      </c>
      <c r="AB50" s="714" t="s">
        <v>5</v>
      </c>
      <c r="AC50" s="713" t="s">
        <v>5</v>
      </c>
      <c r="AD50" s="714" t="s">
        <v>5</v>
      </c>
      <c r="AE50" s="713" t="s">
        <v>5</v>
      </c>
      <c r="AF50" s="714" t="s">
        <v>5</v>
      </c>
      <c r="AG50" s="713" t="s">
        <v>6</v>
      </c>
      <c r="AH50" s="714" t="s">
        <v>5</v>
      </c>
      <c r="AI50" s="713" t="s">
        <v>6</v>
      </c>
      <c r="AJ50" s="714" t="s">
        <v>6</v>
      </c>
      <c r="AK50" s="713" t="s">
        <v>6</v>
      </c>
      <c r="AL50" s="714" t="s">
        <v>6</v>
      </c>
      <c r="AM50" s="713" t="s">
        <v>5</v>
      </c>
      <c r="AN50" s="726" t="s">
        <v>5</v>
      </c>
    </row>
    <row r="51" spans="2:40" hidden="1">
      <c r="B51" s="547" t="s">
        <v>471</v>
      </c>
      <c r="C51" s="581"/>
      <c r="D51" s="581"/>
      <c r="E51" s="581"/>
      <c r="F51" s="581"/>
      <c r="G51" s="581"/>
      <c r="H51" s="581"/>
      <c r="I51" s="581"/>
      <c r="J51" s="581"/>
      <c r="M51" s="713" t="s">
        <v>5</v>
      </c>
      <c r="N51" s="714" t="s">
        <v>5</v>
      </c>
      <c r="O51" s="713" t="s">
        <v>5</v>
      </c>
      <c r="P51" s="714" t="s">
        <v>5</v>
      </c>
      <c r="Q51" s="713" t="s">
        <v>5</v>
      </c>
      <c r="R51" s="714" t="s">
        <v>5</v>
      </c>
      <c r="S51" s="713" t="s">
        <v>5</v>
      </c>
      <c r="T51" s="714" t="s">
        <v>5</v>
      </c>
      <c r="U51" s="713" t="s">
        <v>5</v>
      </c>
      <c r="V51" s="714" t="s">
        <v>5</v>
      </c>
      <c r="W51" s="713" t="s">
        <v>5</v>
      </c>
      <c r="X51" s="714" t="s">
        <v>5</v>
      </c>
      <c r="Y51" s="713" t="s">
        <v>5</v>
      </c>
      <c r="Z51" s="714" t="s">
        <v>5</v>
      </c>
      <c r="AA51" s="713" t="s">
        <v>5</v>
      </c>
      <c r="AB51" s="714" t="s">
        <v>5</v>
      </c>
      <c r="AC51" s="713" t="s">
        <v>5</v>
      </c>
      <c r="AD51" s="714" t="s">
        <v>5</v>
      </c>
      <c r="AE51" s="713" t="s">
        <v>5</v>
      </c>
      <c r="AF51" s="714" t="s">
        <v>5</v>
      </c>
      <c r="AG51" s="713" t="s">
        <v>6</v>
      </c>
      <c r="AH51" s="714" t="s">
        <v>5</v>
      </c>
      <c r="AI51" s="713" t="s">
        <v>6</v>
      </c>
      <c r="AJ51" s="714" t="s">
        <v>6</v>
      </c>
      <c r="AK51" s="713" t="s">
        <v>6</v>
      </c>
      <c r="AL51" s="714" t="s">
        <v>6</v>
      </c>
      <c r="AM51" s="713" t="s">
        <v>5</v>
      </c>
      <c r="AN51" s="726" t="s">
        <v>5</v>
      </c>
    </row>
    <row r="52" spans="2:40" hidden="1">
      <c r="B52" s="547" t="s">
        <v>472</v>
      </c>
      <c r="C52" s="581"/>
      <c r="D52" s="581"/>
      <c r="E52" s="581"/>
      <c r="F52" s="581"/>
      <c r="G52" s="581"/>
      <c r="H52" s="581"/>
      <c r="I52" s="581"/>
      <c r="J52" s="581"/>
      <c r="M52" s="713" t="s">
        <v>5</v>
      </c>
      <c r="N52" s="714" t="s">
        <v>5</v>
      </c>
      <c r="O52" s="713" t="s">
        <v>5</v>
      </c>
      <c r="P52" s="714" t="s">
        <v>5</v>
      </c>
      <c r="Q52" s="713" t="s">
        <v>5</v>
      </c>
      <c r="R52" s="714" t="s">
        <v>5</v>
      </c>
      <c r="S52" s="713" t="s">
        <v>5</v>
      </c>
      <c r="T52" s="714" t="s">
        <v>5</v>
      </c>
      <c r="U52" s="713" t="s">
        <v>5</v>
      </c>
      <c r="V52" s="714" t="s">
        <v>5</v>
      </c>
      <c r="W52" s="713" t="s">
        <v>5</v>
      </c>
      <c r="X52" s="714" t="s">
        <v>5</v>
      </c>
      <c r="Y52" s="713" t="s">
        <v>5</v>
      </c>
      <c r="Z52" s="714" t="s">
        <v>5</v>
      </c>
      <c r="AA52" s="713" t="s">
        <v>5</v>
      </c>
      <c r="AB52" s="714" t="s">
        <v>5</v>
      </c>
      <c r="AC52" s="713" t="s">
        <v>5</v>
      </c>
      <c r="AD52" s="714" t="s">
        <v>5</v>
      </c>
      <c r="AE52" s="713" t="s">
        <v>5</v>
      </c>
      <c r="AF52" s="714" t="s">
        <v>5</v>
      </c>
      <c r="AG52" s="713" t="s">
        <v>6</v>
      </c>
      <c r="AH52" s="714" t="s">
        <v>5</v>
      </c>
      <c r="AI52" s="713" t="s">
        <v>5</v>
      </c>
      <c r="AJ52" s="714" t="s">
        <v>6</v>
      </c>
      <c r="AK52" s="713" t="s">
        <v>5</v>
      </c>
      <c r="AL52" s="714" t="s">
        <v>6</v>
      </c>
      <c r="AM52" s="713" t="s">
        <v>6</v>
      </c>
      <c r="AN52" s="726" t="s">
        <v>5</v>
      </c>
    </row>
    <row r="53" spans="2:40" hidden="1">
      <c r="B53" s="547" t="s">
        <v>473</v>
      </c>
      <c r="C53" s="581"/>
      <c r="D53" s="581"/>
      <c r="E53" s="581"/>
      <c r="F53" s="581"/>
      <c r="G53" s="581"/>
      <c r="H53" s="581"/>
      <c r="I53" s="581"/>
      <c r="J53" s="581"/>
      <c r="M53" s="713" t="s">
        <v>5</v>
      </c>
      <c r="N53" s="714" t="s">
        <v>5</v>
      </c>
      <c r="O53" s="713" t="s">
        <v>5</v>
      </c>
      <c r="P53" s="714" t="s">
        <v>5</v>
      </c>
      <c r="Q53" s="713" t="s">
        <v>5</v>
      </c>
      <c r="R53" s="714" t="s">
        <v>5</v>
      </c>
      <c r="S53" s="713" t="s">
        <v>5</v>
      </c>
      <c r="T53" s="714" t="s">
        <v>5</v>
      </c>
      <c r="U53" s="713" t="s">
        <v>5</v>
      </c>
      <c r="V53" s="714" t="s">
        <v>5</v>
      </c>
      <c r="W53" s="713" t="s">
        <v>5</v>
      </c>
      <c r="X53" s="714" t="s">
        <v>5</v>
      </c>
      <c r="Y53" s="713" t="s">
        <v>5</v>
      </c>
      <c r="Z53" s="714" t="s">
        <v>5</v>
      </c>
      <c r="AA53" s="713" t="s">
        <v>5</v>
      </c>
      <c r="AB53" s="714" t="s">
        <v>5</v>
      </c>
      <c r="AC53" s="713" t="s">
        <v>5</v>
      </c>
      <c r="AD53" s="714" t="s">
        <v>5</v>
      </c>
      <c r="AE53" s="713" t="s">
        <v>5</v>
      </c>
      <c r="AF53" s="714" t="s">
        <v>5</v>
      </c>
      <c r="AG53" s="713" t="s">
        <v>6</v>
      </c>
      <c r="AH53" s="714" t="s">
        <v>5</v>
      </c>
      <c r="AI53" s="713" t="s">
        <v>5</v>
      </c>
      <c r="AJ53" s="714" t="s">
        <v>6</v>
      </c>
      <c r="AK53" s="713" t="s">
        <v>5</v>
      </c>
      <c r="AL53" s="714" t="s">
        <v>6</v>
      </c>
      <c r="AM53" s="713" t="s">
        <v>6</v>
      </c>
      <c r="AN53" s="726" t="s">
        <v>5</v>
      </c>
    </row>
    <row r="54" spans="2:40" hidden="1">
      <c r="B54" s="547"/>
      <c r="M54" s="713" t="s">
        <v>5</v>
      </c>
      <c r="N54" s="714" t="s">
        <v>5</v>
      </c>
      <c r="O54" s="713" t="s">
        <v>5</v>
      </c>
      <c r="P54" s="714" t="s">
        <v>5</v>
      </c>
      <c r="Q54" s="713" t="s">
        <v>5</v>
      </c>
      <c r="R54" s="714" t="s">
        <v>5</v>
      </c>
      <c r="S54" s="713" t="s">
        <v>5</v>
      </c>
      <c r="T54" s="714" t="s">
        <v>5</v>
      </c>
      <c r="U54" s="713" t="s">
        <v>5</v>
      </c>
      <c r="V54" s="714" t="s">
        <v>5</v>
      </c>
      <c r="W54" s="713" t="s">
        <v>5</v>
      </c>
      <c r="X54" s="714" t="s">
        <v>5</v>
      </c>
      <c r="Y54" s="713" t="s">
        <v>5</v>
      </c>
      <c r="Z54" s="714" t="s">
        <v>5</v>
      </c>
      <c r="AA54" s="713" t="s">
        <v>5</v>
      </c>
      <c r="AB54" s="714" t="s">
        <v>5</v>
      </c>
      <c r="AC54" s="713" t="s">
        <v>5</v>
      </c>
      <c r="AD54" s="714" t="s">
        <v>5</v>
      </c>
      <c r="AE54" s="713" t="s">
        <v>5</v>
      </c>
      <c r="AF54" s="714" t="s">
        <v>5</v>
      </c>
      <c r="AG54" s="713" t="s">
        <v>6</v>
      </c>
      <c r="AH54" s="714" t="s">
        <v>6</v>
      </c>
      <c r="AI54" s="713" t="s">
        <v>6</v>
      </c>
      <c r="AJ54" s="714" t="s">
        <v>6</v>
      </c>
      <c r="AK54" s="713" t="s">
        <v>6</v>
      </c>
      <c r="AL54" s="714" t="s">
        <v>6</v>
      </c>
      <c r="AM54" s="713" t="s">
        <v>6</v>
      </c>
      <c r="AN54" s="726" t="s">
        <v>5</v>
      </c>
    </row>
    <row r="55" spans="2:40" hidden="1">
      <c r="B55" s="547" t="s">
        <v>139</v>
      </c>
      <c r="M55" s="713" t="s">
        <v>5</v>
      </c>
      <c r="N55" s="714" t="s">
        <v>5</v>
      </c>
      <c r="O55" s="713" t="s">
        <v>5</v>
      </c>
      <c r="P55" s="714" t="s">
        <v>5</v>
      </c>
      <c r="Q55" s="713" t="s">
        <v>5</v>
      </c>
      <c r="R55" s="714" t="s">
        <v>5</v>
      </c>
      <c r="S55" s="713" t="s">
        <v>5</v>
      </c>
      <c r="T55" s="714" t="s">
        <v>5</v>
      </c>
      <c r="U55" s="713" t="s">
        <v>5</v>
      </c>
      <c r="V55" s="714" t="s">
        <v>5</v>
      </c>
      <c r="W55" s="713" t="s">
        <v>5</v>
      </c>
      <c r="X55" s="714" t="s">
        <v>5</v>
      </c>
      <c r="Y55" s="713" t="s">
        <v>5</v>
      </c>
      <c r="Z55" s="714" t="s">
        <v>5</v>
      </c>
      <c r="AA55" s="713" t="s">
        <v>5</v>
      </c>
      <c r="AB55" s="714" t="s">
        <v>5</v>
      </c>
      <c r="AC55" s="713" t="s">
        <v>5</v>
      </c>
      <c r="AD55" s="714" t="s">
        <v>5</v>
      </c>
      <c r="AE55" s="713" t="s">
        <v>5</v>
      </c>
      <c r="AF55" s="714" t="s">
        <v>5</v>
      </c>
      <c r="AG55" s="713" t="s">
        <v>6</v>
      </c>
      <c r="AH55" s="714" t="s">
        <v>6</v>
      </c>
      <c r="AI55" s="713" t="s">
        <v>6</v>
      </c>
      <c r="AJ55" s="714" t="s">
        <v>6</v>
      </c>
      <c r="AK55" s="713" t="s">
        <v>6</v>
      </c>
      <c r="AL55" s="714" t="s">
        <v>6</v>
      </c>
      <c r="AM55" s="713" t="s">
        <v>6</v>
      </c>
      <c r="AN55" s="726" t="s">
        <v>5</v>
      </c>
    </row>
    <row r="56" spans="2:40" hidden="1">
      <c r="B56" s="702" t="str">
        <f>IF(OR(SEN2_Value="Please Select",SEN2_Value=""),"",SEN2_Value)</f>
        <v/>
      </c>
      <c r="M56" s="713" t="s">
        <v>5</v>
      </c>
      <c r="N56" s="714" t="s">
        <v>5</v>
      </c>
      <c r="O56" s="713" t="s">
        <v>5</v>
      </c>
      <c r="P56" s="714" t="s">
        <v>5</v>
      </c>
      <c r="Q56" s="713" t="s">
        <v>5</v>
      </c>
      <c r="R56" s="714" t="s">
        <v>5</v>
      </c>
      <c r="S56" s="713" t="s">
        <v>5</v>
      </c>
      <c r="T56" s="714" t="s">
        <v>5</v>
      </c>
      <c r="U56" s="713" t="s">
        <v>5</v>
      </c>
      <c r="V56" s="714" t="s">
        <v>5</v>
      </c>
      <c r="W56" s="713" t="s">
        <v>5</v>
      </c>
      <c r="X56" s="714" t="s">
        <v>5</v>
      </c>
      <c r="Y56" s="713" t="s">
        <v>5</v>
      </c>
      <c r="Z56" s="714" t="s">
        <v>5</v>
      </c>
      <c r="AA56" s="713" t="s">
        <v>5</v>
      </c>
      <c r="AB56" s="714" t="s">
        <v>5</v>
      </c>
      <c r="AC56" s="713" t="s">
        <v>5</v>
      </c>
      <c r="AD56" s="714" t="s">
        <v>5</v>
      </c>
      <c r="AE56" s="713" t="s">
        <v>5</v>
      </c>
      <c r="AF56" s="714" t="s">
        <v>5</v>
      </c>
      <c r="AG56" s="713" t="s">
        <v>6</v>
      </c>
      <c r="AH56" s="714" t="s">
        <v>6</v>
      </c>
      <c r="AI56" s="713" t="s">
        <v>6</v>
      </c>
      <c r="AJ56" s="714" t="s">
        <v>6</v>
      </c>
      <c r="AK56" s="713" t="s">
        <v>6</v>
      </c>
      <c r="AL56" s="714" t="s">
        <v>6</v>
      </c>
      <c r="AM56" s="713" t="s">
        <v>6</v>
      </c>
      <c r="AN56" s="726" t="s">
        <v>5</v>
      </c>
    </row>
    <row r="57" spans="2:40" hidden="1">
      <c r="B57" s="547" t="s">
        <v>460</v>
      </c>
      <c r="C57" s="581"/>
      <c r="D57" s="581"/>
      <c r="E57" s="581"/>
      <c r="F57" s="581"/>
      <c r="G57" s="581"/>
      <c r="H57" s="581"/>
      <c r="I57" s="581"/>
      <c r="J57" s="581"/>
      <c r="M57" s="713" t="s">
        <v>5</v>
      </c>
      <c r="N57" s="714" t="s">
        <v>5</v>
      </c>
      <c r="O57" s="713" t="s">
        <v>5</v>
      </c>
      <c r="P57" s="714" t="s">
        <v>5</v>
      </c>
      <c r="Q57" s="713" t="s">
        <v>5</v>
      </c>
      <c r="R57" s="714" t="s">
        <v>5</v>
      </c>
      <c r="S57" s="713" t="s">
        <v>5</v>
      </c>
      <c r="T57" s="714" t="s">
        <v>5</v>
      </c>
      <c r="U57" s="713" t="s">
        <v>5</v>
      </c>
      <c r="V57" s="714" t="s">
        <v>5</v>
      </c>
      <c r="W57" s="713" t="s">
        <v>5</v>
      </c>
      <c r="X57" s="714" t="s">
        <v>5</v>
      </c>
      <c r="Y57" s="713" t="s">
        <v>5</v>
      </c>
      <c r="Z57" s="714" t="s">
        <v>5</v>
      </c>
      <c r="AA57" s="713" t="s">
        <v>5</v>
      </c>
      <c r="AB57" s="714" t="s">
        <v>5</v>
      </c>
      <c r="AC57" s="713" t="s">
        <v>5</v>
      </c>
      <c r="AD57" s="714" t="s">
        <v>5</v>
      </c>
      <c r="AE57" s="713" t="s">
        <v>5</v>
      </c>
      <c r="AF57" s="714" t="s">
        <v>5</v>
      </c>
      <c r="AG57" s="713" t="s">
        <v>6</v>
      </c>
      <c r="AH57" s="714" t="s">
        <v>6</v>
      </c>
      <c r="AI57" s="713" t="s">
        <v>5</v>
      </c>
      <c r="AJ57" s="714" t="s">
        <v>5</v>
      </c>
      <c r="AK57" s="713" t="s">
        <v>6</v>
      </c>
      <c r="AL57" s="714" t="s">
        <v>6</v>
      </c>
      <c r="AM57" s="713" t="s">
        <v>5</v>
      </c>
      <c r="AN57" s="726" t="s">
        <v>5</v>
      </c>
    </row>
    <row r="58" spans="2:40" hidden="1">
      <c r="B58" s="547" t="s">
        <v>461</v>
      </c>
      <c r="C58" s="581"/>
      <c r="D58" s="581"/>
      <c r="E58" s="581"/>
      <c r="F58" s="581"/>
      <c r="G58" s="581"/>
      <c r="H58" s="581"/>
      <c r="I58" s="581"/>
      <c r="J58" s="581"/>
      <c r="M58" s="713" t="s">
        <v>5</v>
      </c>
      <c r="N58" s="714" t="s">
        <v>5</v>
      </c>
      <c r="O58" s="713" t="s">
        <v>5</v>
      </c>
      <c r="P58" s="714" t="s">
        <v>5</v>
      </c>
      <c r="Q58" s="713" t="s">
        <v>5</v>
      </c>
      <c r="R58" s="714" t="s">
        <v>5</v>
      </c>
      <c r="S58" s="713" t="s">
        <v>5</v>
      </c>
      <c r="T58" s="714" t="s">
        <v>5</v>
      </c>
      <c r="U58" s="713" t="s">
        <v>5</v>
      </c>
      <c r="V58" s="714" t="s">
        <v>5</v>
      </c>
      <c r="W58" s="713" t="s">
        <v>5</v>
      </c>
      <c r="X58" s="714" t="s">
        <v>5</v>
      </c>
      <c r="Y58" s="713" t="s">
        <v>5</v>
      </c>
      <c r="Z58" s="714" t="s">
        <v>5</v>
      </c>
      <c r="AA58" s="713" t="s">
        <v>5</v>
      </c>
      <c r="AB58" s="714" t="s">
        <v>5</v>
      </c>
      <c r="AC58" s="713" t="s">
        <v>5</v>
      </c>
      <c r="AD58" s="714" t="s">
        <v>5</v>
      </c>
      <c r="AE58" s="713" t="s">
        <v>5</v>
      </c>
      <c r="AF58" s="714" t="s">
        <v>5</v>
      </c>
      <c r="AG58" s="713" t="s">
        <v>6</v>
      </c>
      <c r="AH58" s="714" t="s">
        <v>6</v>
      </c>
      <c r="AI58" s="713" t="s">
        <v>5</v>
      </c>
      <c r="AJ58" s="714" t="s">
        <v>5</v>
      </c>
      <c r="AK58" s="713" t="s">
        <v>6</v>
      </c>
      <c r="AL58" s="714" t="s">
        <v>6</v>
      </c>
      <c r="AM58" s="713" t="s">
        <v>5</v>
      </c>
      <c r="AN58" s="726" t="s">
        <v>5</v>
      </c>
    </row>
    <row r="59" spans="2:40" hidden="1">
      <c r="B59" s="547" t="s">
        <v>462</v>
      </c>
      <c r="C59" s="581"/>
      <c r="D59" s="581"/>
      <c r="E59" s="581"/>
      <c r="F59" s="581"/>
      <c r="G59" s="581"/>
      <c r="H59" s="581"/>
      <c r="I59" s="581"/>
      <c r="J59" s="581"/>
      <c r="M59" s="713" t="s">
        <v>5</v>
      </c>
      <c r="N59" s="714" t="s">
        <v>5</v>
      </c>
      <c r="O59" s="713" t="s">
        <v>5</v>
      </c>
      <c r="P59" s="714" t="s">
        <v>5</v>
      </c>
      <c r="Q59" s="713" t="s">
        <v>5</v>
      </c>
      <c r="R59" s="714" t="s">
        <v>5</v>
      </c>
      <c r="S59" s="713" t="s">
        <v>5</v>
      </c>
      <c r="T59" s="714" t="s">
        <v>5</v>
      </c>
      <c r="U59" s="713" t="s">
        <v>5</v>
      </c>
      <c r="V59" s="714" t="s">
        <v>5</v>
      </c>
      <c r="W59" s="713" t="s">
        <v>5</v>
      </c>
      <c r="X59" s="714" t="s">
        <v>5</v>
      </c>
      <c r="Y59" s="713" t="s">
        <v>5</v>
      </c>
      <c r="Z59" s="714" t="s">
        <v>5</v>
      </c>
      <c r="AA59" s="713" t="s">
        <v>5</v>
      </c>
      <c r="AB59" s="714" t="s">
        <v>5</v>
      </c>
      <c r="AC59" s="713" t="s">
        <v>5</v>
      </c>
      <c r="AD59" s="714" t="s">
        <v>5</v>
      </c>
      <c r="AE59" s="713" t="s">
        <v>5</v>
      </c>
      <c r="AF59" s="714" t="s">
        <v>5</v>
      </c>
      <c r="AG59" s="713" t="s">
        <v>6</v>
      </c>
      <c r="AH59" s="714" t="s">
        <v>6</v>
      </c>
      <c r="AI59" s="713" t="s">
        <v>5</v>
      </c>
      <c r="AJ59" s="714" t="s">
        <v>5</v>
      </c>
      <c r="AK59" s="713" t="s">
        <v>6</v>
      </c>
      <c r="AL59" s="714" t="s">
        <v>6</v>
      </c>
      <c r="AM59" s="713" t="s">
        <v>5</v>
      </c>
      <c r="AN59" s="726" t="s">
        <v>5</v>
      </c>
    </row>
    <row r="60" spans="2:40" hidden="1">
      <c r="B60" s="547" t="s">
        <v>463</v>
      </c>
      <c r="C60" s="581"/>
      <c r="D60" s="581"/>
      <c r="E60" s="581"/>
      <c r="F60" s="581"/>
      <c r="G60" s="581"/>
      <c r="H60" s="581"/>
      <c r="I60" s="581"/>
      <c r="J60" s="581"/>
      <c r="M60" s="713" t="s">
        <v>5</v>
      </c>
      <c r="N60" s="714" t="s">
        <v>5</v>
      </c>
      <c r="O60" s="713" t="s">
        <v>5</v>
      </c>
      <c r="P60" s="714" t="s">
        <v>5</v>
      </c>
      <c r="Q60" s="713" t="s">
        <v>5</v>
      </c>
      <c r="R60" s="714" t="s">
        <v>5</v>
      </c>
      <c r="S60" s="713" t="s">
        <v>5</v>
      </c>
      <c r="T60" s="714" t="s">
        <v>5</v>
      </c>
      <c r="U60" s="713" t="s">
        <v>5</v>
      </c>
      <c r="V60" s="714" t="s">
        <v>5</v>
      </c>
      <c r="W60" s="713" t="s">
        <v>5</v>
      </c>
      <c r="X60" s="714" t="s">
        <v>5</v>
      </c>
      <c r="Y60" s="713" t="s">
        <v>5</v>
      </c>
      <c r="Z60" s="714" t="s">
        <v>5</v>
      </c>
      <c r="AA60" s="713" t="s">
        <v>5</v>
      </c>
      <c r="AB60" s="714" t="s">
        <v>5</v>
      </c>
      <c r="AC60" s="713" t="s">
        <v>5</v>
      </c>
      <c r="AD60" s="714" t="s">
        <v>5</v>
      </c>
      <c r="AE60" s="713" t="s">
        <v>5</v>
      </c>
      <c r="AF60" s="714" t="s">
        <v>5</v>
      </c>
      <c r="AG60" s="713" t="s">
        <v>6</v>
      </c>
      <c r="AH60" s="714" t="s">
        <v>6</v>
      </c>
      <c r="AI60" s="713" t="s">
        <v>5</v>
      </c>
      <c r="AJ60" s="714" t="s">
        <v>5</v>
      </c>
      <c r="AK60" s="713" t="s">
        <v>6</v>
      </c>
      <c r="AL60" s="714" t="s">
        <v>6</v>
      </c>
      <c r="AM60" s="713" t="s">
        <v>5</v>
      </c>
      <c r="AN60" s="726" t="s">
        <v>5</v>
      </c>
    </row>
    <row r="61" spans="2:40" hidden="1">
      <c r="B61" s="547" t="s">
        <v>464</v>
      </c>
      <c r="C61" s="581"/>
      <c r="D61" s="581"/>
      <c r="E61" s="581"/>
      <c r="F61" s="581"/>
      <c r="G61" s="581"/>
      <c r="H61" s="581"/>
      <c r="I61" s="581"/>
      <c r="J61" s="581"/>
      <c r="M61" s="713" t="s">
        <v>5</v>
      </c>
      <c r="N61" s="714" t="s">
        <v>5</v>
      </c>
      <c r="O61" s="713" t="s">
        <v>5</v>
      </c>
      <c r="P61" s="714" t="s">
        <v>5</v>
      </c>
      <c r="Q61" s="713" t="s">
        <v>5</v>
      </c>
      <c r="R61" s="714" t="s">
        <v>5</v>
      </c>
      <c r="S61" s="713" t="s">
        <v>5</v>
      </c>
      <c r="T61" s="714" t="s">
        <v>5</v>
      </c>
      <c r="U61" s="713" t="s">
        <v>5</v>
      </c>
      <c r="V61" s="714" t="s">
        <v>5</v>
      </c>
      <c r="W61" s="713" t="s">
        <v>5</v>
      </c>
      <c r="X61" s="714" t="s">
        <v>5</v>
      </c>
      <c r="Y61" s="713" t="s">
        <v>5</v>
      </c>
      <c r="Z61" s="714" t="s">
        <v>5</v>
      </c>
      <c r="AA61" s="713" t="s">
        <v>5</v>
      </c>
      <c r="AB61" s="714" t="s">
        <v>5</v>
      </c>
      <c r="AC61" s="713" t="s">
        <v>5</v>
      </c>
      <c r="AD61" s="714" t="s">
        <v>5</v>
      </c>
      <c r="AE61" s="713" t="s">
        <v>5</v>
      </c>
      <c r="AF61" s="714" t="s">
        <v>5</v>
      </c>
      <c r="AG61" s="713" t="s">
        <v>6</v>
      </c>
      <c r="AH61" s="714" t="s">
        <v>6</v>
      </c>
      <c r="AI61" s="713" t="s">
        <v>5</v>
      </c>
      <c r="AJ61" s="714" t="s">
        <v>5</v>
      </c>
      <c r="AK61" s="713" t="s">
        <v>6</v>
      </c>
      <c r="AL61" s="714" t="s">
        <v>6</v>
      </c>
      <c r="AM61" s="713" t="s">
        <v>5</v>
      </c>
      <c r="AN61" s="726" t="s">
        <v>5</v>
      </c>
    </row>
    <row r="62" spans="2:40" hidden="1">
      <c r="B62" s="547" t="s">
        <v>465</v>
      </c>
      <c r="C62" s="581"/>
      <c r="D62" s="581"/>
      <c r="E62" s="581"/>
      <c r="F62" s="581"/>
      <c r="G62" s="581"/>
      <c r="H62" s="581"/>
      <c r="I62" s="581"/>
      <c r="J62" s="581"/>
      <c r="M62" s="713" t="s">
        <v>5</v>
      </c>
      <c r="N62" s="714" t="s">
        <v>5</v>
      </c>
      <c r="O62" s="713" t="s">
        <v>5</v>
      </c>
      <c r="P62" s="714" t="s">
        <v>5</v>
      </c>
      <c r="Q62" s="713" t="s">
        <v>5</v>
      </c>
      <c r="R62" s="714" t="s">
        <v>5</v>
      </c>
      <c r="S62" s="713" t="s">
        <v>5</v>
      </c>
      <c r="T62" s="714" t="s">
        <v>5</v>
      </c>
      <c r="U62" s="713" t="s">
        <v>5</v>
      </c>
      <c r="V62" s="714" t="s">
        <v>5</v>
      </c>
      <c r="W62" s="713" t="s">
        <v>5</v>
      </c>
      <c r="X62" s="714" t="s">
        <v>5</v>
      </c>
      <c r="Y62" s="713" t="s">
        <v>5</v>
      </c>
      <c r="Z62" s="714" t="s">
        <v>5</v>
      </c>
      <c r="AA62" s="713" t="s">
        <v>5</v>
      </c>
      <c r="AB62" s="714" t="s">
        <v>5</v>
      </c>
      <c r="AC62" s="713" t="s">
        <v>5</v>
      </c>
      <c r="AD62" s="714" t="s">
        <v>5</v>
      </c>
      <c r="AE62" s="713" t="s">
        <v>5</v>
      </c>
      <c r="AF62" s="714" t="s">
        <v>5</v>
      </c>
      <c r="AG62" s="713" t="s">
        <v>6</v>
      </c>
      <c r="AH62" s="714" t="s">
        <v>6</v>
      </c>
      <c r="AI62" s="713" t="s">
        <v>5</v>
      </c>
      <c r="AJ62" s="714" t="s">
        <v>5</v>
      </c>
      <c r="AK62" s="713" t="s">
        <v>6</v>
      </c>
      <c r="AL62" s="714" t="s">
        <v>6</v>
      </c>
      <c r="AM62" s="713" t="s">
        <v>5</v>
      </c>
      <c r="AN62" s="726" t="s">
        <v>5</v>
      </c>
    </row>
    <row r="63" spans="2:40" hidden="1">
      <c r="B63" s="547" t="s">
        <v>466</v>
      </c>
      <c r="C63" s="581"/>
      <c r="D63" s="581"/>
      <c r="E63" s="581"/>
      <c r="F63" s="581"/>
      <c r="G63" s="581"/>
      <c r="H63" s="581"/>
      <c r="I63" s="581"/>
      <c r="J63" s="581"/>
      <c r="M63" s="713" t="s">
        <v>5</v>
      </c>
      <c r="N63" s="714" t="s">
        <v>5</v>
      </c>
      <c r="O63" s="713" t="s">
        <v>5</v>
      </c>
      <c r="P63" s="714" t="s">
        <v>5</v>
      </c>
      <c r="Q63" s="713" t="s">
        <v>5</v>
      </c>
      <c r="R63" s="714" t="s">
        <v>5</v>
      </c>
      <c r="S63" s="713" t="s">
        <v>5</v>
      </c>
      <c r="T63" s="714" t="s">
        <v>5</v>
      </c>
      <c r="U63" s="713" t="s">
        <v>5</v>
      </c>
      <c r="V63" s="714" t="s">
        <v>5</v>
      </c>
      <c r="W63" s="713" t="s">
        <v>5</v>
      </c>
      <c r="X63" s="714" t="s">
        <v>5</v>
      </c>
      <c r="Y63" s="713" t="s">
        <v>5</v>
      </c>
      <c r="Z63" s="714" t="s">
        <v>5</v>
      </c>
      <c r="AA63" s="713" t="s">
        <v>5</v>
      </c>
      <c r="AB63" s="714" t="s">
        <v>5</v>
      </c>
      <c r="AC63" s="713" t="s">
        <v>5</v>
      </c>
      <c r="AD63" s="714" t="s">
        <v>5</v>
      </c>
      <c r="AE63" s="713" t="s">
        <v>5</v>
      </c>
      <c r="AF63" s="714" t="s">
        <v>5</v>
      </c>
      <c r="AG63" s="713" t="s">
        <v>6</v>
      </c>
      <c r="AH63" s="714" t="s">
        <v>6</v>
      </c>
      <c r="AI63" s="713" t="s">
        <v>5</v>
      </c>
      <c r="AJ63" s="714" t="s">
        <v>5</v>
      </c>
      <c r="AK63" s="713" t="s">
        <v>6</v>
      </c>
      <c r="AL63" s="714" t="s">
        <v>6</v>
      </c>
      <c r="AM63" s="713" t="s">
        <v>5</v>
      </c>
      <c r="AN63" s="726" t="s">
        <v>5</v>
      </c>
    </row>
    <row r="64" spans="2:40" hidden="1">
      <c r="B64" s="547" t="s">
        <v>467</v>
      </c>
      <c r="C64" s="581"/>
      <c r="D64" s="581"/>
      <c r="E64" s="581"/>
      <c r="F64" s="581"/>
      <c r="G64" s="581"/>
      <c r="H64" s="581"/>
      <c r="I64" s="581"/>
      <c r="J64" s="581"/>
      <c r="M64" s="713" t="s">
        <v>5</v>
      </c>
      <c r="N64" s="714" t="s">
        <v>5</v>
      </c>
      <c r="O64" s="713" t="s">
        <v>5</v>
      </c>
      <c r="P64" s="714" t="s">
        <v>5</v>
      </c>
      <c r="Q64" s="713" t="s">
        <v>5</v>
      </c>
      <c r="R64" s="714" t="s">
        <v>5</v>
      </c>
      <c r="S64" s="713" t="s">
        <v>5</v>
      </c>
      <c r="T64" s="714" t="s">
        <v>5</v>
      </c>
      <c r="U64" s="713" t="s">
        <v>5</v>
      </c>
      <c r="V64" s="714" t="s">
        <v>5</v>
      </c>
      <c r="W64" s="713" t="s">
        <v>5</v>
      </c>
      <c r="X64" s="714" t="s">
        <v>5</v>
      </c>
      <c r="Y64" s="713" t="s">
        <v>5</v>
      </c>
      <c r="Z64" s="714" t="s">
        <v>5</v>
      </c>
      <c r="AA64" s="713" t="s">
        <v>5</v>
      </c>
      <c r="AB64" s="714" t="s">
        <v>5</v>
      </c>
      <c r="AC64" s="713" t="s">
        <v>5</v>
      </c>
      <c r="AD64" s="714" t="s">
        <v>5</v>
      </c>
      <c r="AE64" s="713" t="s">
        <v>5</v>
      </c>
      <c r="AF64" s="714" t="s">
        <v>5</v>
      </c>
      <c r="AG64" s="713" t="s">
        <v>6</v>
      </c>
      <c r="AH64" s="714" t="s">
        <v>5</v>
      </c>
      <c r="AI64" s="713" t="s">
        <v>6</v>
      </c>
      <c r="AJ64" s="714" t="s">
        <v>6</v>
      </c>
      <c r="AK64" s="713" t="s">
        <v>6</v>
      </c>
      <c r="AL64" s="714" t="s">
        <v>6</v>
      </c>
      <c r="AM64" s="713" t="s">
        <v>5</v>
      </c>
      <c r="AN64" s="726" t="s">
        <v>5</v>
      </c>
    </row>
    <row r="65" spans="2:40" hidden="1">
      <c r="B65" s="547" t="s">
        <v>468</v>
      </c>
      <c r="C65" s="581"/>
      <c r="D65" s="581"/>
      <c r="E65" s="581"/>
      <c r="F65" s="581"/>
      <c r="G65" s="581"/>
      <c r="H65" s="581"/>
      <c r="I65" s="581"/>
      <c r="J65" s="581"/>
      <c r="M65" s="713" t="s">
        <v>5</v>
      </c>
      <c r="N65" s="714" t="s">
        <v>5</v>
      </c>
      <c r="O65" s="713" t="s">
        <v>5</v>
      </c>
      <c r="P65" s="714" t="s">
        <v>5</v>
      </c>
      <c r="Q65" s="713" t="s">
        <v>5</v>
      </c>
      <c r="R65" s="714" t="s">
        <v>5</v>
      </c>
      <c r="S65" s="713" t="s">
        <v>5</v>
      </c>
      <c r="T65" s="714" t="s">
        <v>5</v>
      </c>
      <c r="U65" s="713" t="s">
        <v>5</v>
      </c>
      <c r="V65" s="714" t="s">
        <v>5</v>
      </c>
      <c r="W65" s="713" t="s">
        <v>5</v>
      </c>
      <c r="X65" s="714" t="s">
        <v>5</v>
      </c>
      <c r="Y65" s="713" t="s">
        <v>5</v>
      </c>
      <c r="Z65" s="714" t="s">
        <v>5</v>
      </c>
      <c r="AA65" s="713" t="s">
        <v>5</v>
      </c>
      <c r="AB65" s="714" t="s">
        <v>5</v>
      </c>
      <c r="AC65" s="713" t="s">
        <v>5</v>
      </c>
      <c r="AD65" s="714" t="s">
        <v>5</v>
      </c>
      <c r="AE65" s="713" t="s">
        <v>5</v>
      </c>
      <c r="AF65" s="714" t="s">
        <v>5</v>
      </c>
      <c r="AG65" s="713" t="s">
        <v>6</v>
      </c>
      <c r="AH65" s="714" t="s">
        <v>5</v>
      </c>
      <c r="AI65" s="713" t="s">
        <v>6</v>
      </c>
      <c r="AJ65" s="714" t="s">
        <v>6</v>
      </c>
      <c r="AK65" s="713" t="s">
        <v>6</v>
      </c>
      <c r="AL65" s="714" t="s">
        <v>6</v>
      </c>
      <c r="AM65" s="713" t="s">
        <v>5</v>
      </c>
      <c r="AN65" s="726" t="s">
        <v>5</v>
      </c>
    </row>
    <row r="66" spans="2:40" hidden="1">
      <c r="B66" s="547" t="s">
        <v>469</v>
      </c>
      <c r="C66" s="581"/>
      <c r="D66" s="581"/>
      <c r="E66" s="581"/>
      <c r="F66" s="581"/>
      <c r="G66" s="581"/>
      <c r="H66" s="581"/>
      <c r="I66" s="581"/>
      <c r="J66" s="581"/>
      <c r="M66" s="713" t="s">
        <v>5</v>
      </c>
      <c r="N66" s="714" t="s">
        <v>5</v>
      </c>
      <c r="O66" s="713" t="s">
        <v>5</v>
      </c>
      <c r="P66" s="714" t="s">
        <v>5</v>
      </c>
      <c r="Q66" s="713" t="s">
        <v>5</v>
      </c>
      <c r="R66" s="714" t="s">
        <v>5</v>
      </c>
      <c r="S66" s="713" t="s">
        <v>5</v>
      </c>
      <c r="T66" s="714" t="s">
        <v>5</v>
      </c>
      <c r="U66" s="713" t="s">
        <v>5</v>
      </c>
      <c r="V66" s="714" t="s">
        <v>5</v>
      </c>
      <c r="W66" s="713" t="s">
        <v>5</v>
      </c>
      <c r="X66" s="714" t="s">
        <v>5</v>
      </c>
      <c r="Y66" s="713" t="s">
        <v>5</v>
      </c>
      <c r="Z66" s="714" t="s">
        <v>5</v>
      </c>
      <c r="AA66" s="713" t="s">
        <v>5</v>
      </c>
      <c r="AB66" s="714" t="s">
        <v>5</v>
      </c>
      <c r="AC66" s="713" t="s">
        <v>5</v>
      </c>
      <c r="AD66" s="714" t="s">
        <v>5</v>
      </c>
      <c r="AE66" s="713" t="s">
        <v>5</v>
      </c>
      <c r="AF66" s="714" t="s">
        <v>5</v>
      </c>
      <c r="AG66" s="713" t="s">
        <v>6</v>
      </c>
      <c r="AH66" s="714" t="s">
        <v>5</v>
      </c>
      <c r="AI66" s="713" t="s">
        <v>6</v>
      </c>
      <c r="AJ66" s="714" t="s">
        <v>6</v>
      </c>
      <c r="AK66" s="713" t="s">
        <v>6</v>
      </c>
      <c r="AL66" s="714" t="s">
        <v>6</v>
      </c>
      <c r="AM66" s="713" t="s">
        <v>5</v>
      </c>
      <c r="AN66" s="726" t="s">
        <v>5</v>
      </c>
    </row>
    <row r="67" spans="2:40" hidden="1">
      <c r="B67" s="547" t="s">
        <v>470</v>
      </c>
      <c r="C67" s="581"/>
      <c r="D67" s="581"/>
      <c r="E67" s="581"/>
      <c r="F67" s="581"/>
      <c r="G67" s="581"/>
      <c r="H67" s="581"/>
      <c r="I67" s="581"/>
      <c r="J67" s="581"/>
      <c r="M67" s="713" t="s">
        <v>5</v>
      </c>
      <c r="N67" s="714" t="s">
        <v>5</v>
      </c>
      <c r="O67" s="713" t="s">
        <v>5</v>
      </c>
      <c r="P67" s="714" t="s">
        <v>5</v>
      </c>
      <c r="Q67" s="713" t="s">
        <v>5</v>
      </c>
      <c r="R67" s="714" t="s">
        <v>5</v>
      </c>
      <c r="S67" s="713" t="s">
        <v>5</v>
      </c>
      <c r="T67" s="714" t="s">
        <v>5</v>
      </c>
      <c r="U67" s="713" t="s">
        <v>5</v>
      </c>
      <c r="V67" s="714" t="s">
        <v>5</v>
      </c>
      <c r="W67" s="713" t="s">
        <v>5</v>
      </c>
      <c r="X67" s="714" t="s">
        <v>5</v>
      </c>
      <c r="Y67" s="713" t="s">
        <v>5</v>
      </c>
      <c r="Z67" s="714" t="s">
        <v>5</v>
      </c>
      <c r="AA67" s="713" t="s">
        <v>5</v>
      </c>
      <c r="AB67" s="714" t="s">
        <v>5</v>
      </c>
      <c r="AC67" s="713" t="s">
        <v>5</v>
      </c>
      <c r="AD67" s="714" t="s">
        <v>5</v>
      </c>
      <c r="AE67" s="713" t="s">
        <v>5</v>
      </c>
      <c r="AF67" s="714" t="s">
        <v>5</v>
      </c>
      <c r="AG67" s="713" t="s">
        <v>6</v>
      </c>
      <c r="AH67" s="714" t="s">
        <v>5</v>
      </c>
      <c r="AI67" s="713" t="s">
        <v>6</v>
      </c>
      <c r="AJ67" s="714" t="s">
        <v>6</v>
      </c>
      <c r="AK67" s="713" t="s">
        <v>6</v>
      </c>
      <c r="AL67" s="714" t="s">
        <v>6</v>
      </c>
      <c r="AM67" s="713" t="s">
        <v>5</v>
      </c>
      <c r="AN67" s="726" t="s">
        <v>5</v>
      </c>
    </row>
    <row r="68" spans="2:40" hidden="1">
      <c r="B68" s="547" t="s">
        <v>471</v>
      </c>
      <c r="C68" s="581"/>
      <c r="D68" s="581"/>
      <c r="E68" s="581"/>
      <c r="F68" s="581"/>
      <c r="G68" s="581"/>
      <c r="H68" s="581"/>
      <c r="I68" s="581"/>
      <c r="J68" s="581"/>
      <c r="M68" s="713" t="s">
        <v>5</v>
      </c>
      <c r="N68" s="714" t="s">
        <v>5</v>
      </c>
      <c r="O68" s="713" t="s">
        <v>5</v>
      </c>
      <c r="P68" s="714" t="s">
        <v>5</v>
      </c>
      <c r="Q68" s="713" t="s">
        <v>5</v>
      </c>
      <c r="R68" s="714" t="s">
        <v>5</v>
      </c>
      <c r="S68" s="713" t="s">
        <v>5</v>
      </c>
      <c r="T68" s="714" t="s">
        <v>5</v>
      </c>
      <c r="U68" s="713" t="s">
        <v>5</v>
      </c>
      <c r="V68" s="714" t="s">
        <v>5</v>
      </c>
      <c r="W68" s="713" t="s">
        <v>5</v>
      </c>
      <c r="X68" s="714" t="s">
        <v>5</v>
      </c>
      <c r="Y68" s="713" t="s">
        <v>5</v>
      </c>
      <c r="Z68" s="714" t="s">
        <v>5</v>
      </c>
      <c r="AA68" s="713" t="s">
        <v>5</v>
      </c>
      <c r="AB68" s="714" t="s">
        <v>5</v>
      </c>
      <c r="AC68" s="713" t="s">
        <v>5</v>
      </c>
      <c r="AD68" s="714" t="s">
        <v>5</v>
      </c>
      <c r="AE68" s="713" t="s">
        <v>5</v>
      </c>
      <c r="AF68" s="714" t="s">
        <v>5</v>
      </c>
      <c r="AG68" s="713" t="s">
        <v>6</v>
      </c>
      <c r="AH68" s="714" t="s">
        <v>5</v>
      </c>
      <c r="AI68" s="713" t="s">
        <v>6</v>
      </c>
      <c r="AJ68" s="714" t="s">
        <v>6</v>
      </c>
      <c r="AK68" s="713" t="s">
        <v>6</v>
      </c>
      <c r="AL68" s="714" t="s">
        <v>6</v>
      </c>
      <c r="AM68" s="713" t="s">
        <v>5</v>
      </c>
      <c r="AN68" s="726" t="s">
        <v>5</v>
      </c>
    </row>
    <row r="69" spans="2:40" hidden="1">
      <c r="B69" s="547" t="s">
        <v>472</v>
      </c>
      <c r="C69" s="581"/>
      <c r="D69" s="581"/>
      <c r="E69" s="581"/>
      <c r="F69" s="581"/>
      <c r="G69" s="581"/>
      <c r="H69" s="581"/>
      <c r="I69" s="581"/>
      <c r="J69" s="581"/>
      <c r="M69" s="713" t="s">
        <v>5</v>
      </c>
      <c r="N69" s="714" t="s">
        <v>5</v>
      </c>
      <c r="O69" s="713" t="s">
        <v>5</v>
      </c>
      <c r="P69" s="714" t="s">
        <v>5</v>
      </c>
      <c r="Q69" s="713" t="s">
        <v>5</v>
      </c>
      <c r="R69" s="714" t="s">
        <v>5</v>
      </c>
      <c r="S69" s="713" t="s">
        <v>5</v>
      </c>
      <c r="T69" s="714" t="s">
        <v>5</v>
      </c>
      <c r="U69" s="713" t="s">
        <v>5</v>
      </c>
      <c r="V69" s="714" t="s">
        <v>5</v>
      </c>
      <c r="W69" s="713" t="s">
        <v>5</v>
      </c>
      <c r="X69" s="714" t="s">
        <v>5</v>
      </c>
      <c r="Y69" s="713" t="s">
        <v>5</v>
      </c>
      <c r="Z69" s="714" t="s">
        <v>5</v>
      </c>
      <c r="AA69" s="713" t="s">
        <v>5</v>
      </c>
      <c r="AB69" s="714" t="s">
        <v>5</v>
      </c>
      <c r="AC69" s="713" t="s">
        <v>5</v>
      </c>
      <c r="AD69" s="714" t="s">
        <v>5</v>
      </c>
      <c r="AE69" s="713" t="s">
        <v>5</v>
      </c>
      <c r="AF69" s="714" t="s">
        <v>5</v>
      </c>
      <c r="AG69" s="713" t="s">
        <v>6</v>
      </c>
      <c r="AH69" s="714" t="s">
        <v>5</v>
      </c>
      <c r="AI69" s="713" t="s">
        <v>5</v>
      </c>
      <c r="AJ69" s="714" t="s">
        <v>6</v>
      </c>
      <c r="AK69" s="713" t="s">
        <v>5</v>
      </c>
      <c r="AL69" s="714" t="s">
        <v>6</v>
      </c>
      <c r="AM69" s="713" t="s">
        <v>6</v>
      </c>
      <c r="AN69" s="726" t="s">
        <v>5</v>
      </c>
    </row>
    <row r="70" spans="2:40" hidden="1">
      <c r="B70" s="547" t="s">
        <v>473</v>
      </c>
      <c r="C70" s="581"/>
      <c r="D70" s="581"/>
      <c r="E70" s="581"/>
      <c r="F70" s="581"/>
      <c r="G70" s="581"/>
      <c r="H70" s="581"/>
      <c r="I70" s="581"/>
      <c r="J70" s="581"/>
      <c r="M70" s="713" t="s">
        <v>5</v>
      </c>
      <c r="N70" s="714" t="s">
        <v>5</v>
      </c>
      <c r="O70" s="713" t="s">
        <v>5</v>
      </c>
      <c r="P70" s="714" t="s">
        <v>5</v>
      </c>
      <c r="Q70" s="713" t="s">
        <v>5</v>
      </c>
      <c r="R70" s="714" t="s">
        <v>5</v>
      </c>
      <c r="S70" s="713" t="s">
        <v>5</v>
      </c>
      <c r="T70" s="714" t="s">
        <v>5</v>
      </c>
      <c r="U70" s="713" t="s">
        <v>5</v>
      </c>
      <c r="V70" s="714" t="s">
        <v>5</v>
      </c>
      <c r="W70" s="713" t="s">
        <v>5</v>
      </c>
      <c r="X70" s="714" t="s">
        <v>5</v>
      </c>
      <c r="Y70" s="713" t="s">
        <v>5</v>
      </c>
      <c r="Z70" s="714" t="s">
        <v>5</v>
      </c>
      <c r="AA70" s="713" t="s">
        <v>5</v>
      </c>
      <c r="AB70" s="714" t="s">
        <v>5</v>
      </c>
      <c r="AC70" s="713" t="s">
        <v>5</v>
      </c>
      <c r="AD70" s="714" t="s">
        <v>5</v>
      </c>
      <c r="AE70" s="713" t="s">
        <v>5</v>
      </c>
      <c r="AF70" s="714" t="s">
        <v>5</v>
      </c>
      <c r="AG70" s="713" t="s">
        <v>6</v>
      </c>
      <c r="AH70" s="714" t="s">
        <v>5</v>
      </c>
      <c r="AI70" s="713" t="s">
        <v>5</v>
      </c>
      <c r="AJ70" s="714" t="s">
        <v>6</v>
      </c>
      <c r="AK70" s="713" t="s">
        <v>5</v>
      </c>
      <c r="AL70" s="714" t="s">
        <v>6</v>
      </c>
      <c r="AM70" s="713" t="s">
        <v>6</v>
      </c>
      <c r="AN70" s="726" t="s">
        <v>5</v>
      </c>
    </row>
    <row r="71" spans="2:40" hidden="1">
      <c r="B71" s="547"/>
      <c r="M71" s="713" t="s">
        <v>5</v>
      </c>
      <c r="N71" s="714" t="s">
        <v>5</v>
      </c>
      <c r="O71" s="713" t="s">
        <v>5</v>
      </c>
      <c r="P71" s="714" t="s">
        <v>5</v>
      </c>
      <c r="Q71" s="713" t="s">
        <v>5</v>
      </c>
      <c r="R71" s="714" t="s">
        <v>5</v>
      </c>
      <c r="S71" s="713" t="s">
        <v>5</v>
      </c>
      <c r="T71" s="714" t="s">
        <v>5</v>
      </c>
      <c r="U71" s="713" t="s">
        <v>5</v>
      </c>
      <c r="V71" s="714" t="s">
        <v>5</v>
      </c>
      <c r="W71" s="713" t="s">
        <v>5</v>
      </c>
      <c r="X71" s="714" t="s">
        <v>5</v>
      </c>
      <c r="Y71" s="713" t="s">
        <v>5</v>
      </c>
      <c r="Z71" s="714" t="s">
        <v>5</v>
      </c>
      <c r="AA71" s="713" t="s">
        <v>5</v>
      </c>
      <c r="AB71" s="714" t="s">
        <v>5</v>
      </c>
      <c r="AC71" s="713" t="s">
        <v>5</v>
      </c>
      <c r="AD71" s="714" t="s">
        <v>5</v>
      </c>
      <c r="AE71" s="713" t="s">
        <v>5</v>
      </c>
      <c r="AF71" s="714" t="s">
        <v>5</v>
      </c>
      <c r="AG71" s="713" t="s">
        <v>6</v>
      </c>
      <c r="AH71" s="714" t="s">
        <v>6</v>
      </c>
      <c r="AI71" s="713" t="s">
        <v>6</v>
      </c>
      <c r="AJ71" s="714" t="s">
        <v>6</v>
      </c>
      <c r="AK71" s="713" t="s">
        <v>6</v>
      </c>
      <c r="AL71" s="714" t="s">
        <v>6</v>
      </c>
      <c r="AM71" s="713" t="s">
        <v>6</v>
      </c>
      <c r="AN71" s="726" t="s">
        <v>5</v>
      </c>
    </row>
    <row r="72" spans="2:40" hidden="1">
      <c r="B72" s="547" t="s">
        <v>140</v>
      </c>
      <c r="M72" s="713" t="s">
        <v>5</v>
      </c>
      <c r="N72" s="714" t="s">
        <v>5</v>
      </c>
      <c r="O72" s="713" t="s">
        <v>5</v>
      </c>
      <c r="P72" s="714" t="s">
        <v>5</v>
      </c>
      <c r="Q72" s="713" t="s">
        <v>5</v>
      </c>
      <c r="R72" s="714" t="s">
        <v>5</v>
      </c>
      <c r="S72" s="713" t="s">
        <v>5</v>
      </c>
      <c r="T72" s="714" t="s">
        <v>5</v>
      </c>
      <c r="U72" s="713" t="s">
        <v>5</v>
      </c>
      <c r="V72" s="714" t="s">
        <v>5</v>
      </c>
      <c r="W72" s="713" t="s">
        <v>5</v>
      </c>
      <c r="X72" s="714" t="s">
        <v>5</v>
      </c>
      <c r="Y72" s="713" t="s">
        <v>5</v>
      </c>
      <c r="Z72" s="714" t="s">
        <v>5</v>
      </c>
      <c r="AA72" s="713" t="s">
        <v>5</v>
      </c>
      <c r="AB72" s="714" t="s">
        <v>5</v>
      </c>
      <c r="AC72" s="713" t="s">
        <v>5</v>
      </c>
      <c r="AD72" s="714" t="s">
        <v>5</v>
      </c>
      <c r="AE72" s="713" t="s">
        <v>5</v>
      </c>
      <c r="AF72" s="714" t="s">
        <v>5</v>
      </c>
      <c r="AG72" s="713" t="s">
        <v>6</v>
      </c>
      <c r="AH72" s="714" t="s">
        <v>6</v>
      </c>
      <c r="AI72" s="713" t="s">
        <v>6</v>
      </c>
      <c r="AJ72" s="714" t="s">
        <v>6</v>
      </c>
      <c r="AK72" s="713" t="s">
        <v>6</v>
      </c>
      <c r="AL72" s="714" t="s">
        <v>6</v>
      </c>
      <c r="AM72" s="713" t="s">
        <v>6</v>
      </c>
      <c r="AN72" s="726" t="s">
        <v>5</v>
      </c>
    </row>
    <row r="73" spans="2:40" hidden="1">
      <c r="B73" s="702" t="str">
        <f>IF(OR(SEN3_Value="Please Select",SEN3_Value=""),"",SEN3_Value)</f>
        <v/>
      </c>
      <c r="M73" s="713" t="s">
        <v>5</v>
      </c>
      <c r="N73" s="714" t="s">
        <v>5</v>
      </c>
      <c r="O73" s="713" t="s">
        <v>5</v>
      </c>
      <c r="P73" s="714" t="s">
        <v>5</v>
      </c>
      <c r="Q73" s="713" t="s">
        <v>5</v>
      </c>
      <c r="R73" s="714" t="s">
        <v>5</v>
      </c>
      <c r="S73" s="713" t="s">
        <v>5</v>
      </c>
      <c r="T73" s="714" t="s">
        <v>5</v>
      </c>
      <c r="U73" s="713" t="s">
        <v>5</v>
      </c>
      <c r="V73" s="714" t="s">
        <v>5</v>
      </c>
      <c r="W73" s="713" t="s">
        <v>5</v>
      </c>
      <c r="X73" s="714" t="s">
        <v>5</v>
      </c>
      <c r="Y73" s="713" t="s">
        <v>5</v>
      </c>
      <c r="Z73" s="714" t="s">
        <v>5</v>
      </c>
      <c r="AA73" s="713" t="s">
        <v>5</v>
      </c>
      <c r="AB73" s="714" t="s">
        <v>5</v>
      </c>
      <c r="AC73" s="713" t="s">
        <v>5</v>
      </c>
      <c r="AD73" s="714" t="s">
        <v>5</v>
      </c>
      <c r="AE73" s="713" t="s">
        <v>5</v>
      </c>
      <c r="AF73" s="714" t="s">
        <v>5</v>
      </c>
      <c r="AG73" s="713" t="s">
        <v>6</v>
      </c>
      <c r="AH73" s="714" t="s">
        <v>6</v>
      </c>
      <c r="AI73" s="713" t="s">
        <v>6</v>
      </c>
      <c r="AJ73" s="714" t="s">
        <v>6</v>
      </c>
      <c r="AK73" s="713" t="s">
        <v>6</v>
      </c>
      <c r="AL73" s="714" t="s">
        <v>6</v>
      </c>
      <c r="AM73" s="713" t="s">
        <v>6</v>
      </c>
      <c r="AN73" s="726" t="s">
        <v>5</v>
      </c>
    </row>
    <row r="74" spans="2:40" hidden="1">
      <c r="B74" s="547" t="s">
        <v>460</v>
      </c>
      <c r="C74" s="581"/>
      <c r="D74" s="581"/>
      <c r="E74" s="581"/>
      <c r="F74" s="581"/>
      <c r="G74" s="581"/>
      <c r="H74" s="581"/>
      <c r="I74" s="581"/>
      <c r="J74" s="581"/>
      <c r="M74" s="713" t="s">
        <v>5</v>
      </c>
      <c r="N74" s="714" t="s">
        <v>5</v>
      </c>
      <c r="O74" s="713" t="s">
        <v>5</v>
      </c>
      <c r="P74" s="714" t="s">
        <v>5</v>
      </c>
      <c r="Q74" s="713" t="s">
        <v>5</v>
      </c>
      <c r="R74" s="714" t="s">
        <v>5</v>
      </c>
      <c r="S74" s="713" t="s">
        <v>5</v>
      </c>
      <c r="T74" s="714" t="s">
        <v>5</v>
      </c>
      <c r="U74" s="713" t="s">
        <v>5</v>
      </c>
      <c r="V74" s="714" t="s">
        <v>5</v>
      </c>
      <c r="W74" s="713" t="s">
        <v>5</v>
      </c>
      <c r="X74" s="714" t="s">
        <v>5</v>
      </c>
      <c r="Y74" s="713" t="s">
        <v>5</v>
      </c>
      <c r="Z74" s="714" t="s">
        <v>5</v>
      </c>
      <c r="AA74" s="713" t="s">
        <v>5</v>
      </c>
      <c r="AB74" s="714" t="s">
        <v>5</v>
      </c>
      <c r="AC74" s="713" t="s">
        <v>5</v>
      </c>
      <c r="AD74" s="714" t="s">
        <v>5</v>
      </c>
      <c r="AE74" s="713" t="s">
        <v>5</v>
      </c>
      <c r="AF74" s="714" t="s">
        <v>5</v>
      </c>
      <c r="AG74" s="713" t="s">
        <v>6</v>
      </c>
      <c r="AH74" s="714" t="s">
        <v>6</v>
      </c>
      <c r="AI74" s="713" t="s">
        <v>5</v>
      </c>
      <c r="AJ74" s="714" t="s">
        <v>5</v>
      </c>
      <c r="AK74" s="713" t="s">
        <v>6</v>
      </c>
      <c r="AL74" s="714" t="s">
        <v>6</v>
      </c>
      <c r="AM74" s="713" t="s">
        <v>5</v>
      </c>
      <c r="AN74" s="726" t="s">
        <v>5</v>
      </c>
    </row>
    <row r="75" spans="2:40" hidden="1">
      <c r="B75" s="547" t="s">
        <v>461</v>
      </c>
      <c r="C75" s="581"/>
      <c r="D75" s="581"/>
      <c r="E75" s="581"/>
      <c r="F75" s="581"/>
      <c r="G75" s="581"/>
      <c r="H75" s="581"/>
      <c r="I75" s="581"/>
      <c r="J75" s="581"/>
      <c r="M75" s="713" t="s">
        <v>5</v>
      </c>
      <c r="N75" s="714" t="s">
        <v>5</v>
      </c>
      <c r="O75" s="713" t="s">
        <v>5</v>
      </c>
      <c r="P75" s="714" t="s">
        <v>5</v>
      </c>
      <c r="Q75" s="713" t="s">
        <v>5</v>
      </c>
      <c r="R75" s="714" t="s">
        <v>5</v>
      </c>
      <c r="S75" s="713" t="s">
        <v>5</v>
      </c>
      <c r="T75" s="714" t="s">
        <v>5</v>
      </c>
      <c r="U75" s="713" t="s">
        <v>5</v>
      </c>
      <c r="V75" s="714" t="s">
        <v>5</v>
      </c>
      <c r="W75" s="713" t="s">
        <v>5</v>
      </c>
      <c r="X75" s="714" t="s">
        <v>5</v>
      </c>
      <c r="Y75" s="713" t="s">
        <v>5</v>
      </c>
      <c r="Z75" s="714" t="s">
        <v>5</v>
      </c>
      <c r="AA75" s="713" t="s">
        <v>5</v>
      </c>
      <c r="AB75" s="714" t="s">
        <v>5</v>
      </c>
      <c r="AC75" s="713" t="s">
        <v>5</v>
      </c>
      <c r="AD75" s="714" t="s">
        <v>5</v>
      </c>
      <c r="AE75" s="713" t="s">
        <v>5</v>
      </c>
      <c r="AF75" s="714" t="s">
        <v>5</v>
      </c>
      <c r="AG75" s="713" t="s">
        <v>6</v>
      </c>
      <c r="AH75" s="714" t="s">
        <v>6</v>
      </c>
      <c r="AI75" s="713" t="s">
        <v>5</v>
      </c>
      <c r="AJ75" s="714" t="s">
        <v>5</v>
      </c>
      <c r="AK75" s="713" t="s">
        <v>6</v>
      </c>
      <c r="AL75" s="714" t="s">
        <v>6</v>
      </c>
      <c r="AM75" s="713" t="s">
        <v>5</v>
      </c>
      <c r="AN75" s="726" t="s">
        <v>5</v>
      </c>
    </row>
    <row r="76" spans="2:40" hidden="1">
      <c r="B76" s="547" t="s">
        <v>462</v>
      </c>
      <c r="C76" s="581"/>
      <c r="D76" s="581"/>
      <c r="E76" s="581"/>
      <c r="F76" s="581"/>
      <c r="G76" s="581"/>
      <c r="H76" s="581"/>
      <c r="I76" s="581"/>
      <c r="J76" s="581"/>
      <c r="M76" s="713" t="s">
        <v>5</v>
      </c>
      <c r="N76" s="714" t="s">
        <v>5</v>
      </c>
      <c r="O76" s="713" t="s">
        <v>5</v>
      </c>
      <c r="P76" s="714" t="s">
        <v>5</v>
      </c>
      <c r="Q76" s="713" t="s">
        <v>5</v>
      </c>
      <c r="R76" s="714" t="s">
        <v>5</v>
      </c>
      <c r="S76" s="713" t="s">
        <v>5</v>
      </c>
      <c r="T76" s="714" t="s">
        <v>5</v>
      </c>
      <c r="U76" s="713" t="s">
        <v>5</v>
      </c>
      <c r="V76" s="714" t="s">
        <v>5</v>
      </c>
      <c r="W76" s="713" t="s">
        <v>5</v>
      </c>
      <c r="X76" s="714" t="s">
        <v>5</v>
      </c>
      <c r="Y76" s="713" t="s">
        <v>5</v>
      </c>
      <c r="Z76" s="714" t="s">
        <v>5</v>
      </c>
      <c r="AA76" s="713" t="s">
        <v>5</v>
      </c>
      <c r="AB76" s="714" t="s">
        <v>5</v>
      </c>
      <c r="AC76" s="713" t="s">
        <v>5</v>
      </c>
      <c r="AD76" s="714" t="s">
        <v>5</v>
      </c>
      <c r="AE76" s="713" t="s">
        <v>5</v>
      </c>
      <c r="AF76" s="714" t="s">
        <v>5</v>
      </c>
      <c r="AG76" s="713" t="s">
        <v>6</v>
      </c>
      <c r="AH76" s="714" t="s">
        <v>6</v>
      </c>
      <c r="AI76" s="713" t="s">
        <v>5</v>
      </c>
      <c r="AJ76" s="714" t="s">
        <v>5</v>
      </c>
      <c r="AK76" s="713" t="s">
        <v>6</v>
      </c>
      <c r="AL76" s="714" t="s">
        <v>6</v>
      </c>
      <c r="AM76" s="713" t="s">
        <v>5</v>
      </c>
      <c r="AN76" s="726" t="s">
        <v>5</v>
      </c>
    </row>
    <row r="77" spans="2:40" hidden="1">
      <c r="B77" s="547" t="s">
        <v>463</v>
      </c>
      <c r="C77" s="581"/>
      <c r="D77" s="581"/>
      <c r="E77" s="581"/>
      <c r="F77" s="581"/>
      <c r="G77" s="581"/>
      <c r="H77" s="581"/>
      <c r="I77" s="581"/>
      <c r="J77" s="581"/>
      <c r="M77" s="713" t="s">
        <v>5</v>
      </c>
      <c r="N77" s="714" t="s">
        <v>5</v>
      </c>
      <c r="O77" s="713" t="s">
        <v>5</v>
      </c>
      <c r="P77" s="714" t="s">
        <v>5</v>
      </c>
      <c r="Q77" s="713" t="s">
        <v>5</v>
      </c>
      <c r="R77" s="714" t="s">
        <v>5</v>
      </c>
      <c r="S77" s="713" t="s">
        <v>5</v>
      </c>
      <c r="T77" s="714" t="s">
        <v>5</v>
      </c>
      <c r="U77" s="713" t="s">
        <v>5</v>
      </c>
      <c r="V77" s="714" t="s">
        <v>5</v>
      </c>
      <c r="W77" s="713" t="s">
        <v>5</v>
      </c>
      <c r="X77" s="714" t="s">
        <v>5</v>
      </c>
      <c r="Y77" s="713" t="s">
        <v>5</v>
      </c>
      <c r="Z77" s="714" t="s">
        <v>5</v>
      </c>
      <c r="AA77" s="713" t="s">
        <v>5</v>
      </c>
      <c r="AB77" s="714" t="s">
        <v>5</v>
      </c>
      <c r="AC77" s="713" t="s">
        <v>5</v>
      </c>
      <c r="AD77" s="714" t="s">
        <v>5</v>
      </c>
      <c r="AE77" s="713" t="s">
        <v>5</v>
      </c>
      <c r="AF77" s="714" t="s">
        <v>5</v>
      </c>
      <c r="AG77" s="713" t="s">
        <v>6</v>
      </c>
      <c r="AH77" s="714" t="s">
        <v>6</v>
      </c>
      <c r="AI77" s="713" t="s">
        <v>5</v>
      </c>
      <c r="AJ77" s="714" t="s">
        <v>5</v>
      </c>
      <c r="AK77" s="713" t="s">
        <v>6</v>
      </c>
      <c r="AL77" s="714" t="s">
        <v>6</v>
      </c>
      <c r="AM77" s="713" t="s">
        <v>5</v>
      </c>
      <c r="AN77" s="726" t="s">
        <v>5</v>
      </c>
    </row>
    <row r="78" spans="2:40" hidden="1">
      <c r="B78" s="547" t="s">
        <v>464</v>
      </c>
      <c r="C78" s="581"/>
      <c r="D78" s="581"/>
      <c r="E78" s="581"/>
      <c r="F78" s="581"/>
      <c r="G78" s="581"/>
      <c r="H78" s="581"/>
      <c r="I78" s="581"/>
      <c r="J78" s="581"/>
      <c r="M78" s="713" t="s">
        <v>5</v>
      </c>
      <c r="N78" s="714" t="s">
        <v>5</v>
      </c>
      <c r="O78" s="713" t="s">
        <v>5</v>
      </c>
      <c r="P78" s="714" t="s">
        <v>5</v>
      </c>
      <c r="Q78" s="713" t="s">
        <v>5</v>
      </c>
      <c r="R78" s="714" t="s">
        <v>5</v>
      </c>
      <c r="S78" s="713" t="s">
        <v>5</v>
      </c>
      <c r="T78" s="714" t="s">
        <v>5</v>
      </c>
      <c r="U78" s="713" t="s">
        <v>5</v>
      </c>
      <c r="V78" s="714" t="s">
        <v>5</v>
      </c>
      <c r="W78" s="713" t="s">
        <v>5</v>
      </c>
      <c r="X78" s="714" t="s">
        <v>5</v>
      </c>
      <c r="Y78" s="713" t="s">
        <v>5</v>
      </c>
      <c r="Z78" s="714" t="s">
        <v>5</v>
      </c>
      <c r="AA78" s="713" t="s">
        <v>5</v>
      </c>
      <c r="AB78" s="714" t="s">
        <v>5</v>
      </c>
      <c r="AC78" s="713" t="s">
        <v>5</v>
      </c>
      <c r="AD78" s="714" t="s">
        <v>5</v>
      </c>
      <c r="AE78" s="713" t="s">
        <v>5</v>
      </c>
      <c r="AF78" s="714" t="s">
        <v>5</v>
      </c>
      <c r="AG78" s="713" t="s">
        <v>6</v>
      </c>
      <c r="AH78" s="714" t="s">
        <v>6</v>
      </c>
      <c r="AI78" s="713" t="s">
        <v>5</v>
      </c>
      <c r="AJ78" s="714" t="s">
        <v>5</v>
      </c>
      <c r="AK78" s="713" t="s">
        <v>6</v>
      </c>
      <c r="AL78" s="714" t="s">
        <v>6</v>
      </c>
      <c r="AM78" s="713" t="s">
        <v>5</v>
      </c>
      <c r="AN78" s="726" t="s">
        <v>5</v>
      </c>
    </row>
    <row r="79" spans="2:40" hidden="1">
      <c r="B79" s="547" t="s">
        <v>465</v>
      </c>
      <c r="C79" s="581"/>
      <c r="D79" s="581"/>
      <c r="E79" s="581"/>
      <c r="F79" s="581"/>
      <c r="G79" s="581"/>
      <c r="H79" s="581"/>
      <c r="I79" s="581"/>
      <c r="J79" s="581"/>
      <c r="M79" s="713" t="s">
        <v>5</v>
      </c>
      <c r="N79" s="714" t="s">
        <v>5</v>
      </c>
      <c r="O79" s="713" t="s">
        <v>5</v>
      </c>
      <c r="P79" s="714" t="s">
        <v>5</v>
      </c>
      <c r="Q79" s="713" t="s">
        <v>5</v>
      </c>
      <c r="R79" s="714" t="s">
        <v>5</v>
      </c>
      <c r="S79" s="713" t="s">
        <v>5</v>
      </c>
      <c r="T79" s="714" t="s">
        <v>5</v>
      </c>
      <c r="U79" s="713" t="s">
        <v>5</v>
      </c>
      <c r="V79" s="714" t="s">
        <v>5</v>
      </c>
      <c r="W79" s="713" t="s">
        <v>5</v>
      </c>
      <c r="X79" s="714" t="s">
        <v>5</v>
      </c>
      <c r="Y79" s="713" t="s">
        <v>5</v>
      </c>
      <c r="Z79" s="714" t="s">
        <v>5</v>
      </c>
      <c r="AA79" s="713" t="s">
        <v>5</v>
      </c>
      <c r="AB79" s="714" t="s">
        <v>5</v>
      </c>
      <c r="AC79" s="713" t="s">
        <v>5</v>
      </c>
      <c r="AD79" s="714" t="s">
        <v>5</v>
      </c>
      <c r="AE79" s="713" t="s">
        <v>5</v>
      </c>
      <c r="AF79" s="714" t="s">
        <v>5</v>
      </c>
      <c r="AG79" s="713" t="s">
        <v>6</v>
      </c>
      <c r="AH79" s="714" t="s">
        <v>6</v>
      </c>
      <c r="AI79" s="713" t="s">
        <v>5</v>
      </c>
      <c r="AJ79" s="714" t="s">
        <v>5</v>
      </c>
      <c r="AK79" s="713" t="s">
        <v>6</v>
      </c>
      <c r="AL79" s="714" t="s">
        <v>6</v>
      </c>
      <c r="AM79" s="713" t="s">
        <v>5</v>
      </c>
      <c r="AN79" s="726" t="s">
        <v>5</v>
      </c>
    </row>
    <row r="80" spans="2:40" hidden="1">
      <c r="B80" s="547" t="s">
        <v>466</v>
      </c>
      <c r="C80" s="581"/>
      <c r="D80" s="581"/>
      <c r="E80" s="581"/>
      <c r="F80" s="581"/>
      <c r="G80" s="581"/>
      <c r="H80" s="581"/>
      <c r="I80" s="581"/>
      <c r="J80" s="581"/>
      <c r="M80" s="713" t="s">
        <v>5</v>
      </c>
      <c r="N80" s="714" t="s">
        <v>5</v>
      </c>
      <c r="O80" s="713" t="s">
        <v>5</v>
      </c>
      <c r="P80" s="714" t="s">
        <v>5</v>
      </c>
      <c r="Q80" s="713" t="s">
        <v>5</v>
      </c>
      <c r="R80" s="714" t="s">
        <v>5</v>
      </c>
      <c r="S80" s="713" t="s">
        <v>5</v>
      </c>
      <c r="T80" s="714" t="s">
        <v>5</v>
      </c>
      <c r="U80" s="713" t="s">
        <v>5</v>
      </c>
      <c r="V80" s="714" t="s">
        <v>5</v>
      </c>
      <c r="W80" s="713" t="s">
        <v>5</v>
      </c>
      <c r="X80" s="714" t="s">
        <v>5</v>
      </c>
      <c r="Y80" s="713" t="s">
        <v>5</v>
      </c>
      <c r="Z80" s="714" t="s">
        <v>5</v>
      </c>
      <c r="AA80" s="713" t="s">
        <v>5</v>
      </c>
      <c r="AB80" s="714" t="s">
        <v>5</v>
      </c>
      <c r="AC80" s="713" t="s">
        <v>5</v>
      </c>
      <c r="AD80" s="714" t="s">
        <v>5</v>
      </c>
      <c r="AE80" s="713" t="s">
        <v>5</v>
      </c>
      <c r="AF80" s="714" t="s">
        <v>5</v>
      </c>
      <c r="AG80" s="713" t="s">
        <v>6</v>
      </c>
      <c r="AH80" s="714" t="s">
        <v>6</v>
      </c>
      <c r="AI80" s="713" t="s">
        <v>5</v>
      </c>
      <c r="AJ80" s="714" t="s">
        <v>5</v>
      </c>
      <c r="AK80" s="713" t="s">
        <v>6</v>
      </c>
      <c r="AL80" s="714" t="s">
        <v>6</v>
      </c>
      <c r="AM80" s="713" t="s">
        <v>5</v>
      </c>
      <c r="AN80" s="726" t="s">
        <v>5</v>
      </c>
    </row>
    <row r="81" spans="2:40" hidden="1">
      <c r="B81" s="547" t="s">
        <v>467</v>
      </c>
      <c r="C81" s="581"/>
      <c r="D81" s="581"/>
      <c r="E81" s="581"/>
      <c r="F81" s="581"/>
      <c r="G81" s="581"/>
      <c r="H81" s="581"/>
      <c r="I81" s="581"/>
      <c r="J81" s="581"/>
      <c r="M81" s="713" t="s">
        <v>5</v>
      </c>
      <c r="N81" s="714" t="s">
        <v>5</v>
      </c>
      <c r="O81" s="713" t="s">
        <v>5</v>
      </c>
      <c r="P81" s="714" t="s">
        <v>5</v>
      </c>
      <c r="Q81" s="713" t="s">
        <v>5</v>
      </c>
      <c r="R81" s="714" t="s">
        <v>5</v>
      </c>
      <c r="S81" s="713" t="s">
        <v>5</v>
      </c>
      <c r="T81" s="714" t="s">
        <v>5</v>
      </c>
      <c r="U81" s="713" t="s">
        <v>5</v>
      </c>
      <c r="V81" s="714" t="s">
        <v>5</v>
      </c>
      <c r="W81" s="713" t="s">
        <v>5</v>
      </c>
      <c r="X81" s="714" t="s">
        <v>5</v>
      </c>
      <c r="Y81" s="713" t="s">
        <v>5</v>
      </c>
      <c r="Z81" s="714" t="s">
        <v>5</v>
      </c>
      <c r="AA81" s="713" t="s">
        <v>5</v>
      </c>
      <c r="AB81" s="714" t="s">
        <v>5</v>
      </c>
      <c r="AC81" s="713" t="s">
        <v>5</v>
      </c>
      <c r="AD81" s="714" t="s">
        <v>5</v>
      </c>
      <c r="AE81" s="713" t="s">
        <v>5</v>
      </c>
      <c r="AF81" s="714" t="s">
        <v>5</v>
      </c>
      <c r="AG81" s="713" t="s">
        <v>6</v>
      </c>
      <c r="AH81" s="714" t="s">
        <v>5</v>
      </c>
      <c r="AI81" s="713" t="s">
        <v>6</v>
      </c>
      <c r="AJ81" s="714" t="s">
        <v>6</v>
      </c>
      <c r="AK81" s="713" t="s">
        <v>6</v>
      </c>
      <c r="AL81" s="714" t="s">
        <v>6</v>
      </c>
      <c r="AM81" s="713" t="s">
        <v>5</v>
      </c>
      <c r="AN81" s="726" t="s">
        <v>5</v>
      </c>
    </row>
    <row r="82" spans="2:40" hidden="1">
      <c r="B82" s="547" t="s">
        <v>468</v>
      </c>
      <c r="C82" s="581"/>
      <c r="D82" s="581"/>
      <c r="E82" s="581"/>
      <c r="F82" s="581"/>
      <c r="G82" s="581"/>
      <c r="H82" s="581"/>
      <c r="I82" s="581"/>
      <c r="J82" s="581"/>
      <c r="M82" s="713" t="s">
        <v>5</v>
      </c>
      <c r="N82" s="714" t="s">
        <v>5</v>
      </c>
      <c r="O82" s="713" t="s">
        <v>5</v>
      </c>
      <c r="P82" s="714" t="s">
        <v>5</v>
      </c>
      <c r="Q82" s="713" t="s">
        <v>5</v>
      </c>
      <c r="R82" s="714" t="s">
        <v>5</v>
      </c>
      <c r="S82" s="713" t="s">
        <v>5</v>
      </c>
      <c r="T82" s="714" t="s">
        <v>5</v>
      </c>
      <c r="U82" s="713" t="s">
        <v>5</v>
      </c>
      <c r="V82" s="714" t="s">
        <v>5</v>
      </c>
      <c r="W82" s="713" t="s">
        <v>5</v>
      </c>
      <c r="X82" s="714" t="s">
        <v>5</v>
      </c>
      <c r="Y82" s="713" t="s">
        <v>5</v>
      </c>
      <c r="Z82" s="714" t="s">
        <v>5</v>
      </c>
      <c r="AA82" s="713" t="s">
        <v>5</v>
      </c>
      <c r="AB82" s="714" t="s">
        <v>5</v>
      </c>
      <c r="AC82" s="713" t="s">
        <v>5</v>
      </c>
      <c r="AD82" s="714" t="s">
        <v>5</v>
      </c>
      <c r="AE82" s="713" t="s">
        <v>5</v>
      </c>
      <c r="AF82" s="714" t="s">
        <v>5</v>
      </c>
      <c r="AG82" s="713" t="s">
        <v>6</v>
      </c>
      <c r="AH82" s="714" t="s">
        <v>5</v>
      </c>
      <c r="AI82" s="713" t="s">
        <v>6</v>
      </c>
      <c r="AJ82" s="714" t="s">
        <v>6</v>
      </c>
      <c r="AK82" s="713" t="s">
        <v>6</v>
      </c>
      <c r="AL82" s="714" t="s">
        <v>6</v>
      </c>
      <c r="AM82" s="713" t="s">
        <v>5</v>
      </c>
      <c r="AN82" s="726" t="s">
        <v>5</v>
      </c>
    </row>
    <row r="83" spans="2:40" hidden="1">
      <c r="B83" s="547" t="s">
        <v>469</v>
      </c>
      <c r="C83" s="581"/>
      <c r="D83" s="581"/>
      <c r="E83" s="581"/>
      <c r="F83" s="581"/>
      <c r="G83" s="581"/>
      <c r="H83" s="581"/>
      <c r="I83" s="581"/>
      <c r="J83" s="581"/>
      <c r="M83" s="713" t="s">
        <v>5</v>
      </c>
      <c r="N83" s="714" t="s">
        <v>5</v>
      </c>
      <c r="O83" s="713" t="s">
        <v>5</v>
      </c>
      <c r="P83" s="714" t="s">
        <v>5</v>
      </c>
      <c r="Q83" s="713" t="s">
        <v>5</v>
      </c>
      <c r="R83" s="714" t="s">
        <v>5</v>
      </c>
      <c r="S83" s="713" t="s">
        <v>5</v>
      </c>
      <c r="T83" s="714" t="s">
        <v>5</v>
      </c>
      <c r="U83" s="713" t="s">
        <v>5</v>
      </c>
      <c r="V83" s="714" t="s">
        <v>5</v>
      </c>
      <c r="W83" s="713" t="s">
        <v>5</v>
      </c>
      <c r="X83" s="714" t="s">
        <v>5</v>
      </c>
      <c r="Y83" s="713" t="s">
        <v>5</v>
      </c>
      <c r="Z83" s="714" t="s">
        <v>5</v>
      </c>
      <c r="AA83" s="713" t="s">
        <v>5</v>
      </c>
      <c r="AB83" s="714" t="s">
        <v>5</v>
      </c>
      <c r="AC83" s="713" t="s">
        <v>5</v>
      </c>
      <c r="AD83" s="714" t="s">
        <v>5</v>
      </c>
      <c r="AE83" s="713" t="s">
        <v>5</v>
      </c>
      <c r="AF83" s="714" t="s">
        <v>5</v>
      </c>
      <c r="AG83" s="713" t="s">
        <v>6</v>
      </c>
      <c r="AH83" s="714" t="s">
        <v>5</v>
      </c>
      <c r="AI83" s="713" t="s">
        <v>6</v>
      </c>
      <c r="AJ83" s="714" t="s">
        <v>6</v>
      </c>
      <c r="AK83" s="713" t="s">
        <v>6</v>
      </c>
      <c r="AL83" s="714" t="s">
        <v>6</v>
      </c>
      <c r="AM83" s="713" t="s">
        <v>5</v>
      </c>
      <c r="AN83" s="726" t="s">
        <v>5</v>
      </c>
    </row>
    <row r="84" spans="2:40" hidden="1">
      <c r="B84" s="547" t="s">
        <v>470</v>
      </c>
      <c r="C84" s="581"/>
      <c r="D84" s="581"/>
      <c r="E84" s="581"/>
      <c r="F84" s="581"/>
      <c r="G84" s="581"/>
      <c r="H84" s="581"/>
      <c r="I84" s="581"/>
      <c r="J84" s="581"/>
      <c r="M84" s="713" t="s">
        <v>5</v>
      </c>
      <c r="N84" s="714" t="s">
        <v>5</v>
      </c>
      <c r="O84" s="713" t="s">
        <v>5</v>
      </c>
      <c r="P84" s="714" t="s">
        <v>5</v>
      </c>
      <c r="Q84" s="713" t="s">
        <v>5</v>
      </c>
      <c r="R84" s="714" t="s">
        <v>5</v>
      </c>
      <c r="S84" s="713" t="s">
        <v>5</v>
      </c>
      <c r="T84" s="714" t="s">
        <v>5</v>
      </c>
      <c r="U84" s="713" t="s">
        <v>5</v>
      </c>
      <c r="V84" s="714" t="s">
        <v>5</v>
      </c>
      <c r="W84" s="713" t="s">
        <v>5</v>
      </c>
      <c r="X84" s="714" t="s">
        <v>5</v>
      </c>
      <c r="Y84" s="713" t="s">
        <v>5</v>
      </c>
      <c r="Z84" s="714" t="s">
        <v>5</v>
      </c>
      <c r="AA84" s="713" t="s">
        <v>5</v>
      </c>
      <c r="AB84" s="714" t="s">
        <v>5</v>
      </c>
      <c r="AC84" s="713" t="s">
        <v>5</v>
      </c>
      <c r="AD84" s="714" t="s">
        <v>5</v>
      </c>
      <c r="AE84" s="713" t="s">
        <v>5</v>
      </c>
      <c r="AF84" s="714" t="s">
        <v>5</v>
      </c>
      <c r="AG84" s="713" t="s">
        <v>6</v>
      </c>
      <c r="AH84" s="714" t="s">
        <v>5</v>
      </c>
      <c r="AI84" s="713" t="s">
        <v>6</v>
      </c>
      <c r="AJ84" s="714" t="s">
        <v>6</v>
      </c>
      <c r="AK84" s="713" t="s">
        <v>6</v>
      </c>
      <c r="AL84" s="714" t="s">
        <v>6</v>
      </c>
      <c r="AM84" s="713" t="s">
        <v>5</v>
      </c>
      <c r="AN84" s="726" t="s">
        <v>5</v>
      </c>
    </row>
    <row r="85" spans="2:40" hidden="1">
      <c r="B85" s="547" t="s">
        <v>471</v>
      </c>
      <c r="C85" s="581"/>
      <c r="D85" s="581"/>
      <c r="E85" s="581"/>
      <c r="F85" s="581"/>
      <c r="G85" s="581"/>
      <c r="H85" s="581"/>
      <c r="I85" s="581"/>
      <c r="J85" s="581"/>
      <c r="M85" s="713" t="s">
        <v>5</v>
      </c>
      <c r="N85" s="714" t="s">
        <v>5</v>
      </c>
      <c r="O85" s="713" t="s">
        <v>5</v>
      </c>
      <c r="P85" s="714" t="s">
        <v>5</v>
      </c>
      <c r="Q85" s="713" t="s">
        <v>5</v>
      </c>
      <c r="R85" s="714" t="s">
        <v>5</v>
      </c>
      <c r="S85" s="713" t="s">
        <v>5</v>
      </c>
      <c r="T85" s="714" t="s">
        <v>5</v>
      </c>
      <c r="U85" s="713" t="s">
        <v>5</v>
      </c>
      <c r="V85" s="714" t="s">
        <v>5</v>
      </c>
      <c r="W85" s="713" t="s">
        <v>5</v>
      </c>
      <c r="X85" s="714" t="s">
        <v>5</v>
      </c>
      <c r="Y85" s="713" t="s">
        <v>5</v>
      </c>
      <c r="Z85" s="714" t="s">
        <v>5</v>
      </c>
      <c r="AA85" s="713" t="s">
        <v>5</v>
      </c>
      <c r="AB85" s="714" t="s">
        <v>5</v>
      </c>
      <c r="AC85" s="713" t="s">
        <v>5</v>
      </c>
      <c r="AD85" s="714" t="s">
        <v>5</v>
      </c>
      <c r="AE85" s="713" t="s">
        <v>5</v>
      </c>
      <c r="AF85" s="714" t="s">
        <v>5</v>
      </c>
      <c r="AG85" s="713" t="s">
        <v>6</v>
      </c>
      <c r="AH85" s="714" t="s">
        <v>5</v>
      </c>
      <c r="AI85" s="713" t="s">
        <v>6</v>
      </c>
      <c r="AJ85" s="714" t="s">
        <v>6</v>
      </c>
      <c r="AK85" s="713" t="s">
        <v>6</v>
      </c>
      <c r="AL85" s="714" t="s">
        <v>6</v>
      </c>
      <c r="AM85" s="713" t="s">
        <v>5</v>
      </c>
      <c r="AN85" s="726" t="s">
        <v>5</v>
      </c>
    </row>
    <row r="86" spans="2:40" hidden="1">
      <c r="B86" s="547" t="s">
        <v>472</v>
      </c>
      <c r="C86" s="581"/>
      <c r="D86" s="581"/>
      <c r="E86" s="581"/>
      <c r="F86" s="581"/>
      <c r="G86" s="581"/>
      <c r="H86" s="581"/>
      <c r="I86" s="581"/>
      <c r="J86" s="581"/>
      <c r="M86" s="713" t="s">
        <v>5</v>
      </c>
      <c r="N86" s="714" t="s">
        <v>5</v>
      </c>
      <c r="O86" s="713" t="s">
        <v>5</v>
      </c>
      <c r="P86" s="714" t="s">
        <v>5</v>
      </c>
      <c r="Q86" s="713" t="s">
        <v>5</v>
      </c>
      <c r="R86" s="714" t="s">
        <v>5</v>
      </c>
      <c r="S86" s="713" t="s">
        <v>5</v>
      </c>
      <c r="T86" s="714" t="s">
        <v>5</v>
      </c>
      <c r="U86" s="713" t="s">
        <v>5</v>
      </c>
      <c r="V86" s="714" t="s">
        <v>5</v>
      </c>
      <c r="W86" s="713" t="s">
        <v>5</v>
      </c>
      <c r="X86" s="714" t="s">
        <v>5</v>
      </c>
      <c r="Y86" s="713" t="s">
        <v>5</v>
      </c>
      <c r="Z86" s="714" t="s">
        <v>5</v>
      </c>
      <c r="AA86" s="713" t="s">
        <v>5</v>
      </c>
      <c r="AB86" s="714" t="s">
        <v>5</v>
      </c>
      <c r="AC86" s="713" t="s">
        <v>5</v>
      </c>
      <c r="AD86" s="714" t="s">
        <v>5</v>
      </c>
      <c r="AE86" s="713" t="s">
        <v>5</v>
      </c>
      <c r="AF86" s="714" t="s">
        <v>5</v>
      </c>
      <c r="AG86" s="713" t="s">
        <v>6</v>
      </c>
      <c r="AH86" s="714" t="s">
        <v>5</v>
      </c>
      <c r="AI86" s="713" t="s">
        <v>5</v>
      </c>
      <c r="AJ86" s="714" t="s">
        <v>6</v>
      </c>
      <c r="AK86" s="713" t="s">
        <v>5</v>
      </c>
      <c r="AL86" s="714" t="s">
        <v>6</v>
      </c>
      <c r="AM86" s="713" t="s">
        <v>6</v>
      </c>
      <c r="AN86" s="726" t="s">
        <v>5</v>
      </c>
    </row>
    <row r="87" spans="2:40" hidden="1">
      <c r="B87" s="547" t="s">
        <v>473</v>
      </c>
      <c r="C87" s="581"/>
      <c r="D87" s="581"/>
      <c r="E87" s="581"/>
      <c r="F87" s="581"/>
      <c r="G87" s="581"/>
      <c r="H87" s="581"/>
      <c r="I87" s="581"/>
      <c r="J87" s="581"/>
      <c r="M87" s="713" t="s">
        <v>5</v>
      </c>
      <c r="N87" s="714" t="s">
        <v>5</v>
      </c>
      <c r="O87" s="713" t="s">
        <v>5</v>
      </c>
      <c r="P87" s="714" t="s">
        <v>5</v>
      </c>
      <c r="Q87" s="713" t="s">
        <v>5</v>
      </c>
      <c r="R87" s="714" t="s">
        <v>5</v>
      </c>
      <c r="S87" s="713" t="s">
        <v>5</v>
      </c>
      <c r="T87" s="714" t="s">
        <v>5</v>
      </c>
      <c r="U87" s="713" t="s">
        <v>5</v>
      </c>
      <c r="V87" s="714" t="s">
        <v>5</v>
      </c>
      <c r="W87" s="713" t="s">
        <v>5</v>
      </c>
      <c r="X87" s="714" t="s">
        <v>5</v>
      </c>
      <c r="Y87" s="713" t="s">
        <v>5</v>
      </c>
      <c r="Z87" s="714" t="s">
        <v>5</v>
      </c>
      <c r="AA87" s="713" t="s">
        <v>5</v>
      </c>
      <c r="AB87" s="714" t="s">
        <v>5</v>
      </c>
      <c r="AC87" s="713" t="s">
        <v>5</v>
      </c>
      <c r="AD87" s="714" t="s">
        <v>5</v>
      </c>
      <c r="AE87" s="713" t="s">
        <v>5</v>
      </c>
      <c r="AF87" s="714" t="s">
        <v>5</v>
      </c>
      <c r="AG87" s="713" t="s">
        <v>6</v>
      </c>
      <c r="AH87" s="714" t="s">
        <v>5</v>
      </c>
      <c r="AI87" s="713" t="s">
        <v>5</v>
      </c>
      <c r="AJ87" s="714" t="s">
        <v>6</v>
      </c>
      <c r="AK87" s="713" t="s">
        <v>5</v>
      </c>
      <c r="AL87" s="714" t="s">
        <v>6</v>
      </c>
      <c r="AM87" s="713" t="s">
        <v>6</v>
      </c>
      <c r="AN87" s="726" t="s">
        <v>5</v>
      </c>
    </row>
    <row r="88" spans="2:40" hidden="1">
      <c r="B88" s="547"/>
      <c r="M88" s="713" t="s">
        <v>5</v>
      </c>
      <c r="N88" s="714" t="s">
        <v>5</v>
      </c>
      <c r="O88" s="713" t="s">
        <v>5</v>
      </c>
      <c r="P88" s="714" t="s">
        <v>5</v>
      </c>
      <c r="Q88" s="713" t="s">
        <v>5</v>
      </c>
      <c r="R88" s="714" t="s">
        <v>5</v>
      </c>
      <c r="S88" s="713" t="s">
        <v>5</v>
      </c>
      <c r="T88" s="714" t="s">
        <v>5</v>
      </c>
      <c r="U88" s="713" t="s">
        <v>5</v>
      </c>
      <c r="V88" s="714" t="s">
        <v>5</v>
      </c>
      <c r="W88" s="713" t="s">
        <v>5</v>
      </c>
      <c r="X88" s="714" t="s">
        <v>5</v>
      </c>
      <c r="Y88" s="713" t="s">
        <v>5</v>
      </c>
      <c r="Z88" s="714" t="s">
        <v>5</v>
      </c>
      <c r="AA88" s="713" t="s">
        <v>5</v>
      </c>
      <c r="AB88" s="714" t="s">
        <v>5</v>
      </c>
      <c r="AC88" s="713" t="s">
        <v>5</v>
      </c>
      <c r="AD88" s="714" t="s">
        <v>5</v>
      </c>
      <c r="AE88" s="713" t="s">
        <v>5</v>
      </c>
      <c r="AF88" s="714" t="s">
        <v>5</v>
      </c>
      <c r="AG88" s="713" t="s">
        <v>6</v>
      </c>
      <c r="AH88" s="714" t="s">
        <v>6</v>
      </c>
      <c r="AI88" s="713" t="s">
        <v>6</v>
      </c>
      <c r="AJ88" s="714" t="s">
        <v>6</v>
      </c>
      <c r="AK88" s="713" t="s">
        <v>6</v>
      </c>
      <c r="AL88" s="714" t="s">
        <v>6</v>
      </c>
      <c r="AM88" s="713" t="s">
        <v>6</v>
      </c>
      <c r="AN88" s="726" t="s">
        <v>5</v>
      </c>
    </row>
    <row r="89" spans="2:40" hidden="1">
      <c r="B89" s="547" t="s">
        <v>141</v>
      </c>
      <c r="M89" s="713" t="s">
        <v>5</v>
      </c>
      <c r="N89" s="714" t="s">
        <v>5</v>
      </c>
      <c r="O89" s="713" t="s">
        <v>5</v>
      </c>
      <c r="P89" s="714" t="s">
        <v>5</v>
      </c>
      <c r="Q89" s="713" t="s">
        <v>5</v>
      </c>
      <c r="R89" s="714" t="s">
        <v>5</v>
      </c>
      <c r="S89" s="713" t="s">
        <v>5</v>
      </c>
      <c r="T89" s="714" t="s">
        <v>5</v>
      </c>
      <c r="U89" s="713" t="s">
        <v>5</v>
      </c>
      <c r="V89" s="714" t="s">
        <v>5</v>
      </c>
      <c r="W89" s="713" t="s">
        <v>5</v>
      </c>
      <c r="X89" s="714" t="s">
        <v>5</v>
      </c>
      <c r="Y89" s="713" t="s">
        <v>5</v>
      </c>
      <c r="Z89" s="714" t="s">
        <v>5</v>
      </c>
      <c r="AA89" s="713" t="s">
        <v>5</v>
      </c>
      <c r="AB89" s="714" t="s">
        <v>5</v>
      </c>
      <c r="AC89" s="713" t="s">
        <v>5</v>
      </c>
      <c r="AD89" s="714" t="s">
        <v>5</v>
      </c>
      <c r="AE89" s="713" t="s">
        <v>5</v>
      </c>
      <c r="AF89" s="714" t="s">
        <v>5</v>
      </c>
      <c r="AG89" s="713" t="s">
        <v>6</v>
      </c>
      <c r="AH89" s="714" t="s">
        <v>6</v>
      </c>
      <c r="AI89" s="713" t="s">
        <v>6</v>
      </c>
      <c r="AJ89" s="714" t="s">
        <v>6</v>
      </c>
      <c r="AK89" s="713" t="s">
        <v>6</v>
      </c>
      <c r="AL89" s="714" t="s">
        <v>6</v>
      </c>
      <c r="AM89" s="713" t="s">
        <v>6</v>
      </c>
      <c r="AN89" s="726" t="s">
        <v>5</v>
      </c>
    </row>
    <row r="90" spans="2:40" hidden="1">
      <c r="B90" s="702" t="str">
        <f>IF(OR(SEN4_Value="Please Select",SEN4_Value=""),"",SEN4_Value)</f>
        <v/>
      </c>
      <c r="M90" s="713" t="s">
        <v>5</v>
      </c>
      <c r="N90" s="714" t="s">
        <v>5</v>
      </c>
      <c r="O90" s="713" t="s">
        <v>5</v>
      </c>
      <c r="P90" s="714" t="s">
        <v>5</v>
      </c>
      <c r="Q90" s="713" t="s">
        <v>5</v>
      </c>
      <c r="R90" s="714" t="s">
        <v>5</v>
      </c>
      <c r="S90" s="713" t="s">
        <v>5</v>
      </c>
      <c r="T90" s="714" t="s">
        <v>5</v>
      </c>
      <c r="U90" s="713" t="s">
        <v>5</v>
      </c>
      <c r="V90" s="714" t="s">
        <v>5</v>
      </c>
      <c r="W90" s="713" t="s">
        <v>5</v>
      </c>
      <c r="X90" s="714" t="s">
        <v>5</v>
      </c>
      <c r="Y90" s="713" t="s">
        <v>5</v>
      </c>
      <c r="Z90" s="714" t="s">
        <v>5</v>
      </c>
      <c r="AA90" s="713" t="s">
        <v>5</v>
      </c>
      <c r="AB90" s="714" t="s">
        <v>5</v>
      </c>
      <c r="AC90" s="713" t="s">
        <v>5</v>
      </c>
      <c r="AD90" s="714" t="s">
        <v>5</v>
      </c>
      <c r="AE90" s="713" t="s">
        <v>5</v>
      </c>
      <c r="AF90" s="714" t="s">
        <v>5</v>
      </c>
      <c r="AG90" s="713" t="s">
        <v>6</v>
      </c>
      <c r="AH90" s="714" t="s">
        <v>6</v>
      </c>
      <c r="AI90" s="713" t="s">
        <v>6</v>
      </c>
      <c r="AJ90" s="714" t="s">
        <v>6</v>
      </c>
      <c r="AK90" s="713" t="s">
        <v>6</v>
      </c>
      <c r="AL90" s="714" t="s">
        <v>6</v>
      </c>
      <c r="AM90" s="713" t="s">
        <v>6</v>
      </c>
      <c r="AN90" s="726" t="s">
        <v>5</v>
      </c>
    </row>
    <row r="91" spans="2:40" hidden="1">
      <c r="B91" s="547" t="s">
        <v>460</v>
      </c>
      <c r="C91" s="581"/>
      <c r="D91" s="581"/>
      <c r="E91" s="581"/>
      <c r="F91" s="581"/>
      <c r="G91" s="581"/>
      <c r="H91" s="581"/>
      <c r="I91" s="581"/>
      <c r="J91" s="581"/>
      <c r="M91" s="713" t="s">
        <v>5</v>
      </c>
      <c r="N91" s="714" t="s">
        <v>5</v>
      </c>
      <c r="O91" s="713" t="s">
        <v>5</v>
      </c>
      <c r="P91" s="714" t="s">
        <v>5</v>
      </c>
      <c r="Q91" s="713" t="s">
        <v>5</v>
      </c>
      <c r="R91" s="714" t="s">
        <v>5</v>
      </c>
      <c r="S91" s="713" t="s">
        <v>5</v>
      </c>
      <c r="T91" s="714" t="s">
        <v>5</v>
      </c>
      <c r="U91" s="713" t="s">
        <v>5</v>
      </c>
      <c r="V91" s="714" t="s">
        <v>5</v>
      </c>
      <c r="W91" s="713" t="s">
        <v>5</v>
      </c>
      <c r="X91" s="714" t="s">
        <v>5</v>
      </c>
      <c r="Y91" s="713" t="s">
        <v>5</v>
      </c>
      <c r="Z91" s="714" t="s">
        <v>5</v>
      </c>
      <c r="AA91" s="713" t="s">
        <v>5</v>
      </c>
      <c r="AB91" s="714" t="s">
        <v>5</v>
      </c>
      <c r="AC91" s="713" t="s">
        <v>5</v>
      </c>
      <c r="AD91" s="714" t="s">
        <v>5</v>
      </c>
      <c r="AE91" s="713" t="s">
        <v>5</v>
      </c>
      <c r="AF91" s="714" t="s">
        <v>5</v>
      </c>
      <c r="AG91" s="713" t="s">
        <v>6</v>
      </c>
      <c r="AH91" s="714" t="s">
        <v>6</v>
      </c>
      <c r="AI91" s="713" t="s">
        <v>5</v>
      </c>
      <c r="AJ91" s="714" t="s">
        <v>5</v>
      </c>
      <c r="AK91" s="713" t="s">
        <v>6</v>
      </c>
      <c r="AL91" s="714" t="s">
        <v>6</v>
      </c>
      <c r="AM91" s="713" t="s">
        <v>5</v>
      </c>
      <c r="AN91" s="726" t="s">
        <v>5</v>
      </c>
    </row>
    <row r="92" spans="2:40" hidden="1">
      <c r="B92" s="547" t="s">
        <v>461</v>
      </c>
      <c r="C92" s="581"/>
      <c r="D92" s="581"/>
      <c r="E92" s="581"/>
      <c r="F92" s="581"/>
      <c r="G92" s="581"/>
      <c r="H92" s="581"/>
      <c r="I92" s="581"/>
      <c r="J92" s="581"/>
      <c r="M92" s="713" t="s">
        <v>5</v>
      </c>
      <c r="N92" s="714" t="s">
        <v>5</v>
      </c>
      <c r="O92" s="713" t="s">
        <v>5</v>
      </c>
      <c r="P92" s="714" t="s">
        <v>5</v>
      </c>
      <c r="Q92" s="713" t="s">
        <v>5</v>
      </c>
      <c r="R92" s="714" t="s">
        <v>5</v>
      </c>
      <c r="S92" s="713" t="s">
        <v>5</v>
      </c>
      <c r="T92" s="714" t="s">
        <v>5</v>
      </c>
      <c r="U92" s="713" t="s">
        <v>5</v>
      </c>
      <c r="V92" s="714" t="s">
        <v>5</v>
      </c>
      <c r="W92" s="713" t="s">
        <v>5</v>
      </c>
      <c r="X92" s="714" t="s">
        <v>5</v>
      </c>
      <c r="Y92" s="713" t="s">
        <v>5</v>
      </c>
      <c r="Z92" s="714" t="s">
        <v>5</v>
      </c>
      <c r="AA92" s="713" t="s">
        <v>5</v>
      </c>
      <c r="AB92" s="714" t="s">
        <v>5</v>
      </c>
      <c r="AC92" s="713" t="s">
        <v>5</v>
      </c>
      <c r="AD92" s="714" t="s">
        <v>5</v>
      </c>
      <c r="AE92" s="713" t="s">
        <v>5</v>
      </c>
      <c r="AF92" s="714" t="s">
        <v>5</v>
      </c>
      <c r="AG92" s="713" t="s">
        <v>6</v>
      </c>
      <c r="AH92" s="714" t="s">
        <v>6</v>
      </c>
      <c r="AI92" s="713" t="s">
        <v>5</v>
      </c>
      <c r="AJ92" s="714" t="s">
        <v>5</v>
      </c>
      <c r="AK92" s="713" t="s">
        <v>6</v>
      </c>
      <c r="AL92" s="714" t="s">
        <v>6</v>
      </c>
      <c r="AM92" s="713" t="s">
        <v>5</v>
      </c>
      <c r="AN92" s="726" t="s">
        <v>5</v>
      </c>
    </row>
    <row r="93" spans="2:40" hidden="1">
      <c r="B93" s="547" t="s">
        <v>462</v>
      </c>
      <c r="C93" s="581"/>
      <c r="D93" s="581"/>
      <c r="E93" s="581"/>
      <c r="F93" s="581"/>
      <c r="G93" s="581"/>
      <c r="H93" s="581"/>
      <c r="I93" s="581"/>
      <c r="J93" s="581"/>
      <c r="M93" s="713" t="s">
        <v>5</v>
      </c>
      <c r="N93" s="714" t="s">
        <v>5</v>
      </c>
      <c r="O93" s="713" t="s">
        <v>5</v>
      </c>
      <c r="P93" s="714" t="s">
        <v>5</v>
      </c>
      <c r="Q93" s="713" t="s">
        <v>5</v>
      </c>
      <c r="R93" s="714" t="s">
        <v>5</v>
      </c>
      <c r="S93" s="713" t="s">
        <v>5</v>
      </c>
      <c r="T93" s="714" t="s">
        <v>5</v>
      </c>
      <c r="U93" s="713" t="s">
        <v>5</v>
      </c>
      <c r="V93" s="714" t="s">
        <v>5</v>
      </c>
      <c r="W93" s="713" t="s">
        <v>5</v>
      </c>
      <c r="X93" s="714" t="s">
        <v>5</v>
      </c>
      <c r="Y93" s="713" t="s">
        <v>5</v>
      </c>
      <c r="Z93" s="714" t="s">
        <v>5</v>
      </c>
      <c r="AA93" s="713" t="s">
        <v>5</v>
      </c>
      <c r="AB93" s="714" t="s">
        <v>5</v>
      </c>
      <c r="AC93" s="713" t="s">
        <v>5</v>
      </c>
      <c r="AD93" s="714" t="s">
        <v>5</v>
      </c>
      <c r="AE93" s="713" t="s">
        <v>5</v>
      </c>
      <c r="AF93" s="714" t="s">
        <v>5</v>
      </c>
      <c r="AG93" s="713" t="s">
        <v>6</v>
      </c>
      <c r="AH93" s="714" t="s">
        <v>6</v>
      </c>
      <c r="AI93" s="713" t="s">
        <v>5</v>
      </c>
      <c r="AJ93" s="714" t="s">
        <v>5</v>
      </c>
      <c r="AK93" s="713" t="s">
        <v>6</v>
      </c>
      <c r="AL93" s="714" t="s">
        <v>6</v>
      </c>
      <c r="AM93" s="713" t="s">
        <v>5</v>
      </c>
      <c r="AN93" s="726" t="s">
        <v>5</v>
      </c>
    </row>
    <row r="94" spans="2:40" hidden="1">
      <c r="B94" s="547" t="s">
        <v>463</v>
      </c>
      <c r="C94" s="581"/>
      <c r="D94" s="581"/>
      <c r="E94" s="581"/>
      <c r="F94" s="581"/>
      <c r="G94" s="581"/>
      <c r="H94" s="581"/>
      <c r="I94" s="581"/>
      <c r="J94" s="581"/>
      <c r="M94" s="713" t="s">
        <v>5</v>
      </c>
      <c r="N94" s="714" t="s">
        <v>5</v>
      </c>
      <c r="O94" s="713" t="s">
        <v>5</v>
      </c>
      <c r="P94" s="714" t="s">
        <v>5</v>
      </c>
      <c r="Q94" s="713" t="s">
        <v>5</v>
      </c>
      <c r="R94" s="714" t="s">
        <v>5</v>
      </c>
      <c r="S94" s="713" t="s">
        <v>5</v>
      </c>
      <c r="T94" s="714" t="s">
        <v>5</v>
      </c>
      <c r="U94" s="713" t="s">
        <v>5</v>
      </c>
      <c r="V94" s="714" t="s">
        <v>5</v>
      </c>
      <c r="W94" s="713" t="s">
        <v>5</v>
      </c>
      <c r="X94" s="714" t="s">
        <v>5</v>
      </c>
      <c r="Y94" s="713" t="s">
        <v>5</v>
      </c>
      <c r="Z94" s="714" t="s">
        <v>5</v>
      </c>
      <c r="AA94" s="713" t="s">
        <v>5</v>
      </c>
      <c r="AB94" s="714" t="s">
        <v>5</v>
      </c>
      <c r="AC94" s="713" t="s">
        <v>5</v>
      </c>
      <c r="AD94" s="714" t="s">
        <v>5</v>
      </c>
      <c r="AE94" s="713" t="s">
        <v>5</v>
      </c>
      <c r="AF94" s="714" t="s">
        <v>5</v>
      </c>
      <c r="AG94" s="713" t="s">
        <v>6</v>
      </c>
      <c r="AH94" s="714" t="s">
        <v>6</v>
      </c>
      <c r="AI94" s="713" t="s">
        <v>5</v>
      </c>
      <c r="AJ94" s="714" t="s">
        <v>5</v>
      </c>
      <c r="AK94" s="713" t="s">
        <v>6</v>
      </c>
      <c r="AL94" s="714" t="s">
        <v>6</v>
      </c>
      <c r="AM94" s="713" t="s">
        <v>5</v>
      </c>
      <c r="AN94" s="726" t="s">
        <v>5</v>
      </c>
    </row>
    <row r="95" spans="2:40" hidden="1">
      <c r="B95" s="547" t="s">
        <v>464</v>
      </c>
      <c r="C95" s="581"/>
      <c r="D95" s="581"/>
      <c r="E95" s="581"/>
      <c r="F95" s="581"/>
      <c r="G95" s="581"/>
      <c r="H95" s="581"/>
      <c r="I95" s="581"/>
      <c r="J95" s="581"/>
      <c r="M95" s="713" t="s">
        <v>5</v>
      </c>
      <c r="N95" s="714" t="s">
        <v>5</v>
      </c>
      <c r="O95" s="713" t="s">
        <v>5</v>
      </c>
      <c r="P95" s="714" t="s">
        <v>5</v>
      </c>
      <c r="Q95" s="713" t="s">
        <v>5</v>
      </c>
      <c r="R95" s="714" t="s">
        <v>5</v>
      </c>
      <c r="S95" s="713" t="s">
        <v>5</v>
      </c>
      <c r="T95" s="714" t="s">
        <v>5</v>
      </c>
      <c r="U95" s="713" t="s">
        <v>5</v>
      </c>
      <c r="V95" s="714" t="s">
        <v>5</v>
      </c>
      <c r="W95" s="713" t="s">
        <v>5</v>
      </c>
      <c r="X95" s="714" t="s">
        <v>5</v>
      </c>
      <c r="Y95" s="713" t="s">
        <v>5</v>
      </c>
      <c r="Z95" s="714" t="s">
        <v>5</v>
      </c>
      <c r="AA95" s="713" t="s">
        <v>5</v>
      </c>
      <c r="AB95" s="714" t="s">
        <v>5</v>
      </c>
      <c r="AC95" s="713" t="s">
        <v>5</v>
      </c>
      <c r="AD95" s="714" t="s">
        <v>5</v>
      </c>
      <c r="AE95" s="713" t="s">
        <v>5</v>
      </c>
      <c r="AF95" s="714" t="s">
        <v>5</v>
      </c>
      <c r="AG95" s="713" t="s">
        <v>6</v>
      </c>
      <c r="AH95" s="714" t="s">
        <v>6</v>
      </c>
      <c r="AI95" s="713" t="s">
        <v>5</v>
      </c>
      <c r="AJ95" s="714" t="s">
        <v>5</v>
      </c>
      <c r="AK95" s="713" t="s">
        <v>6</v>
      </c>
      <c r="AL95" s="714" t="s">
        <v>6</v>
      </c>
      <c r="AM95" s="713" t="s">
        <v>5</v>
      </c>
      <c r="AN95" s="726" t="s">
        <v>5</v>
      </c>
    </row>
    <row r="96" spans="2:40" hidden="1">
      <c r="B96" s="547" t="s">
        <v>465</v>
      </c>
      <c r="C96" s="581"/>
      <c r="D96" s="581"/>
      <c r="E96" s="581"/>
      <c r="F96" s="581"/>
      <c r="G96" s="581"/>
      <c r="H96" s="581"/>
      <c r="I96" s="581"/>
      <c r="J96" s="581"/>
      <c r="M96" s="713" t="s">
        <v>5</v>
      </c>
      <c r="N96" s="714" t="s">
        <v>5</v>
      </c>
      <c r="O96" s="713" t="s">
        <v>5</v>
      </c>
      <c r="P96" s="714" t="s">
        <v>5</v>
      </c>
      <c r="Q96" s="713" t="s">
        <v>5</v>
      </c>
      <c r="R96" s="714" t="s">
        <v>5</v>
      </c>
      <c r="S96" s="713" t="s">
        <v>5</v>
      </c>
      <c r="T96" s="714" t="s">
        <v>5</v>
      </c>
      <c r="U96" s="713" t="s">
        <v>5</v>
      </c>
      <c r="V96" s="714" t="s">
        <v>5</v>
      </c>
      <c r="W96" s="713" t="s">
        <v>5</v>
      </c>
      <c r="X96" s="714" t="s">
        <v>5</v>
      </c>
      <c r="Y96" s="713" t="s">
        <v>5</v>
      </c>
      <c r="Z96" s="714" t="s">
        <v>5</v>
      </c>
      <c r="AA96" s="713" t="s">
        <v>5</v>
      </c>
      <c r="AB96" s="714" t="s">
        <v>5</v>
      </c>
      <c r="AC96" s="713" t="s">
        <v>5</v>
      </c>
      <c r="AD96" s="714" t="s">
        <v>5</v>
      </c>
      <c r="AE96" s="713" t="s">
        <v>5</v>
      </c>
      <c r="AF96" s="714" t="s">
        <v>5</v>
      </c>
      <c r="AG96" s="713" t="s">
        <v>6</v>
      </c>
      <c r="AH96" s="714" t="s">
        <v>6</v>
      </c>
      <c r="AI96" s="713" t="s">
        <v>5</v>
      </c>
      <c r="AJ96" s="714" t="s">
        <v>5</v>
      </c>
      <c r="AK96" s="713" t="s">
        <v>6</v>
      </c>
      <c r="AL96" s="714" t="s">
        <v>6</v>
      </c>
      <c r="AM96" s="713" t="s">
        <v>5</v>
      </c>
      <c r="AN96" s="726" t="s">
        <v>5</v>
      </c>
    </row>
    <row r="97" spans="2:40" hidden="1">
      <c r="B97" s="547" t="s">
        <v>466</v>
      </c>
      <c r="C97" s="581"/>
      <c r="D97" s="581"/>
      <c r="E97" s="581"/>
      <c r="F97" s="581"/>
      <c r="G97" s="581"/>
      <c r="H97" s="581"/>
      <c r="I97" s="581"/>
      <c r="J97" s="581"/>
      <c r="M97" s="713" t="s">
        <v>5</v>
      </c>
      <c r="N97" s="714" t="s">
        <v>5</v>
      </c>
      <c r="O97" s="713" t="s">
        <v>5</v>
      </c>
      <c r="P97" s="714" t="s">
        <v>5</v>
      </c>
      <c r="Q97" s="713" t="s">
        <v>5</v>
      </c>
      <c r="R97" s="714" t="s">
        <v>5</v>
      </c>
      <c r="S97" s="713" t="s">
        <v>5</v>
      </c>
      <c r="T97" s="714" t="s">
        <v>5</v>
      </c>
      <c r="U97" s="713" t="s">
        <v>5</v>
      </c>
      <c r="V97" s="714" t="s">
        <v>5</v>
      </c>
      <c r="W97" s="713" t="s">
        <v>5</v>
      </c>
      <c r="X97" s="714" t="s">
        <v>5</v>
      </c>
      <c r="Y97" s="713" t="s">
        <v>5</v>
      </c>
      <c r="Z97" s="714" t="s">
        <v>5</v>
      </c>
      <c r="AA97" s="713" t="s">
        <v>5</v>
      </c>
      <c r="AB97" s="714" t="s">
        <v>5</v>
      </c>
      <c r="AC97" s="713" t="s">
        <v>5</v>
      </c>
      <c r="AD97" s="714" t="s">
        <v>5</v>
      </c>
      <c r="AE97" s="713" t="s">
        <v>5</v>
      </c>
      <c r="AF97" s="714" t="s">
        <v>5</v>
      </c>
      <c r="AG97" s="713" t="s">
        <v>6</v>
      </c>
      <c r="AH97" s="714" t="s">
        <v>6</v>
      </c>
      <c r="AI97" s="713" t="s">
        <v>5</v>
      </c>
      <c r="AJ97" s="714" t="s">
        <v>5</v>
      </c>
      <c r="AK97" s="713" t="s">
        <v>6</v>
      </c>
      <c r="AL97" s="714" t="s">
        <v>6</v>
      </c>
      <c r="AM97" s="713" t="s">
        <v>5</v>
      </c>
      <c r="AN97" s="726" t="s">
        <v>5</v>
      </c>
    </row>
    <row r="98" spans="2:40" hidden="1">
      <c r="B98" s="547" t="s">
        <v>467</v>
      </c>
      <c r="C98" s="581"/>
      <c r="D98" s="581"/>
      <c r="E98" s="581"/>
      <c r="F98" s="581"/>
      <c r="G98" s="581"/>
      <c r="H98" s="581"/>
      <c r="I98" s="581"/>
      <c r="J98" s="581"/>
      <c r="M98" s="713" t="s">
        <v>5</v>
      </c>
      <c r="N98" s="714" t="s">
        <v>5</v>
      </c>
      <c r="O98" s="713" t="s">
        <v>5</v>
      </c>
      <c r="P98" s="714" t="s">
        <v>5</v>
      </c>
      <c r="Q98" s="713" t="s">
        <v>5</v>
      </c>
      <c r="R98" s="714" t="s">
        <v>5</v>
      </c>
      <c r="S98" s="713" t="s">
        <v>5</v>
      </c>
      <c r="T98" s="714" t="s">
        <v>5</v>
      </c>
      <c r="U98" s="713" t="s">
        <v>5</v>
      </c>
      <c r="V98" s="714" t="s">
        <v>5</v>
      </c>
      <c r="W98" s="713" t="s">
        <v>5</v>
      </c>
      <c r="X98" s="714" t="s">
        <v>5</v>
      </c>
      <c r="Y98" s="713" t="s">
        <v>5</v>
      </c>
      <c r="Z98" s="714" t="s">
        <v>5</v>
      </c>
      <c r="AA98" s="713" t="s">
        <v>5</v>
      </c>
      <c r="AB98" s="714" t="s">
        <v>5</v>
      </c>
      <c r="AC98" s="713" t="s">
        <v>5</v>
      </c>
      <c r="AD98" s="714" t="s">
        <v>5</v>
      </c>
      <c r="AE98" s="713" t="s">
        <v>5</v>
      </c>
      <c r="AF98" s="714" t="s">
        <v>5</v>
      </c>
      <c r="AG98" s="713" t="s">
        <v>6</v>
      </c>
      <c r="AH98" s="714" t="s">
        <v>5</v>
      </c>
      <c r="AI98" s="713" t="s">
        <v>6</v>
      </c>
      <c r="AJ98" s="714" t="s">
        <v>6</v>
      </c>
      <c r="AK98" s="713" t="s">
        <v>6</v>
      </c>
      <c r="AL98" s="714" t="s">
        <v>6</v>
      </c>
      <c r="AM98" s="713" t="s">
        <v>5</v>
      </c>
      <c r="AN98" s="726" t="s">
        <v>5</v>
      </c>
    </row>
    <row r="99" spans="2:40" hidden="1">
      <c r="B99" s="547" t="s">
        <v>468</v>
      </c>
      <c r="C99" s="581"/>
      <c r="D99" s="581"/>
      <c r="E99" s="581"/>
      <c r="F99" s="581"/>
      <c r="G99" s="581"/>
      <c r="H99" s="581"/>
      <c r="I99" s="581"/>
      <c r="J99" s="581"/>
      <c r="M99" s="713" t="s">
        <v>5</v>
      </c>
      <c r="N99" s="714" t="s">
        <v>5</v>
      </c>
      <c r="O99" s="713" t="s">
        <v>5</v>
      </c>
      <c r="P99" s="714" t="s">
        <v>5</v>
      </c>
      <c r="Q99" s="713" t="s">
        <v>5</v>
      </c>
      <c r="R99" s="714" t="s">
        <v>5</v>
      </c>
      <c r="S99" s="713" t="s">
        <v>5</v>
      </c>
      <c r="T99" s="714" t="s">
        <v>5</v>
      </c>
      <c r="U99" s="713" t="s">
        <v>5</v>
      </c>
      <c r="V99" s="714" t="s">
        <v>5</v>
      </c>
      <c r="W99" s="713" t="s">
        <v>5</v>
      </c>
      <c r="X99" s="714" t="s">
        <v>5</v>
      </c>
      <c r="Y99" s="713" t="s">
        <v>5</v>
      </c>
      <c r="Z99" s="714" t="s">
        <v>5</v>
      </c>
      <c r="AA99" s="713" t="s">
        <v>5</v>
      </c>
      <c r="AB99" s="714" t="s">
        <v>5</v>
      </c>
      <c r="AC99" s="713" t="s">
        <v>5</v>
      </c>
      <c r="AD99" s="714" t="s">
        <v>5</v>
      </c>
      <c r="AE99" s="713" t="s">
        <v>5</v>
      </c>
      <c r="AF99" s="714" t="s">
        <v>5</v>
      </c>
      <c r="AG99" s="713" t="s">
        <v>6</v>
      </c>
      <c r="AH99" s="714" t="s">
        <v>5</v>
      </c>
      <c r="AI99" s="713" t="s">
        <v>6</v>
      </c>
      <c r="AJ99" s="714" t="s">
        <v>6</v>
      </c>
      <c r="AK99" s="713" t="s">
        <v>6</v>
      </c>
      <c r="AL99" s="714" t="s">
        <v>6</v>
      </c>
      <c r="AM99" s="713" t="s">
        <v>5</v>
      </c>
      <c r="AN99" s="726" t="s">
        <v>5</v>
      </c>
    </row>
    <row r="100" spans="2:40" hidden="1">
      <c r="B100" s="547" t="s">
        <v>469</v>
      </c>
      <c r="C100" s="581"/>
      <c r="D100" s="581"/>
      <c r="E100" s="581"/>
      <c r="F100" s="581"/>
      <c r="G100" s="581"/>
      <c r="H100" s="581"/>
      <c r="I100" s="581"/>
      <c r="J100" s="581"/>
      <c r="M100" s="713" t="s">
        <v>5</v>
      </c>
      <c r="N100" s="714" t="s">
        <v>5</v>
      </c>
      <c r="O100" s="713" t="s">
        <v>5</v>
      </c>
      <c r="P100" s="714" t="s">
        <v>5</v>
      </c>
      <c r="Q100" s="713" t="s">
        <v>5</v>
      </c>
      <c r="R100" s="714" t="s">
        <v>5</v>
      </c>
      <c r="S100" s="713" t="s">
        <v>5</v>
      </c>
      <c r="T100" s="714" t="s">
        <v>5</v>
      </c>
      <c r="U100" s="713" t="s">
        <v>5</v>
      </c>
      <c r="V100" s="714" t="s">
        <v>5</v>
      </c>
      <c r="W100" s="713" t="s">
        <v>5</v>
      </c>
      <c r="X100" s="714" t="s">
        <v>5</v>
      </c>
      <c r="Y100" s="713" t="s">
        <v>5</v>
      </c>
      <c r="Z100" s="714" t="s">
        <v>5</v>
      </c>
      <c r="AA100" s="713" t="s">
        <v>5</v>
      </c>
      <c r="AB100" s="714" t="s">
        <v>5</v>
      </c>
      <c r="AC100" s="713" t="s">
        <v>5</v>
      </c>
      <c r="AD100" s="714" t="s">
        <v>5</v>
      </c>
      <c r="AE100" s="713" t="s">
        <v>5</v>
      </c>
      <c r="AF100" s="714" t="s">
        <v>5</v>
      </c>
      <c r="AG100" s="713" t="s">
        <v>6</v>
      </c>
      <c r="AH100" s="714" t="s">
        <v>5</v>
      </c>
      <c r="AI100" s="713" t="s">
        <v>6</v>
      </c>
      <c r="AJ100" s="714" t="s">
        <v>6</v>
      </c>
      <c r="AK100" s="713" t="s">
        <v>6</v>
      </c>
      <c r="AL100" s="714" t="s">
        <v>6</v>
      </c>
      <c r="AM100" s="713" t="s">
        <v>5</v>
      </c>
      <c r="AN100" s="726" t="s">
        <v>5</v>
      </c>
    </row>
    <row r="101" spans="2:40" hidden="1">
      <c r="B101" s="547" t="s">
        <v>470</v>
      </c>
      <c r="C101" s="581"/>
      <c r="D101" s="581"/>
      <c r="E101" s="581"/>
      <c r="F101" s="581"/>
      <c r="G101" s="581"/>
      <c r="H101" s="581"/>
      <c r="I101" s="581"/>
      <c r="J101" s="581"/>
      <c r="M101" s="713" t="s">
        <v>5</v>
      </c>
      <c r="N101" s="714" t="s">
        <v>5</v>
      </c>
      <c r="O101" s="713" t="s">
        <v>5</v>
      </c>
      <c r="P101" s="714" t="s">
        <v>5</v>
      </c>
      <c r="Q101" s="713" t="s">
        <v>5</v>
      </c>
      <c r="R101" s="714" t="s">
        <v>5</v>
      </c>
      <c r="S101" s="713" t="s">
        <v>5</v>
      </c>
      <c r="T101" s="714" t="s">
        <v>5</v>
      </c>
      <c r="U101" s="713" t="s">
        <v>5</v>
      </c>
      <c r="V101" s="714" t="s">
        <v>5</v>
      </c>
      <c r="W101" s="713" t="s">
        <v>5</v>
      </c>
      <c r="X101" s="714" t="s">
        <v>5</v>
      </c>
      <c r="Y101" s="713" t="s">
        <v>5</v>
      </c>
      <c r="Z101" s="714" t="s">
        <v>5</v>
      </c>
      <c r="AA101" s="713" t="s">
        <v>5</v>
      </c>
      <c r="AB101" s="714" t="s">
        <v>5</v>
      </c>
      <c r="AC101" s="713" t="s">
        <v>5</v>
      </c>
      <c r="AD101" s="714" t="s">
        <v>5</v>
      </c>
      <c r="AE101" s="713" t="s">
        <v>5</v>
      </c>
      <c r="AF101" s="714" t="s">
        <v>5</v>
      </c>
      <c r="AG101" s="713" t="s">
        <v>6</v>
      </c>
      <c r="AH101" s="714" t="s">
        <v>5</v>
      </c>
      <c r="AI101" s="713" t="s">
        <v>6</v>
      </c>
      <c r="AJ101" s="714" t="s">
        <v>6</v>
      </c>
      <c r="AK101" s="713" t="s">
        <v>6</v>
      </c>
      <c r="AL101" s="714" t="s">
        <v>6</v>
      </c>
      <c r="AM101" s="713" t="s">
        <v>5</v>
      </c>
      <c r="AN101" s="726" t="s">
        <v>5</v>
      </c>
    </row>
    <row r="102" spans="2:40" hidden="1">
      <c r="B102" s="547" t="s">
        <v>471</v>
      </c>
      <c r="C102" s="581"/>
      <c r="D102" s="581"/>
      <c r="E102" s="581"/>
      <c r="F102" s="581"/>
      <c r="G102" s="581"/>
      <c r="H102" s="581"/>
      <c r="I102" s="581"/>
      <c r="J102" s="581"/>
      <c r="M102" s="713" t="s">
        <v>5</v>
      </c>
      <c r="N102" s="714" t="s">
        <v>5</v>
      </c>
      <c r="O102" s="713" t="s">
        <v>5</v>
      </c>
      <c r="P102" s="714" t="s">
        <v>5</v>
      </c>
      <c r="Q102" s="713" t="s">
        <v>5</v>
      </c>
      <c r="R102" s="714" t="s">
        <v>5</v>
      </c>
      <c r="S102" s="713" t="s">
        <v>5</v>
      </c>
      <c r="T102" s="714" t="s">
        <v>5</v>
      </c>
      <c r="U102" s="713" t="s">
        <v>5</v>
      </c>
      <c r="V102" s="714" t="s">
        <v>5</v>
      </c>
      <c r="W102" s="713" t="s">
        <v>5</v>
      </c>
      <c r="X102" s="714" t="s">
        <v>5</v>
      </c>
      <c r="Y102" s="713" t="s">
        <v>5</v>
      </c>
      <c r="Z102" s="714" t="s">
        <v>5</v>
      </c>
      <c r="AA102" s="713" t="s">
        <v>5</v>
      </c>
      <c r="AB102" s="714" t="s">
        <v>5</v>
      </c>
      <c r="AC102" s="713" t="s">
        <v>5</v>
      </c>
      <c r="AD102" s="714" t="s">
        <v>5</v>
      </c>
      <c r="AE102" s="713" t="s">
        <v>5</v>
      </c>
      <c r="AF102" s="714" t="s">
        <v>5</v>
      </c>
      <c r="AG102" s="713" t="s">
        <v>6</v>
      </c>
      <c r="AH102" s="714" t="s">
        <v>5</v>
      </c>
      <c r="AI102" s="713" t="s">
        <v>6</v>
      </c>
      <c r="AJ102" s="714" t="s">
        <v>6</v>
      </c>
      <c r="AK102" s="713" t="s">
        <v>6</v>
      </c>
      <c r="AL102" s="714" t="s">
        <v>6</v>
      </c>
      <c r="AM102" s="713" t="s">
        <v>5</v>
      </c>
      <c r="AN102" s="726" t="s">
        <v>5</v>
      </c>
    </row>
    <row r="103" spans="2:40" hidden="1">
      <c r="B103" s="547" t="s">
        <v>472</v>
      </c>
      <c r="C103" s="581"/>
      <c r="D103" s="581"/>
      <c r="E103" s="581"/>
      <c r="F103" s="581"/>
      <c r="G103" s="581"/>
      <c r="H103" s="581"/>
      <c r="I103" s="581"/>
      <c r="J103" s="581"/>
      <c r="M103" s="713" t="s">
        <v>5</v>
      </c>
      <c r="N103" s="714" t="s">
        <v>5</v>
      </c>
      <c r="O103" s="713" t="s">
        <v>5</v>
      </c>
      <c r="P103" s="714" t="s">
        <v>5</v>
      </c>
      <c r="Q103" s="713" t="s">
        <v>5</v>
      </c>
      <c r="R103" s="714" t="s">
        <v>5</v>
      </c>
      <c r="S103" s="713" t="s">
        <v>5</v>
      </c>
      <c r="T103" s="714" t="s">
        <v>5</v>
      </c>
      <c r="U103" s="713" t="s">
        <v>5</v>
      </c>
      <c r="V103" s="714" t="s">
        <v>5</v>
      </c>
      <c r="W103" s="713" t="s">
        <v>5</v>
      </c>
      <c r="X103" s="714" t="s">
        <v>5</v>
      </c>
      <c r="Y103" s="713" t="s">
        <v>5</v>
      </c>
      <c r="Z103" s="714" t="s">
        <v>5</v>
      </c>
      <c r="AA103" s="713" t="s">
        <v>5</v>
      </c>
      <c r="AB103" s="714" t="s">
        <v>5</v>
      </c>
      <c r="AC103" s="713" t="s">
        <v>5</v>
      </c>
      <c r="AD103" s="714" t="s">
        <v>5</v>
      </c>
      <c r="AE103" s="713" t="s">
        <v>5</v>
      </c>
      <c r="AF103" s="714" t="s">
        <v>5</v>
      </c>
      <c r="AG103" s="713" t="s">
        <v>6</v>
      </c>
      <c r="AH103" s="714" t="s">
        <v>5</v>
      </c>
      <c r="AI103" s="713" t="s">
        <v>5</v>
      </c>
      <c r="AJ103" s="714" t="s">
        <v>6</v>
      </c>
      <c r="AK103" s="713" t="s">
        <v>5</v>
      </c>
      <c r="AL103" s="714" t="s">
        <v>6</v>
      </c>
      <c r="AM103" s="713" t="s">
        <v>6</v>
      </c>
      <c r="AN103" s="726" t="s">
        <v>5</v>
      </c>
    </row>
    <row r="104" spans="2:40" hidden="1">
      <c r="B104" s="547" t="s">
        <v>473</v>
      </c>
      <c r="C104" s="581"/>
      <c r="D104" s="581"/>
      <c r="E104" s="581"/>
      <c r="F104" s="581"/>
      <c r="G104" s="581"/>
      <c r="H104" s="581"/>
      <c r="I104" s="581"/>
      <c r="J104" s="581"/>
      <c r="M104" s="713" t="s">
        <v>5</v>
      </c>
      <c r="N104" s="714" t="s">
        <v>5</v>
      </c>
      <c r="O104" s="713" t="s">
        <v>5</v>
      </c>
      <c r="P104" s="714" t="s">
        <v>5</v>
      </c>
      <c r="Q104" s="713" t="s">
        <v>5</v>
      </c>
      <c r="R104" s="714" t="s">
        <v>5</v>
      </c>
      <c r="S104" s="713" t="s">
        <v>5</v>
      </c>
      <c r="T104" s="714" t="s">
        <v>5</v>
      </c>
      <c r="U104" s="713" t="s">
        <v>5</v>
      </c>
      <c r="V104" s="714" t="s">
        <v>5</v>
      </c>
      <c r="W104" s="713" t="s">
        <v>5</v>
      </c>
      <c r="X104" s="714" t="s">
        <v>5</v>
      </c>
      <c r="Y104" s="713" t="s">
        <v>5</v>
      </c>
      <c r="Z104" s="714" t="s">
        <v>5</v>
      </c>
      <c r="AA104" s="713" t="s">
        <v>5</v>
      </c>
      <c r="AB104" s="714" t="s">
        <v>5</v>
      </c>
      <c r="AC104" s="713" t="s">
        <v>5</v>
      </c>
      <c r="AD104" s="714" t="s">
        <v>5</v>
      </c>
      <c r="AE104" s="713" t="s">
        <v>5</v>
      </c>
      <c r="AF104" s="714" t="s">
        <v>5</v>
      </c>
      <c r="AG104" s="713" t="s">
        <v>6</v>
      </c>
      <c r="AH104" s="714" t="s">
        <v>5</v>
      </c>
      <c r="AI104" s="713" t="s">
        <v>5</v>
      </c>
      <c r="AJ104" s="714" t="s">
        <v>6</v>
      </c>
      <c r="AK104" s="713" t="s">
        <v>5</v>
      </c>
      <c r="AL104" s="714" t="s">
        <v>6</v>
      </c>
      <c r="AM104" s="713" t="s">
        <v>6</v>
      </c>
      <c r="AN104" s="726" t="s">
        <v>5</v>
      </c>
    </row>
    <row r="105" spans="2:40" hidden="1">
      <c r="B105" s="547"/>
      <c r="C105"/>
      <c r="D105"/>
      <c r="E105"/>
      <c r="F105"/>
      <c r="G105"/>
      <c r="H105"/>
      <c r="I105"/>
      <c r="J105"/>
      <c r="M105" s="713" t="s">
        <v>5</v>
      </c>
      <c r="N105" s="714" t="s">
        <v>5</v>
      </c>
      <c r="O105" s="713" t="s">
        <v>5</v>
      </c>
      <c r="P105" s="714" t="s">
        <v>5</v>
      </c>
      <c r="Q105" s="713" t="s">
        <v>5</v>
      </c>
      <c r="R105" s="714" t="s">
        <v>5</v>
      </c>
      <c r="S105" s="713" t="s">
        <v>5</v>
      </c>
      <c r="T105" s="714" t="s">
        <v>5</v>
      </c>
      <c r="U105" s="713" t="s">
        <v>5</v>
      </c>
      <c r="V105" s="714" t="s">
        <v>5</v>
      </c>
      <c r="W105" s="713" t="s">
        <v>5</v>
      </c>
      <c r="X105" s="714" t="s">
        <v>5</v>
      </c>
      <c r="Y105" s="713" t="s">
        <v>5</v>
      </c>
      <c r="Z105" s="714" t="s">
        <v>5</v>
      </c>
      <c r="AA105" s="713" t="s">
        <v>5</v>
      </c>
      <c r="AB105" s="714" t="s">
        <v>5</v>
      </c>
      <c r="AC105" s="713" t="s">
        <v>5</v>
      </c>
      <c r="AD105" s="714" t="s">
        <v>5</v>
      </c>
      <c r="AE105" s="713" t="s">
        <v>5</v>
      </c>
      <c r="AF105" s="714" t="s">
        <v>5</v>
      </c>
      <c r="AG105" s="713" t="s">
        <v>6</v>
      </c>
      <c r="AH105" s="714" t="s">
        <v>5</v>
      </c>
      <c r="AI105" s="713" t="s">
        <v>5</v>
      </c>
      <c r="AJ105" s="714" t="s">
        <v>6</v>
      </c>
      <c r="AK105" s="713" t="s">
        <v>5</v>
      </c>
      <c r="AL105" s="714" t="s">
        <v>6</v>
      </c>
      <c r="AM105" s="713" t="s">
        <v>6</v>
      </c>
      <c r="AN105" s="726" t="s">
        <v>5</v>
      </c>
    </row>
    <row r="106" spans="2:40" hidden="1">
      <c r="B106" s="547" t="s">
        <v>470</v>
      </c>
      <c r="C106" s="581"/>
      <c r="D106" s="581"/>
      <c r="E106" s="581"/>
      <c r="F106" s="581"/>
      <c r="G106" s="581"/>
      <c r="H106" s="581"/>
      <c r="I106" s="581"/>
      <c r="J106" s="581"/>
      <c r="M106" s="713" t="s">
        <v>5</v>
      </c>
      <c r="N106" s="714" t="s">
        <v>5</v>
      </c>
      <c r="O106" s="713" t="s">
        <v>5</v>
      </c>
      <c r="P106" s="714" t="s">
        <v>5</v>
      </c>
      <c r="Q106" s="713" t="s">
        <v>5</v>
      </c>
      <c r="R106" s="714" t="s">
        <v>5</v>
      </c>
      <c r="S106" s="713" t="s">
        <v>5</v>
      </c>
      <c r="T106" s="714" t="s">
        <v>5</v>
      </c>
      <c r="U106" s="713" t="s">
        <v>5</v>
      </c>
      <c r="V106" s="714" t="s">
        <v>5</v>
      </c>
      <c r="W106" s="713" t="s">
        <v>5</v>
      </c>
      <c r="X106" s="714" t="s">
        <v>5</v>
      </c>
      <c r="Y106" s="713" t="s">
        <v>5</v>
      </c>
      <c r="Z106" s="714" t="s">
        <v>5</v>
      </c>
      <c r="AA106" s="713" t="s">
        <v>5</v>
      </c>
      <c r="AB106" s="714" t="s">
        <v>5</v>
      </c>
      <c r="AC106" s="713" t="s">
        <v>5</v>
      </c>
      <c r="AD106" s="714" t="s">
        <v>5</v>
      </c>
      <c r="AE106" s="713" t="s">
        <v>5</v>
      </c>
      <c r="AF106" s="714" t="s">
        <v>5</v>
      </c>
      <c r="AG106" s="713" t="s">
        <v>5</v>
      </c>
      <c r="AH106" s="714" t="s">
        <v>5</v>
      </c>
      <c r="AI106" s="713" t="s">
        <v>5</v>
      </c>
      <c r="AJ106" s="714" t="s">
        <v>5</v>
      </c>
      <c r="AK106" s="713" t="s">
        <v>5</v>
      </c>
      <c r="AL106" s="714" t="s">
        <v>5</v>
      </c>
      <c r="AM106" s="713" t="s">
        <v>5</v>
      </c>
      <c r="AN106" s="726" t="s">
        <v>6</v>
      </c>
    </row>
    <row r="107" spans="2:40" hidden="1">
      <c r="B107" s="547" t="s">
        <v>471</v>
      </c>
      <c r="C107" s="581"/>
      <c r="D107" s="581"/>
      <c r="E107" s="581"/>
      <c r="F107" s="581"/>
      <c r="G107" s="581"/>
      <c r="H107" s="581"/>
      <c r="I107" s="581"/>
      <c r="J107" s="581"/>
      <c r="M107" s="713" t="s">
        <v>5</v>
      </c>
      <c r="N107" s="714" t="s">
        <v>5</v>
      </c>
      <c r="O107" s="713" t="s">
        <v>5</v>
      </c>
      <c r="P107" s="714" t="s">
        <v>5</v>
      </c>
      <c r="Q107" s="713" t="s">
        <v>5</v>
      </c>
      <c r="R107" s="714" t="s">
        <v>5</v>
      </c>
      <c r="S107" s="713" t="s">
        <v>5</v>
      </c>
      <c r="T107" s="714" t="s">
        <v>5</v>
      </c>
      <c r="U107" s="713" t="s">
        <v>5</v>
      </c>
      <c r="V107" s="714" t="s">
        <v>5</v>
      </c>
      <c r="W107" s="713" t="s">
        <v>5</v>
      </c>
      <c r="X107" s="714" t="s">
        <v>5</v>
      </c>
      <c r="Y107" s="713" t="s">
        <v>5</v>
      </c>
      <c r="Z107" s="714" t="s">
        <v>5</v>
      </c>
      <c r="AA107" s="713" t="s">
        <v>5</v>
      </c>
      <c r="AB107" s="714" t="s">
        <v>5</v>
      </c>
      <c r="AC107" s="713" t="s">
        <v>5</v>
      </c>
      <c r="AD107" s="714" t="s">
        <v>5</v>
      </c>
      <c r="AE107" s="713" t="s">
        <v>5</v>
      </c>
      <c r="AF107" s="714" t="s">
        <v>5</v>
      </c>
      <c r="AG107" s="713" t="s">
        <v>5</v>
      </c>
      <c r="AH107" s="714" t="s">
        <v>5</v>
      </c>
      <c r="AI107" s="713" t="s">
        <v>5</v>
      </c>
      <c r="AJ107" s="714" t="s">
        <v>5</v>
      </c>
      <c r="AK107" s="713" t="s">
        <v>5</v>
      </c>
      <c r="AL107" s="714" t="s">
        <v>5</v>
      </c>
      <c r="AM107" s="713" t="s">
        <v>5</v>
      </c>
      <c r="AN107" s="726" t="s">
        <v>6</v>
      </c>
    </row>
    <row r="108" spans="2:40" hidden="1">
      <c r="B108" s="547" t="s">
        <v>472</v>
      </c>
      <c r="C108" s="581"/>
      <c r="D108" s="581"/>
      <c r="E108" s="581"/>
      <c r="F108" s="581"/>
      <c r="G108" s="581"/>
      <c r="H108" s="581"/>
      <c r="I108" s="581"/>
      <c r="J108" s="581"/>
      <c r="M108" s="713" t="s">
        <v>5</v>
      </c>
      <c r="N108" s="714" t="s">
        <v>5</v>
      </c>
      <c r="O108" s="713" t="s">
        <v>5</v>
      </c>
      <c r="P108" s="714" t="s">
        <v>5</v>
      </c>
      <c r="Q108" s="713" t="s">
        <v>5</v>
      </c>
      <c r="R108" s="714" t="s">
        <v>5</v>
      </c>
      <c r="S108" s="713" t="s">
        <v>5</v>
      </c>
      <c r="T108" s="714" t="s">
        <v>5</v>
      </c>
      <c r="U108" s="713" t="s">
        <v>5</v>
      </c>
      <c r="V108" s="714" t="s">
        <v>5</v>
      </c>
      <c r="W108" s="713" t="s">
        <v>5</v>
      </c>
      <c r="X108" s="714" t="s">
        <v>5</v>
      </c>
      <c r="Y108" s="713" t="s">
        <v>5</v>
      </c>
      <c r="Z108" s="714" t="s">
        <v>5</v>
      </c>
      <c r="AA108" s="713" t="s">
        <v>5</v>
      </c>
      <c r="AB108" s="714" t="s">
        <v>5</v>
      </c>
      <c r="AC108" s="713" t="s">
        <v>5</v>
      </c>
      <c r="AD108" s="714" t="s">
        <v>5</v>
      </c>
      <c r="AE108" s="713" t="s">
        <v>5</v>
      </c>
      <c r="AF108" s="714" t="s">
        <v>5</v>
      </c>
      <c r="AG108" s="713" t="s">
        <v>5</v>
      </c>
      <c r="AH108" s="714" t="s">
        <v>5</v>
      </c>
      <c r="AI108" s="713" t="s">
        <v>5</v>
      </c>
      <c r="AJ108" s="714" t="s">
        <v>5</v>
      </c>
      <c r="AK108" s="713" t="s">
        <v>5</v>
      </c>
      <c r="AL108" s="714" t="s">
        <v>5</v>
      </c>
      <c r="AM108" s="713" t="s">
        <v>5</v>
      </c>
      <c r="AN108" s="726" t="s">
        <v>6</v>
      </c>
    </row>
    <row r="109" spans="2:40" hidden="1">
      <c r="B109" s="547" t="s">
        <v>473</v>
      </c>
      <c r="C109" s="581"/>
      <c r="D109" s="581"/>
      <c r="E109" s="581"/>
      <c r="F109" s="581"/>
      <c r="G109" s="581"/>
      <c r="H109" s="581"/>
      <c r="I109" s="581"/>
      <c r="J109" s="581"/>
      <c r="M109" s="713" t="s">
        <v>5</v>
      </c>
      <c r="N109" s="714" t="s">
        <v>5</v>
      </c>
      <c r="O109" s="713" t="s">
        <v>5</v>
      </c>
      <c r="P109" s="714" t="s">
        <v>5</v>
      </c>
      <c r="Q109" s="713" t="s">
        <v>5</v>
      </c>
      <c r="R109" s="714" t="s">
        <v>5</v>
      </c>
      <c r="S109" s="713" t="s">
        <v>5</v>
      </c>
      <c r="T109" s="714" t="s">
        <v>5</v>
      </c>
      <c r="U109" s="713" t="s">
        <v>5</v>
      </c>
      <c r="V109" s="714" t="s">
        <v>5</v>
      </c>
      <c r="W109" s="713" t="s">
        <v>5</v>
      </c>
      <c r="X109" s="714" t="s">
        <v>5</v>
      </c>
      <c r="Y109" s="713" t="s">
        <v>5</v>
      </c>
      <c r="Z109" s="714" t="s">
        <v>5</v>
      </c>
      <c r="AA109" s="713" t="s">
        <v>5</v>
      </c>
      <c r="AB109" s="714" t="s">
        <v>5</v>
      </c>
      <c r="AC109" s="713" t="s">
        <v>5</v>
      </c>
      <c r="AD109" s="714" t="s">
        <v>5</v>
      </c>
      <c r="AE109" s="713" t="s">
        <v>5</v>
      </c>
      <c r="AF109" s="714" t="s">
        <v>5</v>
      </c>
      <c r="AG109" s="713" t="s">
        <v>5</v>
      </c>
      <c r="AH109" s="714" t="s">
        <v>5</v>
      </c>
      <c r="AI109" s="713" t="s">
        <v>5</v>
      </c>
      <c r="AJ109" s="714" t="s">
        <v>5</v>
      </c>
      <c r="AK109" s="713" t="s">
        <v>5</v>
      </c>
      <c r="AL109" s="714" t="s">
        <v>5</v>
      </c>
      <c r="AM109" s="713" t="s">
        <v>5</v>
      </c>
      <c r="AN109" s="726" t="s">
        <v>6</v>
      </c>
    </row>
    <row r="110" spans="2:40" hidden="1">
      <c r="B110" s="547" t="s">
        <v>359</v>
      </c>
      <c r="C110" s="581"/>
      <c r="D110" s="581"/>
      <c r="E110" s="581"/>
      <c r="F110" s="581"/>
      <c r="G110" s="581"/>
      <c r="H110" s="581"/>
      <c r="I110" s="581"/>
      <c r="J110" s="581"/>
      <c r="M110" s="713" t="s">
        <v>5</v>
      </c>
      <c r="N110" s="714" t="s">
        <v>5</v>
      </c>
      <c r="O110" s="713" t="s">
        <v>5</v>
      </c>
      <c r="P110" s="714" t="s">
        <v>5</v>
      </c>
      <c r="Q110" s="713" t="s">
        <v>5</v>
      </c>
      <c r="R110" s="714" t="s">
        <v>5</v>
      </c>
      <c r="S110" s="713" t="s">
        <v>5</v>
      </c>
      <c r="T110" s="714" t="s">
        <v>5</v>
      </c>
      <c r="U110" s="713" t="s">
        <v>5</v>
      </c>
      <c r="V110" s="714" t="s">
        <v>5</v>
      </c>
      <c r="W110" s="713" t="s">
        <v>5</v>
      </c>
      <c r="X110" s="714" t="s">
        <v>5</v>
      </c>
      <c r="Y110" s="713" t="s">
        <v>5</v>
      </c>
      <c r="Z110" s="714" t="s">
        <v>5</v>
      </c>
      <c r="AA110" s="713" t="s">
        <v>5</v>
      </c>
      <c r="AB110" s="714" t="s">
        <v>5</v>
      </c>
      <c r="AC110" s="713" t="s">
        <v>5</v>
      </c>
      <c r="AD110" s="714" t="s">
        <v>5</v>
      </c>
      <c r="AE110" s="713" t="s">
        <v>5</v>
      </c>
      <c r="AF110" s="714" t="s">
        <v>5</v>
      </c>
      <c r="AG110" s="713" t="s">
        <v>5</v>
      </c>
      <c r="AH110" s="714" t="s">
        <v>5</v>
      </c>
      <c r="AI110" s="713" t="s">
        <v>5</v>
      </c>
      <c r="AJ110" s="714" t="s">
        <v>5</v>
      </c>
      <c r="AK110" s="713" t="s">
        <v>5</v>
      </c>
      <c r="AL110" s="714" t="s">
        <v>5</v>
      </c>
      <c r="AM110" s="713" t="s">
        <v>5</v>
      </c>
      <c r="AN110" s="726" t="s">
        <v>6</v>
      </c>
    </row>
    <row r="111" spans="2:40" hidden="1">
      <c r="B111" s="547" t="s">
        <v>360</v>
      </c>
      <c r="C111" s="581"/>
      <c r="D111" s="581"/>
      <c r="E111" s="581"/>
      <c r="F111" s="581"/>
      <c r="G111" s="581"/>
      <c r="H111" s="581"/>
      <c r="I111" s="581"/>
      <c r="J111" s="581"/>
      <c r="M111" s="713" t="s">
        <v>5</v>
      </c>
      <c r="N111" s="714" t="s">
        <v>5</v>
      </c>
      <c r="O111" s="713" t="s">
        <v>5</v>
      </c>
      <c r="P111" s="714" t="s">
        <v>5</v>
      </c>
      <c r="Q111" s="713" t="s">
        <v>5</v>
      </c>
      <c r="R111" s="714" t="s">
        <v>5</v>
      </c>
      <c r="S111" s="713" t="s">
        <v>5</v>
      </c>
      <c r="T111" s="714" t="s">
        <v>5</v>
      </c>
      <c r="U111" s="713" t="s">
        <v>5</v>
      </c>
      <c r="V111" s="714" t="s">
        <v>5</v>
      </c>
      <c r="W111" s="713" t="s">
        <v>5</v>
      </c>
      <c r="X111" s="714" t="s">
        <v>5</v>
      </c>
      <c r="Y111" s="713" t="s">
        <v>5</v>
      </c>
      <c r="Z111" s="714" t="s">
        <v>5</v>
      </c>
      <c r="AA111" s="713" t="s">
        <v>5</v>
      </c>
      <c r="AB111" s="714" t="s">
        <v>5</v>
      </c>
      <c r="AC111" s="713" t="s">
        <v>5</v>
      </c>
      <c r="AD111" s="714" t="s">
        <v>5</v>
      </c>
      <c r="AE111" s="713" t="s">
        <v>5</v>
      </c>
      <c r="AF111" s="714" t="s">
        <v>5</v>
      </c>
      <c r="AG111" s="713" t="s">
        <v>5</v>
      </c>
      <c r="AH111" s="714" t="s">
        <v>5</v>
      </c>
      <c r="AI111" s="713" t="s">
        <v>5</v>
      </c>
      <c r="AJ111" s="714" t="s">
        <v>5</v>
      </c>
      <c r="AK111" s="713" t="s">
        <v>5</v>
      </c>
      <c r="AL111" s="714" t="s">
        <v>5</v>
      </c>
      <c r="AM111" s="713" t="s">
        <v>5</v>
      </c>
      <c r="AN111" s="726" t="s">
        <v>6</v>
      </c>
    </row>
    <row r="112" spans="2:40" hidden="1">
      <c r="B112" s="547" t="s">
        <v>361</v>
      </c>
      <c r="C112" s="581"/>
      <c r="D112" s="581"/>
      <c r="E112" s="581"/>
      <c r="F112" s="581"/>
      <c r="G112" s="581"/>
      <c r="H112" s="581"/>
      <c r="I112" s="581"/>
      <c r="J112" s="581"/>
      <c r="M112" s="713" t="s">
        <v>5</v>
      </c>
      <c r="N112" s="714" t="s">
        <v>5</v>
      </c>
      <c r="O112" s="713" t="s">
        <v>5</v>
      </c>
      <c r="P112" s="714" t="s">
        <v>5</v>
      </c>
      <c r="Q112" s="713" t="s">
        <v>5</v>
      </c>
      <c r="R112" s="714" t="s">
        <v>5</v>
      </c>
      <c r="S112" s="713" t="s">
        <v>5</v>
      </c>
      <c r="T112" s="714" t="s">
        <v>5</v>
      </c>
      <c r="U112" s="713" t="s">
        <v>5</v>
      </c>
      <c r="V112" s="714" t="s">
        <v>5</v>
      </c>
      <c r="W112" s="713" t="s">
        <v>5</v>
      </c>
      <c r="X112" s="714" t="s">
        <v>5</v>
      </c>
      <c r="Y112" s="713" t="s">
        <v>5</v>
      </c>
      <c r="Z112" s="714" t="s">
        <v>5</v>
      </c>
      <c r="AA112" s="713" t="s">
        <v>5</v>
      </c>
      <c r="AB112" s="714" t="s">
        <v>5</v>
      </c>
      <c r="AC112" s="713" t="s">
        <v>5</v>
      </c>
      <c r="AD112" s="714" t="s">
        <v>5</v>
      </c>
      <c r="AE112" s="713" t="s">
        <v>5</v>
      </c>
      <c r="AF112" s="714" t="s">
        <v>5</v>
      </c>
      <c r="AG112" s="713" t="s">
        <v>5</v>
      </c>
      <c r="AH112" s="714" t="s">
        <v>5</v>
      </c>
      <c r="AI112" s="713" t="s">
        <v>5</v>
      </c>
      <c r="AJ112" s="714" t="s">
        <v>5</v>
      </c>
      <c r="AK112" s="713" t="s">
        <v>5</v>
      </c>
      <c r="AL112" s="714" t="s">
        <v>5</v>
      </c>
      <c r="AM112" s="713" t="s">
        <v>5</v>
      </c>
      <c r="AN112" s="726" t="s">
        <v>6</v>
      </c>
    </row>
    <row r="113" spans="2:40">
      <c r="B113" s="547"/>
      <c r="M113" s="713" t="s">
        <v>6</v>
      </c>
      <c r="N113" s="714" t="s">
        <v>6</v>
      </c>
      <c r="O113" s="713" t="s">
        <v>6</v>
      </c>
      <c r="P113" s="714" t="s">
        <v>6</v>
      </c>
      <c r="Q113" s="713" t="s">
        <v>6</v>
      </c>
      <c r="R113" s="714" t="s">
        <v>6</v>
      </c>
      <c r="S113" s="713" t="s">
        <v>6</v>
      </c>
      <c r="T113" s="714" t="s">
        <v>6</v>
      </c>
      <c r="U113" s="713" t="s">
        <v>6</v>
      </c>
      <c r="V113" s="714" t="s">
        <v>6</v>
      </c>
      <c r="W113" s="713" t="s">
        <v>6</v>
      </c>
      <c r="X113" s="714" t="s">
        <v>6</v>
      </c>
      <c r="Y113" s="713" t="s">
        <v>6</v>
      </c>
      <c r="Z113" s="714" t="s">
        <v>6</v>
      </c>
      <c r="AA113" s="713" t="s">
        <v>6</v>
      </c>
      <c r="AB113" s="714" t="s">
        <v>6</v>
      </c>
      <c r="AC113" s="713" t="s">
        <v>6</v>
      </c>
      <c r="AD113" s="714" t="s">
        <v>6</v>
      </c>
      <c r="AE113" s="713" t="s">
        <v>6</v>
      </c>
      <c r="AF113" s="714" t="s">
        <v>6</v>
      </c>
      <c r="AG113" s="713" t="s">
        <v>6</v>
      </c>
      <c r="AH113" s="714" t="s">
        <v>6</v>
      </c>
      <c r="AI113" s="713" t="s">
        <v>6</v>
      </c>
      <c r="AJ113" s="714" t="s">
        <v>6</v>
      </c>
      <c r="AK113" s="713" t="s">
        <v>6</v>
      </c>
      <c r="AL113" s="714" t="s">
        <v>6</v>
      </c>
      <c r="AM113" s="713" t="s">
        <v>6</v>
      </c>
      <c r="AN113" s="726" t="s">
        <v>6</v>
      </c>
    </row>
    <row r="114" spans="2:40">
      <c r="B114" s="548" t="s">
        <v>772</v>
      </c>
      <c r="C114" s="602">
        <f>SUM(C4:C15,C19,C21,C23:C36,C40:C53,C57:C70,C74:C87,C91:C104,C106:C109)</f>
        <v>0</v>
      </c>
      <c r="D114" s="602">
        <f>SUM(D4:D15,D19,D21,D23:D36,D40:D53,D57:D70,D74:D87,D91:D104,D106:D109)</f>
        <v>0</v>
      </c>
      <c r="E114" s="602">
        <f>SUM(E4:E15,E19,E21,E23:E36,E40:E53,E57:E70,E74:E87,E91:E104,E106:E109)</f>
        <v>0</v>
      </c>
      <c r="F114" s="602">
        <f>SUM(F4:F15,F19,F21,F23:F36,F40:F53,F57:F70,F74:F87,F91:F104,F106:F109)</f>
        <v>0</v>
      </c>
      <c r="G114" s="602">
        <f>SUM(G4:G15,G19,G21,G23:G36,G40:G53,G57:G70,G74:G87,G91:G104,G106:G109)</f>
        <v>0</v>
      </c>
      <c r="H114" s="602">
        <f>SUM(H4:H15,H19,H21,H23:H36,H40:H53,H57:H70,H74:H87,H91:H104,H106:H109)</f>
        <v>0</v>
      </c>
      <c r="I114" s="602">
        <f>SUM(I4:I15,I19,I21,I23:I36,I40:I53,I57:I70,I74:I87,I91:I104,I106:I109)</f>
        <v>0</v>
      </c>
      <c r="J114" s="602">
        <f>SUM(J4:J15,J19,J21,J23:J36,J40:J53,J57:J70,J74:J87,J91:J104,J106:J109)</f>
        <v>0</v>
      </c>
      <c r="M114" s="713" t="s">
        <v>6</v>
      </c>
      <c r="N114" s="714" t="s">
        <v>6</v>
      </c>
      <c r="O114" s="713" t="s">
        <v>6</v>
      </c>
      <c r="P114" s="714" t="s">
        <v>6</v>
      </c>
      <c r="Q114" s="713" t="s">
        <v>6</v>
      </c>
      <c r="R114" s="714" t="s">
        <v>6</v>
      </c>
      <c r="S114" s="713" t="s">
        <v>6</v>
      </c>
      <c r="T114" s="714" t="s">
        <v>6</v>
      </c>
      <c r="U114" s="713" t="s">
        <v>6</v>
      </c>
      <c r="V114" s="714" t="s">
        <v>6</v>
      </c>
      <c r="W114" s="713" t="s">
        <v>6</v>
      </c>
      <c r="X114" s="714" t="s">
        <v>6</v>
      </c>
      <c r="Y114" s="713" t="s">
        <v>6</v>
      </c>
      <c r="Z114" s="714" t="s">
        <v>6</v>
      </c>
      <c r="AA114" s="713" t="s">
        <v>6</v>
      </c>
      <c r="AB114" s="714" t="s">
        <v>6</v>
      </c>
      <c r="AC114" s="713" t="s">
        <v>6</v>
      </c>
      <c r="AD114" s="714" t="s">
        <v>6</v>
      </c>
      <c r="AE114" s="713" t="s">
        <v>6</v>
      </c>
      <c r="AF114" s="714" t="s">
        <v>6</v>
      </c>
      <c r="AG114" s="713" t="s">
        <v>6</v>
      </c>
      <c r="AH114" s="714" t="s">
        <v>6</v>
      </c>
      <c r="AI114" s="713" t="s">
        <v>6</v>
      </c>
      <c r="AJ114" s="714" t="s">
        <v>6</v>
      </c>
      <c r="AK114" s="713" t="s">
        <v>6</v>
      </c>
      <c r="AL114" s="714" t="s">
        <v>6</v>
      </c>
      <c r="AM114" s="713" t="s">
        <v>6</v>
      </c>
      <c r="AN114" s="726" t="s">
        <v>6</v>
      </c>
    </row>
    <row r="115" spans="2:40">
      <c r="B115" s="548" t="s">
        <v>774</v>
      </c>
      <c r="C115" s="549">
        <f>IFERROR(C114/'G2. Cover Sheet'!$C$20,0)</f>
        <v>0</v>
      </c>
      <c r="D115" s="549">
        <f>IFERROR(D114/'G2. Cover Sheet'!$C$20,0)</f>
        <v>0</v>
      </c>
      <c r="E115" s="549">
        <f>IFERROR(E114/'G2. Cover Sheet'!$C$20,0)</f>
        <v>0</v>
      </c>
      <c r="F115" s="549">
        <f>IFERROR(F114/'G2. Cover Sheet'!$C$20,0)</f>
        <v>0</v>
      </c>
      <c r="G115" s="549">
        <f>IFERROR(G114/'G2. Cover Sheet'!$C$20,0)</f>
        <v>0</v>
      </c>
      <c r="H115" s="549">
        <f>IFERROR(H114/'G2. Cover Sheet'!$C$20,0)</f>
        <v>0</v>
      </c>
      <c r="I115" s="549">
        <f>IFERROR(I114/'G2. Cover Sheet'!$C$20,0)</f>
        <v>0</v>
      </c>
      <c r="J115" s="549">
        <f>IFERROR(J114/'G2. Cover Sheet'!$C$20,0)</f>
        <v>0</v>
      </c>
      <c r="M115" s="713" t="s">
        <v>6</v>
      </c>
      <c r="N115" s="714" t="s">
        <v>6</v>
      </c>
      <c r="O115" s="713" t="s">
        <v>6</v>
      </c>
      <c r="P115" s="714" t="s">
        <v>6</v>
      </c>
      <c r="Q115" s="713" t="s">
        <v>6</v>
      </c>
      <c r="R115" s="714" t="s">
        <v>6</v>
      </c>
      <c r="S115" s="713" t="s">
        <v>6</v>
      </c>
      <c r="T115" s="714" t="s">
        <v>6</v>
      </c>
      <c r="U115" s="713" t="s">
        <v>6</v>
      </c>
      <c r="V115" s="714" t="s">
        <v>6</v>
      </c>
      <c r="W115" s="713" t="s">
        <v>6</v>
      </c>
      <c r="X115" s="714" t="s">
        <v>6</v>
      </c>
      <c r="Y115" s="713" t="s">
        <v>6</v>
      </c>
      <c r="Z115" s="714" t="s">
        <v>6</v>
      </c>
      <c r="AA115" s="713" t="s">
        <v>6</v>
      </c>
      <c r="AB115" s="714" t="s">
        <v>6</v>
      </c>
      <c r="AC115" s="713" t="s">
        <v>6</v>
      </c>
      <c r="AD115" s="714" t="s">
        <v>6</v>
      </c>
      <c r="AE115" s="713" t="s">
        <v>6</v>
      </c>
      <c r="AF115" s="714" t="s">
        <v>6</v>
      </c>
      <c r="AG115" s="713" t="s">
        <v>6</v>
      </c>
      <c r="AH115" s="714" t="s">
        <v>6</v>
      </c>
      <c r="AI115" s="713" t="s">
        <v>6</v>
      </c>
      <c r="AJ115" s="714" t="s">
        <v>6</v>
      </c>
      <c r="AK115" s="713" t="s">
        <v>6</v>
      </c>
      <c r="AL115" s="714" t="s">
        <v>6</v>
      </c>
      <c r="AM115" s="713" t="s">
        <v>6</v>
      </c>
      <c r="AN115" s="726" t="s">
        <v>6</v>
      </c>
    </row>
    <row r="116" spans="13:40">
      <c r="M116" s="713" t="s">
        <v>6</v>
      </c>
      <c r="N116" s="714" t="s">
        <v>6</v>
      </c>
      <c r="O116" s="713" t="s">
        <v>6</v>
      </c>
      <c r="P116" s="714" t="s">
        <v>6</v>
      </c>
      <c r="Q116" s="713" t="s">
        <v>6</v>
      </c>
      <c r="R116" s="714" t="s">
        <v>6</v>
      </c>
      <c r="S116" s="713" t="s">
        <v>6</v>
      </c>
      <c r="T116" s="714" t="s">
        <v>6</v>
      </c>
      <c r="U116" s="713" t="s">
        <v>6</v>
      </c>
      <c r="V116" s="714" t="s">
        <v>6</v>
      </c>
      <c r="W116" s="713" t="s">
        <v>6</v>
      </c>
      <c r="X116" s="714" t="s">
        <v>6</v>
      </c>
      <c r="Y116" s="713" t="s">
        <v>6</v>
      </c>
      <c r="Z116" s="714" t="s">
        <v>6</v>
      </c>
      <c r="AA116" s="713" t="s">
        <v>6</v>
      </c>
      <c r="AB116" s="714" t="s">
        <v>6</v>
      </c>
      <c r="AC116" s="713" t="s">
        <v>6</v>
      </c>
      <c r="AD116" s="714" t="s">
        <v>6</v>
      </c>
      <c r="AE116" s="713" t="s">
        <v>6</v>
      </c>
      <c r="AF116" s="714" t="s">
        <v>6</v>
      </c>
      <c r="AG116" s="713" t="s">
        <v>6</v>
      </c>
      <c r="AH116" s="714" t="s">
        <v>6</v>
      </c>
      <c r="AI116" s="713" t="s">
        <v>6</v>
      </c>
      <c r="AJ116" s="714" t="s">
        <v>6</v>
      </c>
      <c r="AK116" s="713" t="s">
        <v>6</v>
      </c>
      <c r="AL116" s="714" t="s">
        <v>6</v>
      </c>
      <c r="AM116" s="713" t="s">
        <v>6</v>
      </c>
      <c r="AN116" s="726" t="s">
        <v>6</v>
      </c>
    </row>
    <row r="117" spans="13:40">
      <c r="M117" s="713" t="s">
        <v>6</v>
      </c>
      <c r="N117" s="714" t="s">
        <v>6</v>
      </c>
      <c r="O117" s="713" t="s">
        <v>6</v>
      </c>
      <c r="P117" s="714" t="s">
        <v>6</v>
      </c>
      <c r="Q117" s="713" t="s">
        <v>6</v>
      </c>
      <c r="R117" s="714" t="s">
        <v>6</v>
      </c>
      <c r="S117" s="713" t="s">
        <v>6</v>
      </c>
      <c r="T117" s="714" t="s">
        <v>6</v>
      </c>
      <c r="U117" s="713" t="s">
        <v>6</v>
      </c>
      <c r="V117" s="714" t="s">
        <v>6</v>
      </c>
      <c r="W117" s="713" t="s">
        <v>6</v>
      </c>
      <c r="X117" s="714" t="s">
        <v>6</v>
      </c>
      <c r="Y117" s="713" t="s">
        <v>6</v>
      </c>
      <c r="Z117" s="714" t="s">
        <v>6</v>
      </c>
      <c r="AA117" s="713" t="s">
        <v>6</v>
      </c>
      <c r="AB117" s="714" t="s">
        <v>6</v>
      </c>
      <c r="AC117" s="713" t="s">
        <v>6</v>
      </c>
      <c r="AD117" s="714" t="s">
        <v>6</v>
      </c>
      <c r="AE117" s="713" t="s">
        <v>6</v>
      </c>
      <c r="AF117" s="714" t="s">
        <v>6</v>
      </c>
      <c r="AG117" s="713" t="s">
        <v>6</v>
      </c>
      <c r="AH117" s="714" t="s">
        <v>6</v>
      </c>
      <c r="AI117" s="713" t="s">
        <v>6</v>
      </c>
      <c r="AJ117" s="714" t="s">
        <v>6</v>
      </c>
      <c r="AK117" s="713" t="s">
        <v>6</v>
      </c>
      <c r="AL117" s="714" t="s">
        <v>6</v>
      </c>
      <c r="AM117" s="713" t="s">
        <v>6</v>
      </c>
      <c r="AN117" s="726" t="s">
        <v>6</v>
      </c>
    </row>
    <row r="118" spans="2:40">
      <c r="B118" s="177" t="s">
        <v>1141</v>
      </c>
      <c r="M118" s="713" t="s">
        <v>5</v>
      </c>
      <c r="N118" s="714" t="s">
        <v>5</v>
      </c>
      <c r="O118" s="713" t="s">
        <v>5</v>
      </c>
      <c r="P118" s="714" t="s">
        <v>5</v>
      </c>
      <c r="Q118" s="713" t="s">
        <v>5</v>
      </c>
      <c r="R118" s="714" t="s">
        <v>5</v>
      </c>
      <c r="S118" s="713" t="s">
        <v>6</v>
      </c>
      <c r="T118" s="714" t="s">
        <v>6</v>
      </c>
      <c r="U118" s="713" t="s">
        <v>6</v>
      </c>
      <c r="V118" s="714" t="s">
        <v>6</v>
      </c>
      <c r="W118" s="713" t="s">
        <v>6</v>
      </c>
      <c r="X118" s="714" t="s">
        <v>6</v>
      </c>
      <c r="Y118" s="713" t="s">
        <v>6</v>
      </c>
      <c r="Z118" s="714" t="s">
        <v>6</v>
      </c>
      <c r="AA118" s="713" t="s">
        <v>6</v>
      </c>
      <c r="AB118" s="714" t="s">
        <v>6</v>
      </c>
      <c r="AC118" s="713" t="s">
        <v>6</v>
      </c>
      <c r="AD118" s="714" t="s">
        <v>6</v>
      </c>
      <c r="AE118" s="713" t="s">
        <v>6</v>
      </c>
      <c r="AF118" s="714" t="s">
        <v>6</v>
      </c>
      <c r="AG118" s="713" t="s">
        <v>5</v>
      </c>
      <c r="AH118" s="714" t="s">
        <v>5</v>
      </c>
      <c r="AI118" s="713" t="s">
        <v>5</v>
      </c>
      <c r="AJ118" s="714" t="s">
        <v>5</v>
      </c>
      <c r="AK118" s="713" t="s">
        <v>5</v>
      </c>
      <c r="AL118" s="714" t="s">
        <v>5</v>
      </c>
      <c r="AM118" s="713" t="s">
        <v>5</v>
      </c>
      <c r="AN118" s="726" t="s">
        <v>5</v>
      </c>
    </row>
    <row r="119" spans="13:40">
      <c r="M119" s="713" t="s">
        <v>5</v>
      </c>
      <c r="N119" s="714" t="s">
        <v>5</v>
      </c>
      <c r="O119" s="713" t="s">
        <v>5</v>
      </c>
      <c r="P119" s="714" t="s">
        <v>5</v>
      </c>
      <c r="Q119" s="713" t="s">
        <v>5</v>
      </c>
      <c r="R119" s="714" t="s">
        <v>5</v>
      </c>
      <c r="S119" s="713" t="s">
        <v>6</v>
      </c>
      <c r="T119" s="714" t="s">
        <v>6</v>
      </c>
      <c r="U119" s="713" t="s">
        <v>6</v>
      </c>
      <c r="V119" s="714" t="s">
        <v>6</v>
      </c>
      <c r="W119" s="713" t="s">
        <v>6</v>
      </c>
      <c r="X119" s="714" t="s">
        <v>6</v>
      </c>
      <c r="Y119" s="713" t="s">
        <v>6</v>
      </c>
      <c r="Z119" s="714" t="s">
        <v>6</v>
      </c>
      <c r="AA119" s="713" t="s">
        <v>6</v>
      </c>
      <c r="AB119" s="714" t="s">
        <v>6</v>
      </c>
      <c r="AC119" s="713" t="s">
        <v>6</v>
      </c>
      <c r="AD119" s="714" t="s">
        <v>6</v>
      </c>
      <c r="AE119" s="713" t="s">
        <v>6</v>
      </c>
      <c r="AF119" s="714" t="s">
        <v>6</v>
      </c>
      <c r="AG119" s="713" t="s">
        <v>5</v>
      </c>
      <c r="AH119" s="714" t="s">
        <v>5</v>
      </c>
      <c r="AI119" s="713" t="s">
        <v>5</v>
      </c>
      <c r="AJ119" s="714" t="s">
        <v>5</v>
      </c>
      <c r="AK119" s="713" t="s">
        <v>5</v>
      </c>
      <c r="AL119" s="714" t="s">
        <v>5</v>
      </c>
      <c r="AM119" s="713" t="s">
        <v>5</v>
      </c>
      <c r="AN119" s="726" t="s">
        <v>5</v>
      </c>
    </row>
    <row r="120" spans="3:40">
      <c r="C120" s="123" t="str">
        <f>IF(OR(Opening_Date_Value="Please Select",Opening_Date_Value=""),"--",YEAR(EDATE(Opening_Date_Value,-8)) &amp; "/" &amp; RIGHT(YEAR(EDATE(Opening_Date_Value,4)),2))</f>
        <v>2020/21</v>
      </c>
      <c r="D120" s="68" t="str">
        <f>IF(OR(Opening_Date_Value="Please Select",Opening_Date_Value=""),"--",YEAR(EDATE(Opening_Date_Value,4)) &amp; "/" &amp; RIGHT(YEAR(EDATE(Opening_Date_Value,16)),2))</f>
        <v>2021/22</v>
      </c>
      <c r="E120" s="68" t="str">
        <f>IF(OR(Opening_Date_Value="Please Select",Opening_Date_Value=""),"--",YEAR(EDATE(Opening_Date_Value,16)) &amp; "/" &amp; RIGHT(YEAR(EDATE(Opening_Date_Value,28)),2))</f>
        <v>2022/23</v>
      </c>
      <c r="F120" s="68" t="str">
        <f>IF(OR(Opening_Date_Value="Please Select",Opening_Date_Value=""),"--",YEAR(EDATE(Opening_Date_Value,28)) &amp; "/" &amp; RIGHT(YEAR(EDATE(Opening_Date_Value,40)),2))</f>
        <v>2023/24</v>
      </c>
      <c r="G120" s="68" t="str">
        <f>IF(OR(Opening_Date_Value="Please Select",Opening_Date_Value=""),"--",YEAR(EDATE(Opening_Date_Value,40)) &amp; "/" &amp; RIGHT(YEAR(EDATE(Opening_Date_Value,56)),2))</f>
        <v>2024/25</v>
      </c>
      <c r="H120" s="68" t="str">
        <f>IF(OR(Opening_Date_Value="Please Select",Opening_Date_Value=""),"--",YEAR(EDATE(Opening_Date_Value,56)) &amp; "/" &amp; RIGHT(YEAR(EDATE(Opening_Date_Value,68)),2))</f>
        <v>2025/26</v>
      </c>
      <c r="I120" s="68" t="str">
        <f>IF(OR(Opening_Date_Value="Please Select",Opening_Date_Value=""),"--",YEAR(EDATE(Opening_Date_Value,68)) &amp; "/" &amp; RIGHT(YEAR(EDATE(Opening_Date_Value,80)),2))</f>
        <v>2026/27</v>
      </c>
      <c r="J120" s="124" t="str">
        <f>IF(OR(Opening_Date_Value="Please Select",Opening_Date_Value=""),"--",YEAR(EDATE(Opening_Date_Value,80)) &amp; "/" &amp; RIGHT(YEAR(EDATE(Opening_Date_Value,92)),2))</f>
        <v>2027/28</v>
      </c>
      <c r="M120" s="713" t="s">
        <v>5</v>
      </c>
      <c r="N120" s="714" t="s">
        <v>5</v>
      </c>
      <c r="O120" s="713" t="s">
        <v>5</v>
      </c>
      <c r="P120" s="714" t="s">
        <v>5</v>
      </c>
      <c r="Q120" s="713" t="s">
        <v>5</v>
      </c>
      <c r="R120" s="714" t="s">
        <v>5</v>
      </c>
      <c r="S120" s="713" t="s">
        <v>6</v>
      </c>
      <c r="T120" s="714" t="s">
        <v>6</v>
      </c>
      <c r="U120" s="713" t="s">
        <v>6</v>
      </c>
      <c r="V120" s="714" t="s">
        <v>6</v>
      </c>
      <c r="W120" s="713" t="s">
        <v>6</v>
      </c>
      <c r="X120" s="714" t="s">
        <v>6</v>
      </c>
      <c r="Y120" s="713" t="s">
        <v>6</v>
      </c>
      <c r="Z120" s="714" t="s">
        <v>6</v>
      </c>
      <c r="AA120" s="713" t="s">
        <v>6</v>
      </c>
      <c r="AB120" s="714" t="s">
        <v>6</v>
      </c>
      <c r="AC120" s="713" t="s">
        <v>6</v>
      </c>
      <c r="AD120" s="714" t="s">
        <v>6</v>
      </c>
      <c r="AE120" s="713" t="s">
        <v>6</v>
      </c>
      <c r="AF120" s="714" t="s">
        <v>6</v>
      </c>
      <c r="AG120" s="713" t="s">
        <v>5</v>
      </c>
      <c r="AH120" s="714" t="s">
        <v>5</v>
      </c>
      <c r="AI120" s="713" t="s">
        <v>5</v>
      </c>
      <c r="AJ120" s="714" t="s">
        <v>5</v>
      </c>
      <c r="AK120" s="713" t="s">
        <v>5</v>
      </c>
      <c r="AL120" s="714" t="s">
        <v>5</v>
      </c>
      <c r="AM120" s="713" t="s">
        <v>5</v>
      </c>
      <c r="AN120" s="726" t="s">
        <v>5</v>
      </c>
    </row>
    <row r="121" spans="2:40">
      <c r="B121" s="692" t="s">
        <v>1140</v>
      </c>
      <c r="C121" s="630"/>
      <c r="D121" s="630"/>
      <c r="E121" s="630"/>
      <c r="F121" s="630"/>
      <c r="G121" s="630"/>
      <c r="H121" s="630"/>
      <c r="I121" s="630"/>
      <c r="J121" s="630"/>
      <c r="M121" s="716" t="s">
        <v>5</v>
      </c>
      <c r="N121" s="717" t="s">
        <v>5</v>
      </c>
      <c r="O121" s="716" t="s">
        <v>5</v>
      </c>
      <c r="P121" s="717" t="s">
        <v>5</v>
      </c>
      <c r="Q121" s="716" t="s">
        <v>5</v>
      </c>
      <c r="R121" s="717" t="s">
        <v>5</v>
      </c>
      <c r="S121" s="716" t="s">
        <v>6</v>
      </c>
      <c r="T121" s="717" t="s">
        <v>6</v>
      </c>
      <c r="U121" s="716" t="s">
        <v>6</v>
      </c>
      <c r="V121" s="717" t="s">
        <v>6</v>
      </c>
      <c r="W121" s="716" t="s">
        <v>6</v>
      </c>
      <c r="X121" s="717" t="s">
        <v>6</v>
      </c>
      <c r="Y121" s="716" t="s">
        <v>6</v>
      </c>
      <c r="Z121" s="717" t="s">
        <v>6</v>
      </c>
      <c r="AA121" s="716" t="s">
        <v>6</v>
      </c>
      <c r="AB121" s="717" t="s">
        <v>6</v>
      </c>
      <c r="AC121" s="716" t="s">
        <v>6</v>
      </c>
      <c r="AD121" s="717" t="s">
        <v>6</v>
      </c>
      <c r="AE121" s="716" t="s">
        <v>6</v>
      </c>
      <c r="AF121" s="717" t="s">
        <v>6</v>
      </c>
      <c r="AG121" s="716" t="s">
        <v>5</v>
      </c>
      <c r="AH121" s="717" t="s">
        <v>5</v>
      </c>
      <c r="AI121" s="716" t="s">
        <v>5</v>
      </c>
      <c r="AJ121" s="717" t="s">
        <v>5</v>
      </c>
      <c r="AK121" s="716" t="s">
        <v>5</v>
      </c>
      <c r="AL121" s="717" t="s">
        <v>5</v>
      </c>
      <c r="AM121" s="716" t="s">
        <v>5</v>
      </c>
      <c r="AN121" s="708" t="s">
        <v>5</v>
      </c>
    </row>
    <row r="122"/>
    <row r="123"/>
    <row r="124"/>
    <row r="125"/>
    <row r="126"/>
    <row r="127"/>
    <row r="128"/>
    <row r="129"/>
    <row r="130"/>
    <row r="131" spans="1:1" hidden="1">
      <c r="A131"/>
    </row>
    <row r="132" spans="1:1" hidden="1">
      <c r="A132"/>
    </row>
    <row r="133" spans="1:1" hidden="1">
      <c r="A133"/>
    </row>
    <row r="134" spans="1:1" hidden="1">
      <c r="A134"/>
    </row>
    <row r="135" spans="1:1" hidden="1">
      <c r="A135"/>
    </row>
    <row r="136" spans="1:1" hidden="1">
      <c r="A136"/>
    </row>
    <row r="137" spans="1:1" hidden="1">
      <c r="A137"/>
    </row>
    <row r="138" spans="1:1" hidden="1">
      <c r="A138"/>
    </row>
    <row r="139" spans="1:1" hidden="1">
      <c r="A139"/>
    </row>
    <row r="140" spans="1:1" hidden="1">
      <c r="A140"/>
    </row>
    <row r="141" spans="1:1" hidden="1">
      <c r="A141"/>
    </row>
    <row r="142" spans="1:1" hidden="1">
      <c r="A142"/>
    </row>
    <row r="143" spans="1:1" hidden="1">
      <c r="A143"/>
    </row>
    <row r="144" spans="1:1" hidden="1">
      <c r="A144"/>
    </row>
    <row r="145" spans="1:1" hidden="1">
      <c r="A145"/>
    </row>
    <row r="146" spans="1:1" hidden="1">
      <c r="A146"/>
    </row>
    <row r="147" spans="1:1" hidden="1">
      <c r="A147"/>
    </row>
    <row r="148" spans="1:1" hidden="1">
      <c r="A148"/>
    </row>
    <row r="149" spans="1:1" hidden="1">
      <c r="A149"/>
    </row>
    <row r="150" spans="1:1" hidden="1">
      <c r="A150"/>
    </row>
    <row r="151" spans="1:1" hidden="1">
      <c r="A151"/>
    </row>
    <row r="152" spans="1:1" hidden="1">
      <c r="A152"/>
    </row>
    <row r="153" spans="1:1" hidden="1">
      <c r="A153"/>
    </row>
    <row r="154" spans="1:1" hidden="1">
      <c r="A154"/>
    </row>
    <row r="155" spans="1:1" hidden="1">
      <c r="A155"/>
    </row>
    <row r="156" spans="1:1" hidden="1">
      <c r="A156"/>
    </row>
    <row r="157" spans="1:1" hidden="1">
      <c r="A157"/>
    </row>
    <row r="158" spans="1:1" hidden="1">
      <c r="A158"/>
    </row>
    <row r="159" spans="1:1" hidden="1">
      <c r="A159"/>
    </row>
    <row r="160" spans="1:1" hidden="1">
      <c r="A160"/>
    </row>
  </sheetData>
  <mergeCells count="1">
    <mergeCell ref="C1:J1"/>
  </mergeCells>
  <conditionalFormatting sqref="C115:J115">
    <cfRule type="cellIs" dxfId="8" priority="1" operator="greaterThan">
      <formula>1</formula>
    </cfRule>
  </conditionalFormatting>
  <dataValidations count="3">
    <dataValidation type="decimal" operator="greaterThanOrEqual" allowBlank="1" showInputMessage="1" showErrorMessage="1" errorTitle="Invalid Entry" error="You may only enter a number greater than or equal to zero." sqref="C21:J21 C4:J17 C23:J36 C40:J53 C57:J70 C74:J87 C91:J104 C19:J19 C106:J111 C121:J121">
      <formula1>0</formula1>
    </dataValidation>
    <dataValidation type="decimal" showInputMessage="1" showErrorMessage="1" errorTitle="Invalid Entry" error="Must not be greater than number of 16-19 FTE ESFA-funded places." sqref="C20:J20">
      <formula1>0</formula1>
      <formula2>C19</formula2>
    </dataValidation>
    <dataValidation type="decimal" showInputMessage="1" showErrorMessage="1" errorTitle="Invalid Entry" error="Must not be greater than number of apprenticeships." sqref="C112:J112">
      <formula1>0</formula1>
      <formula2>C111</formula2>
    </dataValidation>
  </dataValidations>
  <pageMargins left="0.7" right="0.7" top="0.75" bottom="0.75" header="0.3" footer="0.3"/>
  <pageSetup paperSize="9" orientation="portrait"/>
  <headerFooter scaleWithDoc="1" alignWithMargins="0" differentFirst="0" differentOddEven="0"/>
  <drawing r:id="rId2"/>
  <extLst/>
</worksheet>
</file>

<file path=xl/worksheets/sheet6.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5"/>
  <dimension ref="A1:CO255"/>
  <sheetViews>
    <sheetView topLeftCell="A1" showGridLines="0" showRowColHeaders="0" zoomScale="80" view="normal" workbookViewId="0">
      <pane ySplit="3" topLeftCell="A121" activePane="bottomLeft" state="frozen"/>
      <selection pane="bottomLeft" activeCell="E3" sqref="E3"/>
    </sheetView>
  </sheetViews>
  <sheetFormatPr defaultColWidth="0" zeroHeight="true" defaultRowHeight="15"/>
  <cols>
    <col min="1" max="1" width="9.125" style="157" customWidth="1"/>
    <col min="2" max="2" width="3.25390625" style="157" customWidth="1"/>
    <col min="3" max="3" width="58.375" style="157" customWidth="1"/>
    <col min="4" max="4" width="16.25390625" style="157" customWidth="1"/>
    <col min="5" max="12" width="14.25390625" style="157" customWidth="1"/>
    <col min="13" max="13" width="3.75390625" style="157" customWidth="1"/>
    <col min="14" max="14" width="72.125" style="157" customWidth="1"/>
    <col min="15" max="15" width="2.75390625" style="157" customWidth="1"/>
    <col min="16" max="16" width="50.00390625" style="157" customWidth="1"/>
    <col min="17" max="17" width="4.125" style="157" customWidth="1"/>
    <col min="18" max="18" width="9.875" style="157" customWidth="1"/>
    <col min="19" max="34" width="21.25390625" style="157" hidden="1" customWidth="1"/>
    <col min="35" max="35" width="7.00390625" style="157" hidden="1" customWidth="1"/>
    <col min="36" max="90" width="21.25390625" style="157" hidden="1" customWidth="1"/>
    <col min="91" max="91" width="9.125" style="157" hidden="1" customWidth="1"/>
    <col min="92" max="93" width="12.75390625" style="157" hidden="1" customWidth="1"/>
    <col min="94" max="16384" width="9.125" style="157" hidden="1" customWidth="1"/>
  </cols>
  <sheetData>
    <row r="1"/>
    <row r="2" ht="77.25" customHeight="1"/>
    <row r="3" spans="2:90" ht="30" customHeight="1">
      <c r="B3" s="123"/>
      <c r="C3" s="67" t="s">
        <v>458</v>
      </c>
      <c r="D3" s="68"/>
      <c r="E3" s="68" t="str">
        <f>'Pupil_Place Numbers'!C3</f>
        <v>2020/21</v>
      </c>
      <c r="F3" s="68" t="str">
        <f>'Pupil_Place Numbers'!D3</f>
        <v>2021/22</v>
      </c>
      <c r="G3" s="68" t="str">
        <f>'Pupil_Place Numbers'!E3</f>
        <v>2022/23</v>
      </c>
      <c r="H3" s="68" t="str">
        <f>'Pupil_Place Numbers'!F3</f>
        <v>2023/24</v>
      </c>
      <c r="I3" s="68" t="str">
        <f>'Pupil_Place Numbers'!G3</f>
        <v>2024/25</v>
      </c>
      <c r="J3" s="68" t="str">
        <f>'Pupil_Place Numbers'!H3</f>
        <v>2025/26</v>
      </c>
      <c r="K3" s="68" t="str">
        <f>'Pupil_Place Numbers'!I3</f>
        <v>2026/27</v>
      </c>
      <c r="L3" s="68" t="str">
        <f>'Pupil_Place Numbers'!J3</f>
        <v>2027/28</v>
      </c>
      <c r="M3" s="68"/>
      <c r="N3" s="68" t="s">
        <v>1006</v>
      </c>
      <c r="O3" s="68"/>
      <c r="P3" s="68" t="s">
        <v>1005</v>
      </c>
      <c r="Q3" s="124"/>
      <c r="AJ3" s="157" t="s">
        <v>331</v>
      </c>
      <c r="AK3" s="730" t="s">
        <v>0</v>
      </c>
      <c r="AL3" s="731" t="s">
        <v>0</v>
      </c>
      <c r="AM3" s="732" t="s">
        <v>0</v>
      </c>
      <c r="AN3" s="731" t="s">
        <v>0</v>
      </c>
      <c r="AO3" s="732" t="s">
        <v>0</v>
      </c>
      <c r="AP3" s="731" t="s">
        <v>0</v>
      </c>
      <c r="AQ3" s="732" t="s">
        <v>0</v>
      </c>
      <c r="AR3" s="731" t="s">
        <v>0</v>
      </c>
      <c r="AS3" s="732" t="s">
        <v>0</v>
      </c>
      <c r="AT3" s="731" t="s">
        <v>0</v>
      </c>
      <c r="AU3" s="732" t="s">
        <v>0</v>
      </c>
      <c r="AV3" s="731" t="s">
        <v>0</v>
      </c>
      <c r="AW3" s="732" t="s">
        <v>0</v>
      </c>
      <c r="AX3" s="731" t="s">
        <v>0</v>
      </c>
      <c r="AY3" s="732" t="s">
        <v>0</v>
      </c>
      <c r="AZ3" s="731" t="s">
        <v>0</v>
      </c>
      <c r="BA3" s="732" t="s">
        <v>0</v>
      </c>
      <c r="BB3" s="731" t="s">
        <v>0</v>
      </c>
      <c r="BC3" s="732" t="s">
        <v>1</v>
      </c>
      <c r="BD3" s="731" t="s">
        <v>1</v>
      </c>
      <c r="BE3" s="732" t="s">
        <v>1</v>
      </c>
      <c r="BF3" s="731" t="s">
        <v>1</v>
      </c>
      <c r="BG3" s="732" t="s">
        <v>1</v>
      </c>
      <c r="BH3" s="731" t="s">
        <v>1</v>
      </c>
      <c r="BI3" s="732" t="s">
        <v>1</v>
      </c>
      <c r="BJ3" s="731" t="s">
        <v>1031</v>
      </c>
      <c r="BK3" s="732" t="s">
        <v>1031</v>
      </c>
      <c r="BL3" s="731" t="s">
        <v>1031</v>
      </c>
      <c r="BM3" s="732" t="s">
        <v>1031</v>
      </c>
      <c r="BN3" s="731" t="s">
        <v>1031</v>
      </c>
      <c r="BO3" s="732" t="s">
        <v>1031</v>
      </c>
      <c r="BP3" s="731" t="s">
        <v>1031</v>
      </c>
      <c r="BQ3" s="732" t="s">
        <v>2</v>
      </c>
      <c r="BR3" s="731" t="s">
        <v>2</v>
      </c>
      <c r="BS3" s="732" t="s">
        <v>2</v>
      </c>
      <c r="BT3" s="731" t="s">
        <v>2</v>
      </c>
      <c r="BU3" s="732" t="s">
        <v>2</v>
      </c>
      <c r="BV3" s="731" t="s">
        <v>2</v>
      </c>
      <c r="BW3" s="732" t="s">
        <v>2</v>
      </c>
      <c r="BX3" s="731" t="s">
        <v>2</v>
      </c>
      <c r="BY3" s="732" t="s">
        <v>2</v>
      </c>
      <c r="BZ3" s="731" t="s">
        <v>2</v>
      </c>
      <c r="CA3" s="732" t="s">
        <v>2</v>
      </c>
      <c r="CB3" s="731" t="s">
        <v>2</v>
      </c>
      <c r="CC3" s="732" t="s">
        <v>2</v>
      </c>
      <c r="CD3" s="731" t="s">
        <v>2</v>
      </c>
      <c r="CE3" s="732" t="s">
        <v>2</v>
      </c>
      <c r="CF3" s="731" t="s">
        <v>2</v>
      </c>
      <c r="CG3" s="732" t="s">
        <v>2</v>
      </c>
      <c r="CH3" s="731" t="s">
        <v>2</v>
      </c>
      <c r="CI3" s="732" t="s">
        <v>2</v>
      </c>
      <c r="CJ3" s="731" t="s">
        <v>2</v>
      </c>
      <c r="CK3" s="732" t="s">
        <v>2</v>
      </c>
      <c r="CL3" s="746" t="s">
        <v>3</v>
      </c>
    </row>
    <row r="4" spans="3:93" customHeight="1">
      <c r="C4" s="104"/>
      <c r="D4" s="111"/>
      <c r="E4" s="111"/>
      <c r="F4" s="111"/>
      <c r="G4" s="111"/>
      <c r="H4" s="111"/>
      <c r="I4" s="111"/>
      <c r="J4" s="111"/>
      <c r="K4" s="111"/>
      <c r="L4" s="111"/>
      <c r="M4" s="111"/>
      <c r="N4" s="111"/>
      <c r="O4" s="111"/>
      <c r="P4" s="111"/>
      <c r="Q4" s="111"/>
      <c r="S4" s="158" t="s">
        <v>331</v>
      </c>
      <c r="T4" s="730" t="s">
        <v>0</v>
      </c>
      <c r="U4" s="731" t="s">
        <v>0</v>
      </c>
      <c r="V4" s="732" t="s">
        <v>0</v>
      </c>
      <c r="W4" s="731" t="s">
        <v>1</v>
      </c>
      <c r="X4" s="732" t="s">
        <v>1</v>
      </c>
      <c r="Y4" s="731" t="s">
        <v>1</v>
      </c>
      <c r="Z4" s="732" t="s">
        <v>1031</v>
      </c>
      <c r="AA4" s="731" t="s">
        <v>1031</v>
      </c>
      <c r="AB4" s="732" t="s">
        <v>1031</v>
      </c>
      <c r="AC4" s="731" t="s">
        <v>2</v>
      </c>
      <c r="AD4" s="732" t="s">
        <v>2</v>
      </c>
      <c r="AE4" s="731" t="s">
        <v>2</v>
      </c>
      <c r="AF4" s="732" t="s">
        <v>3</v>
      </c>
      <c r="AG4" s="731" t="s">
        <v>3</v>
      </c>
      <c r="AH4" s="733" t="s">
        <v>3</v>
      </c>
      <c r="AI4" s="158"/>
      <c r="AJ4" s="158" t="s">
        <v>159</v>
      </c>
      <c r="AK4" s="734" t="s">
        <v>477</v>
      </c>
      <c r="AL4" s="735" t="s">
        <v>477</v>
      </c>
      <c r="AM4" s="736" t="s">
        <v>477</v>
      </c>
      <c r="AN4" s="735" t="s">
        <v>160</v>
      </c>
      <c r="AO4" s="736" t="s">
        <v>160</v>
      </c>
      <c r="AP4" s="735" t="s">
        <v>160</v>
      </c>
      <c r="AQ4" s="736" t="s">
        <v>161</v>
      </c>
      <c r="AR4" s="735" t="s">
        <v>161</v>
      </c>
      <c r="AS4" s="736" t="s">
        <v>161</v>
      </c>
      <c r="AT4" s="735" t="s">
        <v>162</v>
      </c>
      <c r="AU4" s="736" t="s">
        <v>162</v>
      </c>
      <c r="AV4" s="735" t="s">
        <v>162</v>
      </c>
      <c r="AW4" s="736" t="s">
        <v>163</v>
      </c>
      <c r="AX4" s="735" t="s">
        <v>163</v>
      </c>
      <c r="AY4" s="736" t="s">
        <v>163</v>
      </c>
      <c r="AZ4" s="735" t="s">
        <v>164</v>
      </c>
      <c r="BA4" s="736" t="s">
        <v>164</v>
      </c>
      <c r="BB4" s="735" t="s">
        <v>164</v>
      </c>
      <c r="BC4" s="736" t="s">
        <v>477</v>
      </c>
      <c r="BD4" s="735" t="s">
        <v>160</v>
      </c>
      <c r="BE4" s="736" t="s">
        <v>161</v>
      </c>
      <c r="BF4" s="735" t="s">
        <v>162</v>
      </c>
      <c r="BG4" s="736" t="s">
        <v>163</v>
      </c>
      <c r="BH4" s="735" t="s">
        <v>164</v>
      </c>
      <c r="BI4" s="736" t="s">
        <v>165</v>
      </c>
      <c r="BJ4" s="735" t="s">
        <v>477</v>
      </c>
      <c r="BK4" s="736" t="s">
        <v>160</v>
      </c>
      <c r="BL4" s="735" t="s">
        <v>161</v>
      </c>
      <c r="BM4" s="736" t="s">
        <v>162</v>
      </c>
      <c r="BN4" s="735" t="s">
        <v>163</v>
      </c>
      <c r="BO4" s="736" t="s">
        <v>164</v>
      </c>
      <c r="BP4" s="735" t="s">
        <v>165</v>
      </c>
      <c r="BQ4" s="736" t="s">
        <v>477</v>
      </c>
      <c r="BR4" s="735" t="s">
        <v>477</v>
      </c>
      <c r="BS4" s="736" t="s">
        <v>477</v>
      </c>
      <c r="BT4" s="735" t="s">
        <v>160</v>
      </c>
      <c r="BU4" s="736" t="s">
        <v>160</v>
      </c>
      <c r="BV4" s="735" t="s">
        <v>160</v>
      </c>
      <c r="BW4" s="736" t="s">
        <v>161</v>
      </c>
      <c r="BX4" s="735" t="s">
        <v>161</v>
      </c>
      <c r="BY4" s="736" t="s">
        <v>161</v>
      </c>
      <c r="BZ4" s="735" t="s">
        <v>162</v>
      </c>
      <c r="CA4" s="736" t="s">
        <v>162</v>
      </c>
      <c r="CB4" s="735" t="s">
        <v>162</v>
      </c>
      <c r="CC4" s="736" t="s">
        <v>163</v>
      </c>
      <c r="CD4" s="735" t="s">
        <v>163</v>
      </c>
      <c r="CE4" s="736" t="s">
        <v>163</v>
      </c>
      <c r="CF4" s="735" t="s">
        <v>164</v>
      </c>
      <c r="CG4" s="736" t="s">
        <v>164</v>
      </c>
      <c r="CH4" s="735" t="s">
        <v>164</v>
      </c>
      <c r="CI4" s="736" t="s">
        <v>165</v>
      </c>
      <c r="CJ4" s="735" t="s">
        <v>165</v>
      </c>
      <c r="CK4" s="736" t="s">
        <v>165</v>
      </c>
      <c r="CL4" s="747" t="s">
        <v>478</v>
      </c>
      <c r="CM4" s="158"/>
      <c r="CN4" s="954" t="s">
        <v>49</v>
      </c>
      <c r="CO4" s="954"/>
    </row>
    <row r="5" spans="2:93" customHeight="1">
      <c r="B5" s="159"/>
      <c r="C5" s="151"/>
      <c r="D5" s="152"/>
      <c r="E5" s="152"/>
      <c r="F5" s="152"/>
      <c r="G5" s="152"/>
      <c r="H5" s="152"/>
      <c r="I5" s="152"/>
      <c r="J5" s="152"/>
      <c r="K5" s="152"/>
      <c r="L5" s="152"/>
      <c r="M5" s="152"/>
      <c r="N5" s="152"/>
      <c r="O5" s="152"/>
      <c r="P5" s="152"/>
      <c r="Q5" s="160"/>
      <c r="S5" s="158" t="s">
        <v>155</v>
      </c>
      <c r="T5" s="734" t="s">
        <v>477</v>
      </c>
      <c r="U5" s="735" t="s">
        <v>156</v>
      </c>
      <c r="V5" s="736" t="s">
        <v>157</v>
      </c>
      <c r="W5" s="735" t="s">
        <v>477</v>
      </c>
      <c r="X5" s="736" t="s">
        <v>156</v>
      </c>
      <c r="Y5" s="735" t="s">
        <v>157</v>
      </c>
      <c r="Z5" s="736" t="s">
        <v>477</v>
      </c>
      <c r="AA5" s="735" t="s">
        <v>156</v>
      </c>
      <c r="AB5" s="736" t="s">
        <v>157</v>
      </c>
      <c r="AC5" s="735" t="s">
        <v>477</v>
      </c>
      <c r="AD5" s="736" t="s">
        <v>156</v>
      </c>
      <c r="AE5" s="735" t="s">
        <v>157</v>
      </c>
      <c r="AF5" s="736" t="s">
        <v>477</v>
      </c>
      <c r="AG5" s="735" t="s">
        <v>156</v>
      </c>
      <c r="AH5" s="737" t="s">
        <v>157</v>
      </c>
      <c r="AI5" s="158"/>
      <c r="AJ5" s="158" t="s">
        <v>1143</v>
      </c>
      <c r="AK5" s="734" t="s">
        <v>477</v>
      </c>
      <c r="AL5" s="735" t="s">
        <v>168</v>
      </c>
      <c r="AM5" s="736" t="s">
        <v>169</v>
      </c>
      <c r="AN5" s="735" t="s">
        <v>477</v>
      </c>
      <c r="AO5" s="736" t="s">
        <v>168</v>
      </c>
      <c r="AP5" s="735" t="s">
        <v>169</v>
      </c>
      <c r="AQ5" s="736" t="s">
        <v>477</v>
      </c>
      <c r="AR5" s="735" t="s">
        <v>168</v>
      </c>
      <c r="AS5" s="736" t="s">
        <v>169</v>
      </c>
      <c r="AT5" s="735" t="s">
        <v>477</v>
      </c>
      <c r="AU5" s="736" t="s">
        <v>168</v>
      </c>
      <c r="AV5" s="735" t="s">
        <v>169</v>
      </c>
      <c r="AW5" s="736" t="s">
        <v>477</v>
      </c>
      <c r="AX5" s="735" t="s">
        <v>168</v>
      </c>
      <c r="AY5" s="736" t="s">
        <v>169</v>
      </c>
      <c r="AZ5" s="735" t="s">
        <v>477</v>
      </c>
      <c r="BA5" s="736" t="s">
        <v>168</v>
      </c>
      <c r="BB5" s="735" t="s">
        <v>169</v>
      </c>
      <c r="BC5" s="736" t="s">
        <v>477</v>
      </c>
      <c r="BD5" s="735" t="s">
        <v>477</v>
      </c>
      <c r="BE5" s="736" t="s">
        <v>477</v>
      </c>
      <c r="BF5" s="735" t="s">
        <v>477</v>
      </c>
      <c r="BG5" s="736" t="s">
        <v>477</v>
      </c>
      <c r="BH5" s="735" t="s">
        <v>477</v>
      </c>
      <c r="BI5" s="736" t="s">
        <v>477</v>
      </c>
      <c r="BJ5" s="735" t="s">
        <v>477</v>
      </c>
      <c r="BK5" s="736" t="s">
        <v>477</v>
      </c>
      <c r="BL5" s="735" t="s">
        <v>477</v>
      </c>
      <c r="BM5" s="736" t="s">
        <v>477</v>
      </c>
      <c r="BN5" s="735" t="s">
        <v>477</v>
      </c>
      <c r="BO5" s="736" t="s">
        <v>477</v>
      </c>
      <c r="BP5" s="735" t="s">
        <v>477</v>
      </c>
      <c r="BQ5" s="736" t="s">
        <v>477</v>
      </c>
      <c r="BR5" s="735" t="s">
        <v>168</v>
      </c>
      <c r="BS5" s="736" t="s">
        <v>169</v>
      </c>
      <c r="BT5" s="735" t="s">
        <v>477</v>
      </c>
      <c r="BU5" s="736" t="s">
        <v>168</v>
      </c>
      <c r="BV5" s="735" t="s">
        <v>169</v>
      </c>
      <c r="BW5" s="736" t="s">
        <v>477</v>
      </c>
      <c r="BX5" s="735" t="s">
        <v>168</v>
      </c>
      <c r="BY5" s="736" t="s">
        <v>169</v>
      </c>
      <c r="BZ5" s="735" t="s">
        <v>477</v>
      </c>
      <c r="CA5" s="736" t="s">
        <v>168</v>
      </c>
      <c r="CB5" s="735" t="s">
        <v>169</v>
      </c>
      <c r="CC5" s="736" t="s">
        <v>477</v>
      </c>
      <c r="CD5" s="735" t="s">
        <v>168</v>
      </c>
      <c r="CE5" s="736" t="s">
        <v>169</v>
      </c>
      <c r="CF5" s="735" t="s">
        <v>477</v>
      </c>
      <c r="CG5" s="736" t="s">
        <v>168</v>
      </c>
      <c r="CH5" s="735" t="s">
        <v>169</v>
      </c>
      <c r="CI5" s="736" t="s">
        <v>477</v>
      </c>
      <c r="CJ5" s="735" t="s">
        <v>168</v>
      </c>
      <c r="CK5" s="736" t="s">
        <v>169</v>
      </c>
      <c r="CL5" s="747" t="s">
        <v>477</v>
      </c>
      <c r="CM5" s="158"/>
      <c r="CN5" s="724" t="s">
        <v>168</v>
      </c>
      <c r="CO5" s="725" t="s">
        <v>169</v>
      </c>
    </row>
    <row r="6" spans="2:93" hidden="1">
      <c r="B6" s="161"/>
      <c r="C6" s="26" t="s">
        <v>332</v>
      </c>
      <c r="D6" s="26"/>
      <c r="E6" s="26"/>
      <c r="F6" s="26"/>
      <c r="G6" s="26"/>
      <c r="H6" s="26"/>
      <c r="I6" s="26"/>
      <c r="J6" s="26"/>
      <c r="K6" s="26"/>
      <c r="L6" s="26"/>
      <c r="M6" s="26"/>
      <c r="N6" s="26"/>
      <c r="O6" s="26"/>
      <c r="P6" s="26"/>
      <c r="Q6" s="162"/>
      <c r="T6" s="738" t="s">
        <v>6</v>
      </c>
      <c r="U6" s="739"/>
      <c r="V6" s="740"/>
      <c r="W6" s="739" t="s">
        <v>5</v>
      </c>
      <c r="X6" s="740"/>
      <c r="Y6" s="739"/>
      <c r="Z6" s="740" t="s">
        <v>5</v>
      </c>
      <c r="AA6" s="739"/>
      <c r="AB6" s="740"/>
      <c r="AC6" s="739" t="s">
        <v>5</v>
      </c>
      <c r="AD6" s="740"/>
      <c r="AE6" s="739"/>
      <c r="AF6" s="740" t="s">
        <v>5</v>
      </c>
      <c r="AG6" s="739"/>
      <c r="AH6" s="741"/>
      <c r="AK6" s="738" t="s">
        <v>6</v>
      </c>
      <c r="AL6" s="739"/>
      <c r="AM6" s="740"/>
      <c r="AN6" s="739"/>
      <c r="AO6" s="740"/>
      <c r="AP6" s="739"/>
      <c r="AQ6" s="740"/>
      <c r="AR6" s="739"/>
      <c r="AS6" s="740"/>
      <c r="AT6" s="739"/>
      <c r="AU6" s="740"/>
      <c r="AV6" s="739"/>
      <c r="AW6" s="740"/>
      <c r="AX6" s="739"/>
      <c r="AY6" s="740"/>
      <c r="AZ6" s="739"/>
      <c r="BA6" s="740"/>
      <c r="BB6" s="739"/>
      <c r="BC6" s="740" t="s">
        <v>5</v>
      </c>
      <c r="BD6" s="739"/>
      <c r="BE6" s="740"/>
      <c r="BF6" s="739"/>
      <c r="BG6" s="740"/>
      <c r="BH6" s="739"/>
      <c r="BI6" s="740"/>
      <c r="BJ6" s="739" t="s">
        <v>5</v>
      </c>
      <c r="BK6" s="740"/>
      <c r="BL6" s="739"/>
      <c r="BM6" s="740"/>
      <c r="BN6" s="739"/>
      <c r="BO6" s="740"/>
      <c r="BP6" s="739"/>
      <c r="BQ6" s="740" t="s">
        <v>5</v>
      </c>
      <c r="BR6" s="739"/>
      <c r="BS6" s="740"/>
      <c r="BT6" s="739"/>
      <c r="BU6" s="740"/>
      <c r="BV6" s="739"/>
      <c r="BW6" s="740"/>
      <c r="BX6" s="739"/>
      <c r="BY6" s="740"/>
      <c r="BZ6" s="739"/>
      <c r="CA6" s="740"/>
      <c r="CB6" s="739"/>
      <c r="CC6" s="740"/>
      <c r="CD6" s="739"/>
      <c r="CE6" s="740"/>
      <c r="CF6" s="739"/>
      <c r="CG6" s="740"/>
      <c r="CH6" s="739"/>
      <c r="CI6" s="740"/>
      <c r="CJ6" s="739"/>
      <c r="CK6" s="740"/>
      <c r="CL6" s="748" t="s">
        <v>5</v>
      </c>
      <c r="CN6" s="713"/>
      <c r="CO6" s="726"/>
    </row>
    <row r="7" spans="2:93" hidden="1">
      <c r="B7" s="161"/>
      <c r="C7" s="26"/>
      <c r="D7" s="26"/>
      <c r="E7" s="26"/>
      <c r="F7" s="26"/>
      <c r="G7" s="26"/>
      <c r="H7" s="26"/>
      <c r="I7" s="26"/>
      <c r="J7" s="26"/>
      <c r="K7" s="26"/>
      <c r="L7" s="26"/>
      <c r="M7" s="26"/>
      <c r="N7" s="26"/>
      <c r="O7" s="26"/>
      <c r="P7" s="26"/>
      <c r="Q7" s="162"/>
      <c r="T7" s="738" t="s">
        <v>6</v>
      </c>
      <c r="U7" s="739"/>
      <c r="V7" s="740"/>
      <c r="W7" s="739" t="s">
        <v>5</v>
      </c>
      <c r="X7" s="740"/>
      <c r="Y7" s="739"/>
      <c r="Z7" s="740" t="s">
        <v>5</v>
      </c>
      <c r="AA7" s="739"/>
      <c r="AB7" s="740"/>
      <c r="AC7" s="739" t="s">
        <v>5</v>
      </c>
      <c r="AD7" s="740"/>
      <c r="AE7" s="739"/>
      <c r="AF7" s="740" t="s">
        <v>5</v>
      </c>
      <c r="AG7" s="739"/>
      <c r="AH7" s="741"/>
      <c r="AK7" s="738" t="s">
        <v>6</v>
      </c>
      <c r="AL7" s="739"/>
      <c r="AM7" s="740"/>
      <c r="AN7" s="739"/>
      <c r="AO7" s="740"/>
      <c r="AP7" s="739"/>
      <c r="AQ7" s="740"/>
      <c r="AR7" s="739"/>
      <c r="AS7" s="740"/>
      <c r="AT7" s="739"/>
      <c r="AU7" s="740"/>
      <c r="AV7" s="739"/>
      <c r="AW7" s="740"/>
      <c r="AX7" s="739"/>
      <c r="AY7" s="740"/>
      <c r="AZ7" s="739"/>
      <c r="BA7" s="740"/>
      <c r="BB7" s="739"/>
      <c r="BC7" s="740" t="s">
        <v>5</v>
      </c>
      <c r="BD7" s="739"/>
      <c r="BE7" s="740"/>
      <c r="BF7" s="739"/>
      <c r="BG7" s="740"/>
      <c r="BH7" s="739"/>
      <c r="BI7" s="740"/>
      <c r="BJ7" s="739" t="s">
        <v>5</v>
      </c>
      <c r="BK7" s="740"/>
      <c r="BL7" s="739"/>
      <c r="BM7" s="740"/>
      <c r="BN7" s="739"/>
      <c r="BO7" s="740"/>
      <c r="BP7" s="739"/>
      <c r="BQ7" s="740" t="s">
        <v>5</v>
      </c>
      <c r="BR7" s="739"/>
      <c r="BS7" s="740"/>
      <c r="BT7" s="739"/>
      <c r="BU7" s="740"/>
      <c r="BV7" s="739"/>
      <c r="BW7" s="740"/>
      <c r="BX7" s="739"/>
      <c r="BY7" s="740"/>
      <c r="BZ7" s="739"/>
      <c r="CA7" s="740"/>
      <c r="CB7" s="739"/>
      <c r="CC7" s="740"/>
      <c r="CD7" s="739"/>
      <c r="CE7" s="740"/>
      <c r="CF7" s="739"/>
      <c r="CG7" s="740"/>
      <c r="CH7" s="739"/>
      <c r="CI7" s="740"/>
      <c r="CJ7" s="739"/>
      <c r="CK7" s="740"/>
      <c r="CL7" s="748" t="s">
        <v>5</v>
      </c>
      <c r="CN7" s="713"/>
      <c r="CO7" s="726"/>
    </row>
    <row r="8" spans="2:93" hidden="1">
      <c r="B8" s="161"/>
      <c r="C8" s="28" t="s">
        <v>333</v>
      </c>
      <c r="D8" s="27" t="s">
        <v>137</v>
      </c>
      <c r="E8" s="28">
        <f>SUM('Pupil_Place Numbers'!C4:C6)</f>
        <v>0</v>
      </c>
      <c r="F8" s="28">
        <f>SUM('Pupil_Place Numbers'!D4:D6)</f>
        <v>0</v>
      </c>
      <c r="G8" s="28">
        <f>SUM('Pupil_Place Numbers'!E4:E6)</f>
        <v>0</v>
      </c>
      <c r="H8" s="28">
        <f>SUM('Pupil_Place Numbers'!F4:F6)</f>
        <v>0</v>
      </c>
      <c r="I8" s="28">
        <f>SUM('Pupil_Place Numbers'!G4:G6)</f>
        <v>0</v>
      </c>
      <c r="J8" s="28">
        <f>SUM('Pupil_Place Numbers'!H4:H6)</f>
        <v>0</v>
      </c>
      <c r="K8" s="28">
        <f>SUM('Pupil_Place Numbers'!I4:I6)</f>
        <v>0</v>
      </c>
      <c r="L8" s="28">
        <f>SUM('Pupil_Place Numbers'!J4:J6)</f>
        <v>0</v>
      </c>
      <c r="M8" s="28"/>
      <c r="N8" s="28"/>
      <c r="O8" s="28"/>
      <c r="P8" s="28"/>
      <c r="Q8" s="162"/>
      <c r="T8" s="738" t="s">
        <v>6</v>
      </c>
      <c r="U8" s="739"/>
      <c r="V8" s="740"/>
      <c r="W8" s="739" t="s">
        <v>5</v>
      </c>
      <c r="X8" s="740"/>
      <c r="Y8" s="739"/>
      <c r="Z8" s="740" t="s">
        <v>5</v>
      </c>
      <c r="AA8" s="739"/>
      <c r="AB8" s="740"/>
      <c r="AC8" s="739" t="s">
        <v>5</v>
      </c>
      <c r="AD8" s="740"/>
      <c r="AE8" s="739"/>
      <c r="AF8" s="740" t="s">
        <v>5</v>
      </c>
      <c r="AG8" s="739"/>
      <c r="AH8" s="741"/>
      <c r="AK8" s="738" t="s">
        <v>6</v>
      </c>
      <c r="AL8" s="739"/>
      <c r="AM8" s="740"/>
      <c r="AN8" s="739" t="s">
        <v>6</v>
      </c>
      <c r="AO8" s="740"/>
      <c r="AP8" s="739"/>
      <c r="AQ8" s="740" t="s">
        <v>5</v>
      </c>
      <c r="AR8" s="739"/>
      <c r="AS8" s="740"/>
      <c r="AT8" s="739" t="s">
        <v>5</v>
      </c>
      <c r="AU8" s="740"/>
      <c r="AV8" s="739"/>
      <c r="AW8" s="740" t="s">
        <v>6</v>
      </c>
      <c r="AX8" s="739"/>
      <c r="AY8" s="740"/>
      <c r="AZ8" s="739" t="s">
        <v>6</v>
      </c>
      <c r="BA8" s="740"/>
      <c r="BB8" s="739"/>
      <c r="BC8" s="740" t="s">
        <v>5</v>
      </c>
      <c r="BD8" s="739"/>
      <c r="BE8" s="740"/>
      <c r="BF8" s="739"/>
      <c r="BG8" s="740"/>
      <c r="BH8" s="739"/>
      <c r="BI8" s="740"/>
      <c r="BJ8" s="739" t="s">
        <v>5</v>
      </c>
      <c r="BK8" s="740"/>
      <c r="BL8" s="739"/>
      <c r="BM8" s="740"/>
      <c r="BN8" s="739"/>
      <c r="BO8" s="740"/>
      <c r="BP8" s="739"/>
      <c r="BQ8" s="740" t="s">
        <v>5</v>
      </c>
      <c r="BR8" s="739"/>
      <c r="BS8" s="740"/>
      <c r="BT8" s="739"/>
      <c r="BU8" s="740"/>
      <c r="BV8" s="739"/>
      <c r="BW8" s="740"/>
      <c r="BX8" s="739"/>
      <c r="BY8" s="740"/>
      <c r="BZ8" s="739"/>
      <c r="CA8" s="740"/>
      <c r="CB8" s="739"/>
      <c r="CC8" s="740"/>
      <c r="CD8" s="739"/>
      <c r="CE8" s="740"/>
      <c r="CF8" s="739"/>
      <c r="CG8" s="740"/>
      <c r="CH8" s="739"/>
      <c r="CI8" s="740"/>
      <c r="CJ8" s="739"/>
      <c r="CK8" s="740"/>
      <c r="CL8" s="748" t="s">
        <v>5</v>
      </c>
      <c r="CN8" s="713"/>
      <c r="CO8" s="726"/>
    </row>
    <row r="9" spans="2:93" hidden="1">
      <c r="B9" s="161"/>
      <c r="C9" s="28" t="s">
        <v>334</v>
      </c>
      <c r="D9" s="27" t="s">
        <v>137</v>
      </c>
      <c r="E9" s="28">
        <f>SUM('Pupil_Place Numbers'!C7:C10)</f>
        <v>0</v>
      </c>
      <c r="F9" s="28">
        <f>SUM('Pupil_Place Numbers'!D7:D10)</f>
        <v>0</v>
      </c>
      <c r="G9" s="28">
        <f>SUM('Pupil_Place Numbers'!E7:E10)</f>
        <v>0</v>
      </c>
      <c r="H9" s="28">
        <f>SUM('Pupil_Place Numbers'!F7:F10)</f>
        <v>0</v>
      </c>
      <c r="I9" s="28">
        <f>SUM('Pupil_Place Numbers'!G7:G10)</f>
        <v>0</v>
      </c>
      <c r="J9" s="28">
        <f>SUM('Pupil_Place Numbers'!H7:H10)</f>
        <v>0</v>
      </c>
      <c r="K9" s="28">
        <f>SUM('Pupil_Place Numbers'!I7:I10)</f>
        <v>0</v>
      </c>
      <c r="L9" s="28">
        <f>SUM('Pupil_Place Numbers'!J7:J10)</f>
        <v>0</v>
      </c>
      <c r="M9" s="28"/>
      <c r="N9" s="28"/>
      <c r="O9" s="28"/>
      <c r="P9" s="28"/>
      <c r="Q9" s="162"/>
      <c r="T9" s="738" t="s">
        <v>6</v>
      </c>
      <c r="U9" s="739"/>
      <c r="V9" s="740"/>
      <c r="W9" s="739" t="s">
        <v>5</v>
      </c>
      <c r="X9" s="740"/>
      <c r="Y9" s="739"/>
      <c r="Z9" s="740" t="s">
        <v>5</v>
      </c>
      <c r="AA9" s="739"/>
      <c r="AB9" s="740"/>
      <c r="AC9" s="739" t="s">
        <v>5</v>
      </c>
      <c r="AD9" s="740"/>
      <c r="AE9" s="739"/>
      <c r="AF9" s="740" t="s">
        <v>5</v>
      </c>
      <c r="AG9" s="739"/>
      <c r="AH9" s="741"/>
      <c r="AK9" s="738" t="s">
        <v>6</v>
      </c>
      <c r="AL9" s="739"/>
      <c r="AM9" s="740"/>
      <c r="AN9" s="739" t="s">
        <v>6</v>
      </c>
      <c r="AO9" s="740"/>
      <c r="AP9" s="739"/>
      <c r="AQ9" s="740" t="s">
        <v>5</v>
      </c>
      <c r="AR9" s="739"/>
      <c r="AS9" s="740"/>
      <c r="AT9" s="739" t="s">
        <v>5</v>
      </c>
      <c r="AU9" s="740"/>
      <c r="AV9" s="739"/>
      <c r="AW9" s="740" t="s">
        <v>6</v>
      </c>
      <c r="AX9" s="739"/>
      <c r="AY9" s="740"/>
      <c r="AZ9" s="739" t="s">
        <v>6</v>
      </c>
      <c r="BA9" s="740"/>
      <c r="BB9" s="739"/>
      <c r="BC9" s="740" t="s">
        <v>5</v>
      </c>
      <c r="BD9" s="739"/>
      <c r="BE9" s="740"/>
      <c r="BF9" s="739"/>
      <c r="BG9" s="740"/>
      <c r="BH9" s="739"/>
      <c r="BI9" s="740"/>
      <c r="BJ9" s="739" t="s">
        <v>5</v>
      </c>
      <c r="BK9" s="740"/>
      <c r="BL9" s="739"/>
      <c r="BM9" s="740"/>
      <c r="BN9" s="739"/>
      <c r="BO9" s="740"/>
      <c r="BP9" s="739"/>
      <c r="BQ9" s="740" t="s">
        <v>5</v>
      </c>
      <c r="BR9" s="739"/>
      <c r="BS9" s="740"/>
      <c r="BT9" s="739"/>
      <c r="BU9" s="740"/>
      <c r="BV9" s="739"/>
      <c r="BW9" s="740"/>
      <c r="BX9" s="739"/>
      <c r="BY9" s="740"/>
      <c r="BZ9" s="739"/>
      <c r="CA9" s="740"/>
      <c r="CB9" s="739"/>
      <c r="CC9" s="740"/>
      <c r="CD9" s="739"/>
      <c r="CE9" s="740"/>
      <c r="CF9" s="739"/>
      <c r="CG9" s="740"/>
      <c r="CH9" s="739"/>
      <c r="CI9" s="740"/>
      <c r="CJ9" s="739"/>
      <c r="CK9" s="740"/>
      <c r="CL9" s="748" t="s">
        <v>5</v>
      </c>
      <c r="CN9" s="713"/>
      <c r="CO9" s="726"/>
    </row>
    <row r="10" spans="2:93" hidden="1">
      <c r="B10" s="161"/>
      <c r="C10" s="28" t="s">
        <v>335</v>
      </c>
      <c r="D10" s="27" t="s">
        <v>137</v>
      </c>
      <c r="E10" s="28">
        <f>SUM('Pupil_Place Numbers'!C11:C13)</f>
        <v>0</v>
      </c>
      <c r="F10" s="28">
        <f>SUM('Pupil_Place Numbers'!D11:D13)</f>
        <v>0</v>
      </c>
      <c r="G10" s="28">
        <f>SUM('Pupil_Place Numbers'!E11:E13)</f>
        <v>0</v>
      </c>
      <c r="H10" s="28">
        <f>SUM('Pupil_Place Numbers'!F11:F13)</f>
        <v>0</v>
      </c>
      <c r="I10" s="28">
        <f>SUM('Pupil_Place Numbers'!G11:G13)</f>
        <v>0</v>
      </c>
      <c r="J10" s="28">
        <f>SUM('Pupil_Place Numbers'!H11:H13)</f>
        <v>0</v>
      </c>
      <c r="K10" s="28">
        <f>SUM('Pupil_Place Numbers'!I11:I13)</f>
        <v>0</v>
      </c>
      <c r="L10" s="28">
        <f>SUM('Pupil_Place Numbers'!J11:J13)</f>
        <v>0</v>
      </c>
      <c r="M10" s="28"/>
      <c r="N10" s="28"/>
      <c r="O10" s="28"/>
      <c r="P10" s="28"/>
      <c r="Q10" s="162"/>
      <c r="T10" s="738" t="s">
        <v>6</v>
      </c>
      <c r="U10" s="739"/>
      <c r="V10" s="740"/>
      <c r="W10" s="739" t="s">
        <v>5</v>
      </c>
      <c r="X10" s="740"/>
      <c r="Y10" s="739"/>
      <c r="Z10" s="740" t="s">
        <v>5</v>
      </c>
      <c r="AA10" s="739"/>
      <c r="AB10" s="740"/>
      <c r="AC10" s="739" t="s">
        <v>5</v>
      </c>
      <c r="AD10" s="740"/>
      <c r="AE10" s="739"/>
      <c r="AF10" s="740" t="s">
        <v>5</v>
      </c>
      <c r="AG10" s="739"/>
      <c r="AH10" s="741"/>
      <c r="AK10" s="738" t="s">
        <v>6</v>
      </c>
      <c r="AL10" s="739"/>
      <c r="AM10" s="740"/>
      <c r="AN10" s="739" t="s">
        <v>5</v>
      </c>
      <c r="AO10" s="740"/>
      <c r="AP10" s="739"/>
      <c r="AQ10" s="740" t="s">
        <v>6</v>
      </c>
      <c r="AR10" s="739"/>
      <c r="AS10" s="740"/>
      <c r="AT10" s="739" t="s">
        <v>6</v>
      </c>
      <c r="AU10" s="740"/>
      <c r="AV10" s="739"/>
      <c r="AW10" s="740" t="s">
        <v>6</v>
      </c>
      <c r="AX10" s="739"/>
      <c r="AY10" s="740"/>
      <c r="AZ10" s="739" t="s">
        <v>6</v>
      </c>
      <c r="BA10" s="740"/>
      <c r="BB10" s="739"/>
      <c r="BC10" s="740" t="s">
        <v>5</v>
      </c>
      <c r="BD10" s="739"/>
      <c r="BE10" s="740"/>
      <c r="BF10" s="739"/>
      <c r="BG10" s="740"/>
      <c r="BH10" s="739"/>
      <c r="BI10" s="740"/>
      <c r="BJ10" s="739" t="s">
        <v>5</v>
      </c>
      <c r="BK10" s="740"/>
      <c r="BL10" s="739"/>
      <c r="BM10" s="740"/>
      <c r="BN10" s="739"/>
      <c r="BO10" s="740"/>
      <c r="BP10" s="739"/>
      <c r="BQ10" s="740" t="s">
        <v>5</v>
      </c>
      <c r="BR10" s="739"/>
      <c r="BS10" s="740"/>
      <c r="BT10" s="739"/>
      <c r="BU10" s="740"/>
      <c r="BV10" s="739"/>
      <c r="BW10" s="740"/>
      <c r="BX10" s="739"/>
      <c r="BY10" s="740"/>
      <c r="BZ10" s="739"/>
      <c r="CA10" s="740"/>
      <c r="CB10" s="739"/>
      <c r="CC10" s="740"/>
      <c r="CD10" s="739"/>
      <c r="CE10" s="740"/>
      <c r="CF10" s="739"/>
      <c r="CG10" s="740"/>
      <c r="CH10" s="739"/>
      <c r="CI10" s="740"/>
      <c r="CJ10" s="739"/>
      <c r="CK10" s="740"/>
      <c r="CL10" s="748" t="s">
        <v>5</v>
      </c>
      <c r="CN10" s="713"/>
      <c r="CO10" s="726"/>
    </row>
    <row r="11" spans="2:93" hidden="1">
      <c r="B11" s="161"/>
      <c r="C11" s="28" t="s">
        <v>336</v>
      </c>
      <c r="D11" s="27" t="s">
        <v>137</v>
      </c>
      <c r="E11" s="28">
        <f>SUM('Pupil_Place Numbers'!C14:C15)</f>
        <v>0</v>
      </c>
      <c r="F11" s="28">
        <f>SUM('Pupil_Place Numbers'!D14:D15)</f>
        <v>0</v>
      </c>
      <c r="G11" s="28">
        <f>SUM('Pupil_Place Numbers'!E14:E15)</f>
        <v>0</v>
      </c>
      <c r="H11" s="28">
        <f>SUM('Pupil_Place Numbers'!F14:F15)</f>
        <v>0</v>
      </c>
      <c r="I11" s="28">
        <f>SUM('Pupil_Place Numbers'!G14:G15)</f>
        <v>0</v>
      </c>
      <c r="J11" s="28">
        <f>SUM('Pupil_Place Numbers'!H14:H15)</f>
        <v>0</v>
      </c>
      <c r="K11" s="28">
        <f>SUM('Pupil_Place Numbers'!I14:I15)</f>
        <v>0</v>
      </c>
      <c r="L11" s="28">
        <f>SUM('Pupil_Place Numbers'!J14:J15)</f>
        <v>0</v>
      </c>
      <c r="M11" s="28"/>
      <c r="N11" s="28"/>
      <c r="O11" s="28"/>
      <c r="P11" s="28"/>
      <c r="Q11" s="162"/>
      <c r="T11" s="738" t="s">
        <v>6</v>
      </c>
      <c r="U11" s="739"/>
      <c r="V11" s="740"/>
      <c r="W11" s="739" t="s">
        <v>5</v>
      </c>
      <c r="X11" s="740"/>
      <c r="Y11" s="739"/>
      <c r="Z11" s="740" t="s">
        <v>5</v>
      </c>
      <c r="AA11" s="739"/>
      <c r="AB11" s="740"/>
      <c r="AC11" s="739" t="s">
        <v>5</v>
      </c>
      <c r="AD11" s="740"/>
      <c r="AE11" s="739"/>
      <c r="AF11" s="740" t="s">
        <v>5</v>
      </c>
      <c r="AG11" s="739"/>
      <c r="AH11" s="741"/>
      <c r="AK11" s="738" t="s">
        <v>6</v>
      </c>
      <c r="AL11" s="739"/>
      <c r="AM11" s="740"/>
      <c r="AN11" s="739" t="s">
        <v>5</v>
      </c>
      <c r="AO11" s="740"/>
      <c r="AP11" s="739"/>
      <c r="AQ11" s="740" t="s">
        <v>6</v>
      </c>
      <c r="AR11" s="739"/>
      <c r="AS11" s="740"/>
      <c r="AT11" s="739" t="s">
        <v>6</v>
      </c>
      <c r="AU11" s="740"/>
      <c r="AV11" s="739"/>
      <c r="AW11" s="740" t="s">
        <v>6</v>
      </c>
      <c r="AX11" s="739"/>
      <c r="AY11" s="740"/>
      <c r="AZ11" s="739" t="s">
        <v>6</v>
      </c>
      <c r="BA11" s="740"/>
      <c r="BB11" s="739"/>
      <c r="BC11" s="740" t="s">
        <v>5</v>
      </c>
      <c r="BD11" s="739"/>
      <c r="BE11" s="740"/>
      <c r="BF11" s="739"/>
      <c r="BG11" s="740"/>
      <c r="BH11" s="739"/>
      <c r="BI11" s="740"/>
      <c r="BJ11" s="739" t="s">
        <v>5</v>
      </c>
      <c r="BK11" s="740"/>
      <c r="BL11" s="739"/>
      <c r="BM11" s="740"/>
      <c r="BN11" s="739"/>
      <c r="BO11" s="740"/>
      <c r="BP11" s="739"/>
      <c r="BQ11" s="740" t="s">
        <v>5</v>
      </c>
      <c r="BR11" s="739"/>
      <c r="BS11" s="740"/>
      <c r="BT11" s="739"/>
      <c r="BU11" s="740"/>
      <c r="BV11" s="739"/>
      <c r="BW11" s="740"/>
      <c r="BX11" s="739"/>
      <c r="BY11" s="740"/>
      <c r="BZ11" s="739"/>
      <c r="CA11" s="740"/>
      <c r="CB11" s="739"/>
      <c r="CC11" s="740"/>
      <c r="CD11" s="739"/>
      <c r="CE11" s="740"/>
      <c r="CF11" s="739"/>
      <c r="CG11" s="740"/>
      <c r="CH11" s="739"/>
      <c r="CI11" s="740"/>
      <c r="CJ11" s="739"/>
      <c r="CK11" s="740"/>
      <c r="CL11" s="748" t="s">
        <v>5</v>
      </c>
      <c r="CN11" s="713"/>
      <c r="CO11" s="726"/>
    </row>
    <row r="12" spans="2:93" hidden="1">
      <c r="B12" s="161"/>
      <c r="C12" s="28"/>
      <c r="D12" s="28"/>
      <c r="E12" s="28"/>
      <c r="F12" s="28"/>
      <c r="G12" s="28"/>
      <c r="H12" s="28"/>
      <c r="I12" s="28"/>
      <c r="J12" s="28"/>
      <c r="K12" s="28"/>
      <c r="L12" s="28"/>
      <c r="M12" s="28"/>
      <c r="N12" s="28"/>
      <c r="O12" s="28"/>
      <c r="P12" s="28"/>
      <c r="Q12" s="162"/>
      <c r="T12" s="738" t="s">
        <v>6</v>
      </c>
      <c r="U12" s="739"/>
      <c r="V12" s="740"/>
      <c r="W12" s="739" t="s">
        <v>5</v>
      </c>
      <c r="X12" s="740"/>
      <c r="Y12" s="739"/>
      <c r="Z12" s="740" t="s">
        <v>5</v>
      </c>
      <c r="AA12" s="739"/>
      <c r="AB12" s="740"/>
      <c r="AC12" s="739" t="s">
        <v>5</v>
      </c>
      <c r="AD12" s="740"/>
      <c r="AE12" s="739"/>
      <c r="AF12" s="740" t="s">
        <v>5</v>
      </c>
      <c r="AG12" s="739"/>
      <c r="AH12" s="741"/>
      <c r="AK12" s="738" t="s">
        <v>6</v>
      </c>
      <c r="AL12" s="739"/>
      <c r="AM12" s="740"/>
      <c r="AN12" s="739"/>
      <c r="AO12" s="740"/>
      <c r="AP12" s="739"/>
      <c r="AQ12" s="740"/>
      <c r="AR12" s="739"/>
      <c r="AS12" s="740"/>
      <c r="AT12" s="739"/>
      <c r="AU12" s="740"/>
      <c r="AV12" s="739"/>
      <c r="AW12" s="740"/>
      <c r="AX12" s="739"/>
      <c r="AY12" s="740"/>
      <c r="AZ12" s="739"/>
      <c r="BA12" s="740"/>
      <c r="BB12" s="739"/>
      <c r="BC12" s="740" t="s">
        <v>5</v>
      </c>
      <c r="BD12" s="739"/>
      <c r="BE12" s="740"/>
      <c r="BF12" s="739"/>
      <c r="BG12" s="740"/>
      <c r="BH12" s="739"/>
      <c r="BI12" s="740"/>
      <c r="BJ12" s="739" t="s">
        <v>5</v>
      </c>
      <c r="BK12" s="740"/>
      <c r="BL12" s="739"/>
      <c r="BM12" s="740"/>
      <c r="BN12" s="739"/>
      <c r="BO12" s="740"/>
      <c r="BP12" s="739"/>
      <c r="BQ12" s="740" t="s">
        <v>5</v>
      </c>
      <c r="BR12" s="739"/>
      <c r="BS12" s="740"/>
      <c r="BT12" s="739"/>
      <c r="BU12" s="740"/>
      <c r="BV12" s="739"/>
      <c r="BW12" s="740"/>
      <c r="BX12" s="739"/>
      <c r="BY12" s="740"/>
      <c r="BZ12" s="739"/>
      <c r="CA12" s="740"/>
      <c r="CB12" s="739"/>
      <c r="CC12" s="740"/>
      <c r="CD12" s="739"/>
      <c r="CE12" s="740"/>
      <c r="CF12" s="739"/>
      <c r="CG12" s="740"/>
      <c r="CH12" s="739"/>
      <c r="CI12" s="740"/>
      <c r="CJ12" s="739"/>
      <c r="CK12" s="740"/>
      <c r="CL12" s="748" t="s">
        <v>5</v>
      </c>
      <c r="CN12" s="713"/>
      <c r="CO12" s="726"/>
    </row>
    <row r="13" spans="2:93" hidden="1">
      <c r="B13" s="161"/>
      <c r="C13" s="97" t="s">
        <v>337</v>
      </c>
      <c r="D13" s="125" t="s">
        <v>135</v>
      </c>
      <c r="E13" s="704"/>
      <c r="F13" s="704"/>
      <c r="G13" s="704"/>
      <c r="H13" s="704"/>
      <c r="I13" s="704"/>
      <c r="J13" s="704"/>
      <c r="K13" s="704"/>
      <c r="L13" s="704"/>
      <c r="M13" s="97"/>
      <c r="N13" s="97"/>
      <c r="O13" s="97"/>
      <c r="P13" s="97"/>
      <c r="Q13" s="162"/>
      <c r="T13" s="738" t="s">
        <v>6</v>
      </c>
      <c r="U13" s="739"/>
      <c r="V13" s="740"/>
      <c r="W13" s="739" t="s">
        <v>5</v>
      </c>
      <c r="X13" s="740"/>
      <c r="Y13" s="739"/>
      <c r="Z13" s="740" t="s">
        <v>5</v>
      </c>
      <c r="AA13" s="739"/>
      <c r="AB13" s="740"/>
      <c r="AC13" s="739" t="s">
        <v>5</v>
      </c>
      <c r="AD13" s="740"/>
      <c r="AE13" s="739"/>
      <c r="AF13" s="740" t="s">
        <v>5</v>
      </c>
      <c r="AG13" s="739"/>
      <c r="AH13" s="741"/>
      <c r="AK13" s="738" t="s">
        <v>6</v>
      </c>
      <c r="AL13" s="739"/>
      <c r="AM13" s="740"/>
      <c r="AN13" s="739" t="s">
        <v>6</v>
      </c>
      <c r="AO13" s="740"/>
      <c r="AP13" s="739"/>
      <c r="AQ13" s="740" t="s">
        <v>5</v>
      </c>
      <c r="AR13" s="739"/>
      <c r="AS13" s="740"/>
      <c r="AT13" s="739" t="s">
        <v>5</v>
      </c>
      <c r="AU13" s="740"/>
      <c r="AV13" s="739"/>
      <c r="AW13" s="740" t="s">
        <v>6</v>
      </c>
      <c r="AX13" s="739"/>
      <c r="AY13" s="740"/>
      <c r="AZ13" s="739" t="s">
        <v>6</v>
      </c>
      <c r="BA13" s="740"/>
      <c r="BB13" s="739"/>
      <c r="BC13" s="740" t="s">
        <v>5</v>
      </c>
      <c r="BD13" s="739"/>
      <c r="BE13" s="740"/>
      <c r="BF13" s="739"/>
      <c r="BG13" s="740"/>
      <c r="BH13" s="739"/>
      <c r="BI13" s="740"/>
      <c r="BJ13" s="739" t="s">
        <v>5</v>
      </c>
      <c r="BK13" s="740"/>
      <c r="BL13" s="739"/>
      <c r="BM13" s="740"/>
      <c r="BN13" s="739"/>
      <c r="BO13" s="740"/>
      <c r="BP13" s="739"/>
      <c r="BQ13" s="740" t="s">
        <v>5</v>
      </c>
      <c r="BR13" s="739"/>
      <c r="BS13" s="740"/>
      <c r="BT13" s="739"/>
      <c r="BU13" s="740"/>
      <c r="BV13" s="739"/>
      <c r="BW13" s="740"/>
      <c r="BX13" s="739"/>
      <c r="BY13" s="740"/>
      <c r="BZ13" s="739"/>
      <c r="CA13" s="740"/>
      <c r="CB13" s="739"/>
      <c r="CC13" s="740"/>
      <c r="CD13" s="739"/>
      <c r="CE13" s="740"/>
      <c r="CF13" s="739"/>
      <c r="CG13" s="740"/>
      <c r="CH13" s="739"/>
      <c r="CI13" s="740"/>
      <c r="CJ13" s="739"/>
      <c r="CK13" s="740"/>
      <c r="CL13" s="748" t="s">
        <v>5</v>
      </c>
      <c r="CN13" s="713"/>
      <c r="CO13" s="726"/>
    </row>
    <row r="14" spans="2:93" hidden="1">
      <c r="B14" s="161"/>
      <c r="C14" s="97" t="s">
        <v>338</v>
      </c>
      <c r="D14" s="125" t="s">
        <v>135</v>
      </c>
      <c r="E14" s="575"/>
      <c r="F14" s="575"/>
      <c r="G14" s="575"/>
      <c r="H14" s="575"/>
      <c r="I14" s="575"/>
      <c r="J14" s="575"/>
      <c r="K14" s="575"/>
      <c r="L14" s="575"/>
      <c r="M14" s="97"/>
      <c r="N14" s="97"/>
      <c r="O14" s="97"/>
      <c r="P14" s="97"/>
      <c r="Q14" s="162"/>
      <c r="T14" s="738" t="s">
        <v>6</v>
      </c>
      <c r="U14" s="739"/>
      <c r="V14" s="740"/>
      <c r="W14" s="739" t="s">
        <v>5</v>
      </c>
      <c r="X14" s="740"/>
      <c r="Y14" s="739"/>
      <c r="Z14" s="740" t="s">
        <v>5</v>
      </c>
      <c r="AA14" s="739"/>
      <c r="AB14" s="740"/>
      <c r="AC14" s="739" t="s">
        <v>5</v>
      </c>
      <c r="AD14" s="740"/>
      <c r="AE14" s="739"/>
      <c r="AF14" s="740" t="s">
        <v>5</v>
      </c>
      <c r="AG14" s="739"/>
      <c r="AH14" s="741"/>
      <c r="AK14" s="738" t="s">
        <v>6</v>
      </c>
      <c r="AL14" s="739"/>
      <c r="AM14" s="740"/>
      <c r="AN14" s="739" t="s">
        <v>6</v>
      </c>
      <c r="AO14" s="740"/>
      <c r="AP14" s="739"/>
      <c r="AQ14" s="740" t="s">
        <v>5</v>
      </c>
      <c r="AR14" s="739"/>
      <c r="AS14" s="740"/>
      <c r="AT14" s="739" t="s">
        <v>5</v>
      </c>
      <c r="AU14" s="740"/>
      <c r="AV14" s="739"/>
      <c r="AW14" s="740" t="s">
        <v>6</v>
      </c>
      <c r="AX14" s="739"/>
      <c r="AY14" s="740"/>
      <c r="AZ14" s="739" t="s">
        <v>6</v>
      </c>
      <c r="BA14" s="740"/>
      <c r="BB14" s="739"/>
      <c r="BC14" s="740" t="s">
        <v>5</v>
      </c>
      <c r="BD14" s="739"/>
      <c r="BE14" s="740"/>
      <c r="BF14" s="739"/>
      <c r="BG14" s="740"/>
      <c r="BH14" s="739"/>
      <c r="BI14" s="740"/>
      <c r="BJ14" s="739" t="s">
        <v>5</v>
      </c>
      <c r="BK14" s="740"/>
      <c r="BL14" s="739"/>
      <c r="BM14" s="740"/>
      <c r="BN14" s="739"/>
      <c r="BO14" s="740"/>
      <c r="BP14" s="739"/>
      <c r="BQ14" s="740" t="s">
        <v>5</v>
      </c>
      <c r="BR14" s="739"/>
      <c r="BS14" s="740"/>
      <c r="BT14" s="739"/>
      <c r="BU14" s="740"/>
      <c r="BV14" s="739"/>
      <c r="BW14" s="740"/>
      <c r="BX14" s="739"/>
      <c r="BY14" s="740"/>
      <c r="BZ14" s="739"/>
      <c r="CA14" s="740"/>
      <c r="CB14" s="739"/>
      <c r="CC14" s="740"/>
      <c r="CD14" s="739"/>
      <c r="CE14" s="740"/>
      <c r="CF14" s="739"/>
      <c r="CG14" s="740"/>
      <c r="CH14" s="739"/>
      <c r="CI14" s="740"/>
      <c r="CJ14" s="739"/>
      <c r="CK14" s="740"/>
      <c r="CL14" s="748" t="s">
        <v>5</v>
      </c>
      <c r="CN14" s="713"/>
      <c r="CO14" s="726"/>
    </row>
    <row r="15" spans="2:93" hidden="1">
      <c r="B15" s="161"/>
      <c r="C15" s="97" t="s">
        <v>339</v>
      </c>
      <c r="D15" s="125" t="s">
        <v>135</v>
      </c>
      <c r="E15" s="575"/>
      <c r="F15" s="575"/>
      <c r="G15" s="575"/>
      <c r="H15" s="575"/>
      <c r="I15" s="575"/>
      <c r="J15" s="575"/>
      <c r="K15" s="575"/>
      <c r="L15" s="575"/>
      <c r="M15" s="97"/>
      <c r="N15" s="97"/>
      <c r="O15" s="97"/>
      <c r="P15" s="97"/>
      <c r="Q15" s="162"/>
      <c r="T15" s="738" t="s">
        <v>6</v>
      </c>
      <c r="U15" s="739"/>
      <c r="V15" s="740"/>
      <c r="W15" s="739" t="s">
        <v>5</v>
      </c>
      <c r="X15" s="740"/>
      <c r="Y15" s="739"/>
      <c r="Z15" s="740" t="s">
        <v>5</v>
      </c>
      <c r="AA15" s="739"/>
      <c r="AB15" s="740"/>
      <c r="AC15" s="739" t="s">
        <v>5</v>
      </c>
      <c r="AD15" s="740"/>
      <c r="AE15" s="739"/>
      <c r="AF15" s="740" t="s">
        <v>5</v>
      </c>
      <c r="AG15" s="739"/>
      <c r="AH15" s="741"/>
      <c r="AK15" s="738" t="s">
        <v>6</v>
      </c>
      <c r="AL15" s="739"/>
      <c r="AM15" s="740"/>
      <c r="AN15" s="739" t="s">
        <v>5</v>
      </c>
      <c r="AO15" s="740"/>
      <c r="AP15" s="739"/>
      <c r="AQ15" s="740" t="s">
        <v>6</v>
      </c>
      <c r="AR15" s="739"/>
      <c r="AS15" s="740"/>
      <c r="AT15" s="739" t="s">
        <v>6</v>
      </c>
      <c r="AU15" s="740"/>
      <c r="AV15" s="739"/>
      <c r="AW15" s="740" t="s">
        <v>6</v>
      </c>
      <c r="AX15" s="739"/>
      <c r="AY15" s="740"/>
      <c r="AZ15" s="739" t="s">
        <v>6</v>
      </c>
      <c r="BA15" s="740"/>
      <c r="BB15" s="739"/>
      <c r="BC15" s="740" t="s">
        <v>5</v>
      </c>
      <c r="BD15" s="739"/>
      <c r="BE15" s="740"/>
      <c r="BF15" s="739"/>
      <c r="BG15" s="740"/>
      <c r="BH15" s="739"/>
      <c r="BI15" s="740"/>
      <c r="BJ15" s="739" t="s">
        <v>5</v>
      </c>
      <c r="BK15" s="740"/>
      <c r="BL15" s="739"/>
      <c r="BM15" s="740"/>
      <c r="BN15" s="739"/>
      <c r="BO15" s="740"/>
      <c r="BP15" s="739"/>
      <c r="BQ15" s="740" t="s">
        <v>5</v>
      </c>
      <c r="BR15" s="739"/>
      <c r="BS15" s="740"/>
      <c r="BT15" s="739"/>
      <c r="BU15" s="740"/>
      <c r="BV15" s="739"/>
      <c r="BW15" s="740"/>
      <c r="BX15" s="739"/>
      <c r="BY15" s="740"/>
      <c r="BZ15" s="739"/>
      <c r="CA15" s="740"/>
      <c r="CB15" s="739"/>
      <c r="CC15" s="740"/>
      <c r="CD15" s="739"/>
      <c r="CE15" s="740"/>
      <c r="CF15" s="739"/>
      <c r="CG15" s="740"/>
      <c r="CH15" s="739"/>
      <c r="CI15" s="740"/>
      <c r="CJ15" s="739"/>
      <c r="CK15" s="740"/>
      <c r="CL15" s="748" t="s">
        <v>5</v>
      </c>
      <c r="CN15" s="713"/>
      <c r="CO15" s="726"/>
    </row>
    <row r="16" spans="2:93" hidden="1">
      <c r="B16" s="161"/>
      <c r="C16" s="97" t="s">
        <v>340</v>
      </c>
      <c r="D16" s="125" t="s">
        <v>135</v>
      </c>
      <c r="E16" s="575"/>
      <c r="F16" s="575"/>
      <c r="G16" s="575"/>
      <c r="H16" s="575"/>
      <c r="I16" s="575"/>
      <c r="J16" s="575"/>
      <c r="K16" s="575"/>
      <c r="L16" s="575"/>
      <c r="M16" s="97"/>
      <c r="N16" s="97"/>
      <c r="O16" s="97"/>
      <c r="P16" s="97"/>
      <c r="Q16" s="162"/>
      <c r="T16" s="738" t="s">
        <v>6</v>
      </c>
      <c r="U16" s="739"/>
      <c r="V16" s="740"/>
      <c r="W16" s="739" t="s">
        <v>5</v>
      </c>
      <c r="X16" s="740"/>
      <c r="Y16" s="739"/>
      <c r="Z16" s="740" t="s">
        <v>5</v>
      </c>
      <c r="AA16" s="739"/>
      <c r="AB16" s="740"/>
      <c r="AC16" s="739" t="s">
        <v>5</v>
      </c>
      <c r="AD16" s="740"/>
      <c r="AE16" s="739"/>
      <c r="AF16" s="740" t="s">
        <v>5</v>
      </c>
      <c r="AG16" s="739"/>
      <c r="AH16" s="741"/>
      <c r="AK16" s="738" t="s">
        <v>6</v>
      </c>
      <c r="AL16" s="739"/>
      <c r="AM16" s="740"/>
      <c r="AN16" s="739" t="s">
        <v>5</v>
      </c>
      <c r="AO16" s="740"/>
      <c r="AP16" s="739"/>
      <c r="AQ16" s="740" t="s">
        <v>6</v>
      </c>
      <c r="AR16" s="739"/>
      <c r="AS16" s="740"/>
      <c r="AT16" s="739" t="s">
        <v>6</v>
      </c>
      <c r="AU16" s="740"/>
      <c r="AV16" s="739"/>
      <c r="AW16" s="740" t="s">
        <v>6</v>
      </c>
      <c r="AX16" s="739"/>
      <c r="AY16" s="740"/>
      <c r="AZ16" s="739" t="s">
        <v>6</v>
      </c>
      <c r="BA16" s="740"/>
      <c r="BB16" s="739"/>
      <c r="BC16" s="740" t="s">
        <v>5</v>
      </c>
      <c r="BD16" s="739"/>
      <c r="BE16" s="740"/>
      <c r="BF16" s="739"/>
      <c r="BG16" s="740"/>
      <c r="BH16" s="739"/>
      <c r="BI16" s="740"/>
      <c r="BJ16" s="739" t="s">
        <v>5</v>
      </c>
      <c r="BK16" s="740"/>
      <c r="BL16" s="739"/>
      <c r="BM16" s="740"/>
      <c r="BN16" s="739"/>
      <c r="BO16" s="740"/>
      <c r="BP16" s="739"/>
      <c r="BQ16" s="740" t="s">
        <v>5</v>
      </c>
      <c r="BR16" s="739"/>
      <c r="BS16" s="740"/>
      <c r="BT16" s="739"/>
      <c r="BU16" s="740"/>
      <c r="BV16" s="739"/>
      <c r="BW16" s="740"/>
      <c r="BX16" s="739"/>
      <c r="BY16" s="740"/>
      <c r="BZ16" s="739"/>
      <c r="CA16" s="740"/>
      <c r="CB16" s="739"/>
      <c r="CC16" s="740"/>
      <c r="CD16" s="739"/>
      <c r="CE16" s="740"/>
      <c r="CF16" s="739"/>
      <c r="CG16" s="740"/>
      <c r="CH16" s="739"/>
      <c r="CI16" s="740"/>
      <c r="CJ16" s="739"/>
      <c r="CK16" s="740"/>
      <c r="CL16" s="748" t="s">
        <v>5</v>
      </c>
      <c r="CN16" s="713"/>
      <c r="CO16" s="726"/>
    </row>
    <row r="17" spans="2:93" hidden="1">
      <c r="B17" s="161"/>
      <c r="C17" s="28"/>
      <c r="D17" s="28"/>
      <c r="E17" s="28"/>
      <c r="F17" s="28"/>
      <c r="G17" s="28"/>
      <c r="H17" s="28"/>
      <c r="I17" s="28"/>
      <c r="J17" s="28"/>
      <c r="K17" s="28"/>
      <c r="L17" s="28"/>
      <c r="M17" s="28"/>
      <c r="N17" s="28"/>
      <c r="O17" s="28"/>
      <c r="P17" s="28"/>
      <c r="Q17" s="162"/>
      <c r="T17" s="738" t="s">
        <v>6</v>
      </c>
      <c r="U17" s="739"/>
      <c r="V17" s="740"/>
      <c r="W17" s="739" t="s">
        <v>5</v>
      </c>
      <c r="X17" s="740"/>
      <c r="Y17" s="739"/>
      <c r="Z17" s="740" t="s">
        <v>5</v>
      </c>
      <c r="AA17" s="739"/>
      <c r="AB17" s="740"/>
      <c r="AC17" s="739" t="s">
        <v>5</v>
      </c>
      <c r="AD17" s="740"/>
      <c r="AE17" s="739"/>
      <c r="AF17" s="740" t="s">
        <v>5</v>
      </c>
      <c r="AG17" s="739"/>
      <c r="AH17" s="741"/>
      <c r="AK17" s="738" t="s">
        <v>6</v>
      </c>
      <c r="AL17" s="739"/>
      <c r="AM17" s="740"/>
      <c r="AN17" s="739"/>
      <c r="AO17" s="740"/>
      <c r="AP17" s="739"/>
      <c r="AQ17" s="740"/>
      <c r="AR17" s="739"/>
      <c r="AS17" s="740"/>
      <c r="AT17" s="739"/>
      <c r="AU17" s="740"/>
      <c r="AV17" s="739"/>
      <c r="AW17" s="740"/>
      <c r="AX17" s="739"/>
      <c r="AY17" s="740"/>
      <c r="AZ17" s="739"/>
      <c r="BA17" s="740"/>
      <c r="BB17" s="739"/>
      <c r="BC17" s="740" t="s">
        <v>5</v>
      </c>
      <c r="BD17" s="739"/>
      <c r="BE17" s="740"/>
      <c r="BF17" s="739"/>
      <c r="BG17" s="740"/>
      <c r="BH17" s="739"/>
      <c r="BI17" s="740"/>
      <c r="BJ17" s="739" t="s">
        <v>5</v>
      </c>
      <c r="BK17" s="740"/>
      <c r="BL17" s="739"/>
      <c r="BM17" s="740"/>
      <c r="BN17" s="739"/>
      <c r="BO17" s="740"/>
      <c r="BP17" s="739"/>
      <c r="BQ17" s="740" t="s">
        <v>5</v>
      </c>
      <c r="BR17" s="739"/>
      <c r="BS17" s="740"/>
      <c r="BT17" s="739"/>
      <c r="BU17" s="740"/>
      <c r="BV17" s="739"/>
      <c r="BW17" s="740"/>
      <c r="BX17" s="739"/>
      <c r="BY17" s="740"/>
      <c r="BZ17" s="739"/>
      <c r="CA17" s="740"/>
      <c r="CB17" s="739"/>
      <c r="CC17" s="740"/>
      <c r="CD17" s="739"/>
      <c r="CE17" s="740"/>
      <c r="CF17" s="739"/>
      <c r="CG17" s="740"/>
      <c r="CH17" s="739"/>
      <c r="CI17" s="740"/>
      <c r="CJ17" s="739"/>
      <c r="CK17" s="740"/>
      <c r="CL17" s="748" t="s">
        <v>5</v>
      </c>
      <c r="CN17" s="713"/>
      <c r="CO17" s="726"/>
    </row>
    <row r="18" spans="2:93" hidden="1">
      <c r="B18" s="161"/>
      <c r="C18" s="26" t="s">
        <v>341</v>
      </c>
      <c r="D18" s="26"/>
      <c r="E18" s="26"/>
      <c r="F18" s="26"/>
      <c r="G18" s="26"/>
      <c r="H18" s="26"/>
      <c r="I18" s="26"/>
      <c r="J18" s="26"/>
      <c r="K18" s="26"/>
      <c r="L18" s="26"/>
      <c r="M18" s="26"/>
      <c r="N18" s="26"/>
      <c r="O18" s="26"/>
      <c r="P18" s="26"/>
      <c r="Q18" s="162"/>
      <c r="T18" s="738" t="s">
        <v>6</v>
      </c>
      <c r="U18" s="739"/>
      <c r="V18" s="740"/>
      <c r="W18" s="739" t="s">
        <v>5</v>
      </c>
      <c r="X18" s="740"/>
      <c r="Y18" s="739"/>
      <c r="Z18" s="740" t="s">
        <v>5</v>
      </c>
      <c r="AA18" s="739"/>
      <c r="AB18" s="740"/>
      <c r="AC18" s="739" t="s">
        <v>5</v>
      </c>
      <c r="AD18" s="740"/>
      <c r="AE18" s="739"/>
      <c r="AF18" s="740" t="s">
        <v>5</v>
      </c>
      <c r="AG18" s="739"/>
      <c r="AH18" s="741"/>
      <c r="AK18" s="738" t="s">
        <v>6</v>
      </c>
      <c r="AL18" s="739"/>
      <c r="AM18" s="740"/>
      <c r="AN18" s="739" t="s">
        <v>5</v>
      </c>
      <c r="AO18" s="740"/>
      <c r="AP18" s="739"/>
      <c r="AQ18" s="740" t="s">
        <v>5</v>
      </c>
      <c r="AR18" s="739"/>
      <c r="AS18" s="740"/>
      <c r="AT18" s="739" t="s">
        <v>6</v>
      </c>
      <c r="AU18" s="740"/>
      <c r="AV18" s="739"/>
      <c r="AW18" s="740" t="s">
        <v>5</v>
      </c>
      <c r="AX18" s="739"/>
      <c r="AY18" s="740"/>
      <c r="AZ18" s="739" t="s">
        <v>6</v>
      </c>
      <c r="BA18" s="740"/>
      <c r="BB18" s="739"/>
      <c r="BC18" s="740" t="s">
        <v>5</v>
      </c>
      <c r="BD18" s="739"/>
      <c r="BE18" s="740"/>
      <c r="BF18" s="739"/>
      <c r="BG18" s="740"/>
      <c r="BH18" s="739"/>
      <c r="BI18" s="740"/>
      <c r="BJ18" s="739" t="s">
        <v>5</v>
      </c>
      <c r="BK18" s="740"/>
      <c r="BL18" s="739"/>
      <c r="BM18" s="740"/>
      <c r="BN18" s="739"/>
      <c r="BO18" s="740"/>
      <c r="BP18" s="739"/>
      <c r="BQ18" s="740" t="s">
        <v>5</v>
      </c>
      <c r="BR18" s="739"/>
      <c r="BS18" s="740"/>
      <c r="BT18" s="739"/>
      <c r="BU18" s="740"/>
      <c r="BV18" s="739"/>
      <c r="BW18" s="740"/>
      <c r="BX18" s="739"/>
      <c r="BY18" s="740"/>
      <c r="BZ18" s="739"/>
      <c r="CA18" s="740"/>
      <c r="CB18" s="739"/>
      <c r="CC18" s="740"/>
      <c r="CD18" s="739"/>
      <c r="CE18" s="740"/>
      <c r="CF18" s="739"/>
      <c r="CG18" s="740"/>
      <c r="CH18" s="739"/>
      <c r="CI18" s="740"/>
      <c r="CJ18" s="739"/>
      <c r="CK18" s="740"/>
      <c r="CL18" s="748" t="s">
        <v>5</v>
      </c>
      <c r="CN18" s="713"/>
      <c r="CO18" s="726"/>
    </row>
    <row r="19" spans="2:93" hidden="1">
      <c r="B19" s="161"/>
      <c r="C19" s="28" t="s">
        <v>342</v>
      </c>
      <c r="D19" s="27" t="s">
        <v>137</v>
      </c>
      <c r="E19" s="28">
        <f>'Pupil_Place Numbers'!C19</f>
        <v>0</v>
      </c>
      <c r="F19" s="28">
        <f>'Pupil_Place Numbers'!D19</f>
        <v>0</v>
      </c>
      <c r="G19" s="28">
        <f>'Pupil_Place Numbers'!E19</f>
        <v>0</v>
      </c>
      <c r="H19" s="28">
        <f>'Pupil_Place Numbers'!F19</f>
        <v>0</v>
      </c>
      <c r="I19" s="28">
        <f>'Pupil_Place Numbers'!G19</f>
        <v>0</v>
      </c>
      <c r="J19" s="28">
        <f>'Pupil_Place Numbers'!H19</f>
        <v>0</v>
      </c>
      <c r="K19" s="28">
        <f>'Pupil_Place Numbers'!I19</f>
        <v>0</v>
      </c>
      <c r="L19" s="28">
        <f>'Pupil_Place Numbers'!J19</f>
        <v>0</v>
      </c>
      <c r="M19" s="28"/>
      <c r="N19" s="28"/>
      <c r="O19" s="28"/>
      <c r="P19" s="28"/>
      <c r="Q19" s="162"/>
      <c r="T19" s="738" t="s">
        <v>6</v>
      </c>
      <c r="U19" s="739"/>
      <c r="V19" s="740"/>
      <c r="W19" s="739" t="s">
        <v>5</v>
      </c>
      <c r="X19" s="740"/>
      <c r="Y19" s="739"/>
      <c r="Z19" s="740" t="s">
        <v>5</v>
      </c>
      <c r="AA19" s="739"/>
      <c r="AB19" s="740"/>
      <c r="AC19" s="739" t="s">
        <v>5</v>
      </c>
      <c r="AD19" s="740"/>
      <c r="AE19" s="739"/>
      <c r="AF19" s="740" t="s">
        <v>5</v>
      </c>
      <c r="AG19" s="739"/>
      <c r="AH19" s="741"/>
      <c r="AK19" s="738" t="s">
        <v>6</v>
      </c>
      <c r="AL19" s="739"/>
      <c r="AM19" s="740"/>
      <c r="AN19" s="739" t="s">
        <v>5</v>
      </c>
      <c r="AO19" s="740"/>
      <c r="AP19" s="739"/>
      <c r="AQ19" s="740" t="s">
        <v>5</v>
      </c>
      <c r="AR19" s="739"/>
      <c r="AS19" s="740"/>
      <c r="AT19" s="739" t="s">
        <v>6</v>
      </c>
      <c r="AU19" s="740"/>
      <c r="AV19" s="739"/>
      <c r="AW19" s="740" t="s">
        <v>5</v>
      </c>
      <c r="AX19" s="739"/>
      <c r="AY19" s="740"/>
      <c r="AZ19" s="739" t="s">
        <v>6</v>
      </c>
      <c r="BA19" s="740"/>
      <c r="BB19" s="739"/>
      <c r="BC19" s="740" t="s">
        <v>5</v>
      </c>
      <c r="BD19" s="739"/>
      <c r="BE19" s="740"/>
      <c r="BF19" s="739"/>
      <c r="BG19" s="740"/>
      <c r="BH19" s="739"/>
      <c r="BI19" s="740"/>
      <c r="BJ19" s="739" t="s">
        <v>5</v>
      </c>
      <c r="BK19" s="740"/>
      <c r="BL19" s="739"/>
      <c r="BM19" s="740"/>
      <c r="BN19" s="739"/>
      <c r="BO19" s="740"/>
      <c r="BP19" s="739"/>
      <c r="BQ19" s="740" t="s">
        <v>5</v>
      </c>
      <c r="BR19" s="739"/>
      <c r="BS19" s="740"/>
      <c r="BT19" s="739"/>
      <c r="BU19" s="740"/>
      <c r="BV19" s="739"/>
      <c r="BW19" s="740"/>
      <c r="BX19" s="739"/>
      <c r="BY19" s="740"/>
      <c r="BZ19" s="739"/>
      <c r="CA19" s="740"/>
      <c r="CB19" s="739"/>
      <c r="CC19" s="740"/>
      <c r="CD19" s="739"/>
      <c r="CE19" s="740"/>
      <c r="CF19" s="739"/>
      <c r="CG19" s="740"/>
      <c r="CH19" s="739"/>
      <c r="CI19" s="740"/>
      <c r="CJ19" s="739"/>
      <c r="CK19" s="740"/>
      <c r="CL19" s="748" t="s">
        <v>5</v>
      </c>
      <c r="CN19" s="713"/>
      <c r="CO19" s="726"/>
    </row>
    <row r="20" spans="2:93" hidden="1">
      <c r="B20" s="161"/>
      <c r="C20" s="530" t="s">
        <v>343</v>
      </c>
      <c r="D20" s="27" t="s">
        <v>137</v>
      </c>
      <c r="E20" s="28">
        <f>'Pupil_Place Numbers'!C20</f>
        <v>0</v>
      </c>
      <c r="F20" s="28">
        <f>'Pupil_Place Numbers'!D20</f>
        <v>0</v>
      </c>
      <c r="G20" s="28">
        <f>'Pupil_Place Numbers'!E20</f>
        <v>0</v>
      </c>
      <c r="H20" s="28">
        <f>'Pupil_Place Numbers'!F20</f>
        <v>0</v>
      </c>
      <c r="I20" s="28">
        <f>'Pupil_Place Numbers'!G20</f>
        <v>0</v>
      </c>
      <c r="J20" s="28">
        <f>'Pupil_Place Numbers'!H20</f>
        <v>0</v>
      </c>
      <c r="K20" s="28">
        <f>'Pupil_Place Numbers'!I20</f>
        <v>0</v>
      </c>
      <c r="L20" s="28">
        <f>'Pupil_Place Numbers'!J20</f>
        <v>0</v>
      </c>
      <c r="M20" s="28"/>
      <c r="N20" s="28"/>
      <c r="O20" s="28"/>
      <c r="P20" s="28"/>
      <c r="Q20" s="162"/>
      <c r="T20" s="738" t="s">
        <v>6</v>
      </c>
      <c r="U20" s="739"/>
      <c r="V20" s="740"/>
      <c r="W20" s="739" t="s">
        <v>5</v>
      </c>
      <c r="X20" s="740"/>
      <c r="Y20" s="739"/>
      <c r="Z20" s="740" t="s">
        <v>5</v>
      </c>
      <c r="AA20" s="739"/>
      <c r="AB20" s="740"/>
      <c r="AC20" s="739" t="s">
        <v>5</v>
      </c>
      <c r="AD20" s="740"/>
      <c r="AE20" s="739"/>
      <c r="AF20" s="740" t="s">
        <v>5</v>
      </c>
      <c r="AG20" s="739"/>
      <c r="AH20" s="741"/>
      <c r="AK20" s="738" t="s">
        <v>6</v>
      </c>
      <c r="AL20" s="739"/>
      <c r="AM20" s="740"/>
      <c r="AN20" s="739" t="s">
        <v>5</v>
      </c>
      <c r="AO20" s="740"/>
      <c r="AP20" s="739"/>
      <c r="AQ20" s="740" t="s">
        <v>5</v>
      </c>
      <c r="AR20" s="739"/>
      <c r="AS20" s="740"/>
      <c r="AT20" s="739" t="s">
        <v>6</v>
      </c>
      <c r="AU20" s="740"/>
      <c r="AV20" s="739"/>
      <c r="AW20" s="740" t="s">
        <v>5</v>
      </c>
      <c r="AX20" s="739"/>
      <c r="AY20" s="740"/>
      <c r="AZ20" s="739" t="s">
        <v>6</v>
      </c>
      <c r="BA20" s="740"/>
      <c r="BB20" s="739"/>
      <c r="BC20" s="740" t="s">
        <v>5</v>
      </c>
      <c r="BD20" s="739"/>
      <c r="BE20" s="740"/>
      <c r="BF20" s="739"/>
      <c r="BG20" s="740"/>
      <c r="BH20" s="739"/>
      <c r="BI20" s="740"/>
      <c r="BJ20" s="739" t="s">
        <v>5</v>
      </c>
      <c r="BK20" s="740"/>
      <c r="BL20" s="739"/>
      <c r="BM20" s="740"/>
      <c r="BN20" s="739"/>
      <c r="BO20" s="740"/>
      <c r="BP20" s="739"/>
      <c r="BQ20" s="740" t="s">
        <v>5</v>
      </c>
      <c r="BR20" s="739"/>
      <c r="BS20" s="740"/>
      <c r="BT20" s="739"/>
      <c r="BU20" s="740"/>
      <c r="BV20" s="739"/>
      <c r="BW20" s="740"/>
      <c r="BX20" s="739"/>
      <c r="BY20" s="740"/>
      <c r="BZ20" s="739"/>
      <c r="CA20" s="740"/>
      <c r="CB20" s="739"/>
      <c r="CC20" s="740"/>
      <c r="CD20" s="739"/>
      <c r="CE20" s="740"/>
      <c r="CF20" s="739"/>
      <c r="CG20" s="740"/>
      <c r="CH20" s="739"/>
      <c r="CI20" s="740"/>
      <c r="CJ20" s="739"/>
      <c r="CK20" s="740"/>
      <c r="CL20" s="748" t="s">
        <v>5</v>
      </c>
      <c r="CN20" s="713"/>
      <c r="CO20" s="726"/>
    </row>
    <row r="21" spans="2:93" hidden="1">
      <c r="B21" s="161"/>
      <c r="C21" s="28" t="s">
        <v>344</v>
      </c>
      <c r="D21" s="27" t="s">
        <v>137</v>
      </c>
      <c r="E21" s="28">
        <f>'Pupil_Place Numbers'!C21</f>
        <v>0</v>
      </c>
      <c r="F21" s="28">
        <f>'Pupil_Place Numbers'!D21</f>
        <v>0</v>
      </c>
      <c r="G21" s="28">
        <f>'Pupil_Place Numbers'!E21</f>
        <v>0</v>
      </c>
      <c r="H21" s="28">
        <f>'Pupil_Place Numbers'!F21</f>
        <v>0</v>
      </c>
      <c r="I21" s="28">
        <f>'Pupil_Place Numbers'!G21</f>
        <v>0</v>
      </c>
      <c r="J21" s="28">
        <f>'Pupil_Place Numbers'!H21</f>
        <v>0</v>
      </c>
      <c r="K21" s="28">
        <f>'Pupil_Place Numbers'!I21</f>
        <v>0</v>
      </c>
      <c r="L21" s="28">
        <f>'Pupil_Place Numbers'!J21</f>
        <v>0</v>
      </c>
      <c r="M21" s="28"/>
      <c r="N21" s="28"/>
      <c r="O21" s="28"/>
      <c r="P21" s="28"/>
      <c r="Q21" s="162"/>
      <c r="T21" s="738" t="s">
        <v>6</v>
      </c>
      <c r="U21" s="739"/>
      <c r="V21" s="740"/>
      <c r="W21" s="739" t="s">
        <v>5</v>
      </c>
      <c r="X21" s="740"/>
      <c r="Y21" s="739"/>
      <c r="Z21" s="740" t="s">
        <v>5</v>
      </c>
      <c r="AA21" s="739"/>
      <c r="AB21" s="740"/>
      <c r="AC21" s="739" t="s">
        <v>5</v>
      </c>
      <c r="AD21" s="740"/>
      <c r="AE21" s="739"/>
      <c r="AF21" s="740" t="s">
        <v>5</v>
      </c>
      <c r="AG21" s="739"/>
      <c r="AH21" s="741"/>
      <c r="AK21" s="738" t="s">
        <v>6</v>
      </c>
      <c r="AL21" s="739"/>
      <c r="AM21" s="740"/>
      <c r="AN21" s="739" t="s">
        <v>5</v>
      </c>
      <c r="AO21" s="740"/>
      <c r="AP21" s="739"/>
      <c r="AQ21" s="740" t="s">
        <v>5</v>
      </c>
      <c r="AR21" s="739"/>
      <c r="AS21" s="740"/>
      <c r="AT21" s="739" t="s">
        <v>6</v>
      </c>
      <c r="AU21" s="740"/>
      <c r="AV21" s="739"/>
      <c r="AW21" s="740" t="s">
        <v>5</v>
      </c>
      <c r="AX21" s="739"/>
      <c r="AY21" s="740"/>
      <c r="AZ21" s="739" t="s">
        <v>6</v>
      </c>
      <c r="BA21" s="740"/>
      <c r="BB21" s="739"/>
      <c r="BC21" s="740" t="s">
        <v>5</v>
      </c>
      <c r="BD21" s="739"/>
      <c r="BE21" s="740"/>
      <c r="BF21" s="739"/>
      <c r="BG21" s="740"/>
      <c r="BH21" s="739"/>
      <c r="BI21" s="740"/>
      <c r="BJ21" s="739" t="s">
        <v>5</v>
      </c>
      <c r="BK21" s="740"/>
      <c r="BL21" s="739"/>
      <c r="BM21" s="740"/>
      <c r="BN21" s="739"/>
      <c r="BO21" s="740"/>
      <c r="BP21" s="739"/>
      <c r="BQ21" s="740" t="s">
        <v>5</v>
      </c>
      <c r="BR21" s="739"/>
      <c r="BS21" s="740"/>
      <c r="BT21" s="739"/>
      <c r="BU21" s="740"/>
      <c r="BV21" s="739"/>
      <c r="BW21" s="740"/>
      <c r="BX21" s="739"/>
      <c r="BY21" s="740"/>
      <c r="BZ21" s="739"/>
      <c r="CA21" s="740"/>
      <c r="CB21" s="739"/>
      <c r="CC21" s="740"/>
      <c r="CD21" s="739"/>
      <c r="CE21" s="740"/>
      <c r="CF21" s="739"/>
      <c r="CG21" s="740"/>
      <c r="CH21" s="739"/>
      <c r="CI21" s="740"/>
      <c r="CJ21" s="739"/>
      <c r="CK21" s="740"/>
      <c r="CL21" s="748" t="s">
        <v>5</v>
      </c>
      <c r="CN21" s="713"/>
      <c r="CO21" s="726"/>
    </row>
    <row r="22" spans="2:93" hidden="1">
      <c r="B22" s="161"/>
      <c r="C22" s="98" t="s">
        <v>345</v>
      </c>
      <c r="D22" s="125" t="s">
        <v>135</v>
      </c>
      <c r="E22" s="575"/>
      <c r="F22" s="575"/>
      <c r="G22" s="575"/>
      <c r="H22" s="575"/>
      <c r="I22" s="575"/>
      <c r="J22" s="575"/>
      <c r="K22" s="575"/>
      <c r="L22" s="575"/>
      <c r="M22" s="98"/>
      <c r="N22" s="98"/>
      <c r="O22" s="98"/>
      <c r="P22" s="98"/>
      <c r="Q22" s="162"/>
      <c r="T22" s="738" t="s">
        <v>6</v>
      </c>
      <c r="U22" s="739"/>
      <c r="V22" s="740"/>
      <c r="W22" s="739" t="s">
        <v>5</v>
      </c>
      <c r="X22" s="740"/>
      <c r="Y22" s="739"/>
      <c r="Z22" s="740" t="s">
        <v>5</v>
      </c>
      <c r="AA22" s="739"/>
      <c r="AB22" s="740"/>
      <c r="AC22" s="739" t="s">
        <v>5</v>
      </c>
      <c r="AD22" s="740"/>
      <c r="AE22" s="739"/>
      <c r="AF22" s="740" t="s">
        <v>5</v>
      </c>
      <c r="AG22" s="739"/>
      <c r="AH22" s="741"/>
      <c r="AK22" s="738" t="s">
        <v>6</v>
      </c>
      <c r="AL22" s="739"/>
      <c r="AM22" s="740"/>
      <c r="AN22" s="739" t="s">
        <v>5</v>
      </c>
      <c r="AO22" s="740"/>
      <c r="AP22" s="739"/>
      <c r="AQ22" s="740" t="s">
        <v>5</v>
      </c>
      <c r="AR22" s="739"/>
      <c r="AS22" s="740"/>
      <c r="AT22" s="739" t="s">
        <v>6</v>
      </c>
      <c r="AU22" s="740"/>
      <c r="AV22" s="739"/>
      <c r="AW22" s="740" t="s">
        <v>5</v>
      </c>
      <c r="AX22" s="739"/>
      <c r="AY22" s="740"/>
      <c r="AZ22" s="739" t="s">
        <v>6</v>
      </c>
      <c r="BA22" s="740"/>
      <c r="BB22" s="739"/>
      <c r="BC22" s="740" t="s">
        <v>5</v>
      </c>
      <c r="BD22" s="739"/>
      <c r="BE22" s="740"/>
      <c r="BF22" s="739"/>
      <c r="BG22" s="740"/>
      <c r="BH22" s="739"/>
      <c r="BI22" s="740"/>
      <c r="BJ22" s="739" t="s">
        <v>5</v>
      </c>
      <c r="BK22" s="740"/>
      <c r="BL22" s="739"/>
      <c r="BM22" s="740"/>
      <c r="BN22" s="739"/>
      <c r="BO22" s="740"/>
      <c r="BP22" s="739"/>
      <c r="BQ22" s="740" t="s">
        <v>5</v>
      </c>
      <c r="BR22" s="739"/>
      <c r="BS22" s="740"/>
      <c r="BT22" s="739"/>
      <c r="BU22" s="740"/>
      <c r="BV22" s="739"/>
      <c r="BW22" s="740"/>
      <c r="BX22" s="739"/>
      <c r="BY22" s="740"/>
      <c r="BZ22" s="739"/>
      <c r="CA22" s="740"/>
      <c r="CB22" s="739"/>
      <c r="CC22" s="740"/>
      <c r="CD22" s="739"/>
      <c r="CE22" s="740"/>
      <c r="CF22" s="739"/>
      <c r="CG22" s="740"/>
      <c r="CH22" s="739"/>
      <c r="CI22" s="740"/>
      <c r="CJ22" s="739"/>
      <c r="CK22" s="740"/>
      <c r="CL22" s="748" t="s">
        <v>5</v>
      </c>
      <c r="CN22" s="713"/>
      <c r="CO22" s="726"/>
    </row>
    <row r="23" spans="2:93" hidden="1">
      <c r="B23" s="161"/>
      <c r="C23" s="28"/>
      <c r="D23" s="28"/>
      <c r="E23" s="28"/>
      <c r="F23" s="28"/>
      <c r="G23" s="28"/>
      <c r="H23" s="28"/>
      <c r="I23" s="28"/>
      <c r="J23" s="28"/>
      <c r="K23" s="28"/>
      <c r="L23" s="28"/>
      <c r="M23" s="28"/>
      <c r="N23" s="28"/>
      <c r="O23" s="28"/>
      <c r="P23" s="28"/>
      <c r="Q23" s="162"/>
      <c r="T23" s="738" t="s">
        <v>6</v>
      </c>
      <c r="U23" s="739"/>
      <c r="V23" s="740"/>
      <c r="W23" s="739" t="s">
        <v>5</v>
      </c>
      <c r="X23" s="740"/>
      <c r="Y23" s="739"/>
      <c r="Z23" s="740" t="s">
        <v>5</v>
      </c>
      <c r="AA23" s="739"/>
      <c r="AB23" s="740"/>
      <c r="AC23" s="739" t="s">
        <v>5</v>
      </c>
      <c r="AD23" s="740"/>
      <c r="AE23" s="739"/>
      <c r="AF23" s="740" t="s">
        <v>5</v>
      </c>
      <c r="AG23" s="739"/>
      <c r="AH23" s="741"/>
      <c r="AK23" s="738" t="s">
        <v>6</v>
      </c>
      <c r="AL23" s="739"/>
      <c r="AM23" s="740"/>
      <c r="AN23" s="739"/>
      <c r="AO23" s="740"/>
      <c r="AP23" s="739"/>
      <c r="AQ23" s="740"/>
      <c r="AR23" s="739"/>
      <c r="AS23" s="740"/>
      <c r="AT23" s="739"/>
      <c r="AU23" s="740"/>
      <c r="AV23" s="739"/>
      <c r="AW23" s="740"/>
      <c r="AX23" s="739"/>
      <c r="AY23" s="740"/>
      <c r="AZ23" s="739"/>
      <c r="BA23" s="740"/>
      <c r="BB23" s="739"/>
      <c r="BC23" s="740" t="s">
        <v>5</v>
      </c>
      <c r="BD23" s="739"/>
      <c r="BE23" s="740"/>
      <c r="BF23" s="739"/>
      <c r="BG23" s="740"/>
      <c r="BH23" s="739"/>
      <c r="BI23" s="740"/>
      <c r="BJ23" s="739" t="s">
        <v>5</v>
      </c>
      <c r="BK23" s="740"/>
      <c r="BL23" s="739"/>
      <c r="BM23" s="740"/>
      <c r="BN23" s="739"/>
      <c r="BO23" s="740"/>
      <c r="BP23" s="739"/>
      <c r="BQ23" s="740" t="s">
        <v>5</v>
      </c>
      <c r="BR23" s="739"/>
      <c r="BS23" s="740"/>
      <c r="BT23" s="739"/>
      <c r="BU23" s="740"/>
      <c r="BV23" s="739"/>
      <c r="BW23" s="740"/>
      <c r="BX23" s="739"/>
      <c r="BY23" s="740"/>
      <c r="BZ23" s="739"/>
      <c r="CA23" s="740"/>
      <c r="CB23" s="739"/>
      <c r="CC23" s="740"/>
      <c r="CD23" s="739"/>
      <c r="CE23" s="740"/>
      <c r="CF23" s="739"/>
      <c r="CG23" s="740"/>
      <c r="CH23" s="739"/>
      <c r="CI23" s="740"/>
      <c r="CJ23" s="739"/>
      <c r="CK23" s="740"/>
      <c r="CL23" s="748" t="s">
        <v>5</v>
      </c>
      <c r="CN23" s="713"/>
      <c r="CO23" s="726"/>
    </row>
    <row r="24" spans="2:93">
      <c r="B24" s="161"/>
      <c r="C24" s="26" t="s">
        <v>346</v>
      </c>
      <c r="D24" s="26"/>
      <c r="E24" s="26"/>
      <c r="F24" s="26"/>
      <c r="G24" s="26"/>
      <c r="H24" s="26"/>
      <c r="I24" s="26"/>
      <c r="J24" s="26"/>
      <c r="K24" s="26"/>
      <c r="L24" s="26"/>
      <c r="M24" s="26"/>
      <c r="N24" s="26"/>
      <c r="O24" s="26"/>
      <c r="P24" s="26"/>
      <c r="Q24" s="162"/>
      <c r="T24" s="738" t="s">
        <v>5</v>
      </c>
      <c r="U24" s="739"/>
      <c r="V24" s="740"/>
      <c r="W24" s="739" t="s">
        <v>6</v>
      </c>
      <c r="X24" s="740"/>
      <c r="Y24" s="739"/>
      <c r="Z24" s="740" t="s">
        <v>6</v>
      </c>
      <c r="AA24" s="739"/>
      <c r="AB24" s="740"/>
      <c r="AC24" s="739" t="s">
        <v>5</v>
      </c>
      <c r="AD24" s="740"/>
      <c r="AE24" s="739"/>
      <c r="AF24" s="740" t="s">
        <v>5</v>
      </c>
      <c r="AG24" s="739"/>
      <c r="AH24" s="741"/>
      <c r="AK24" s="738" t="s">
        <v>5</v>
      </c>
      <c r="AL24" s="739"/>
      <c r="AM24" s="740"/>
      <c r="AN24" s="739"/>
      <c r="AO24" s="740"/>
      <c r="AP24" s="739"/>
      <c r="AQ24" s="740"/>
      <c r="AR24" s="739"/>
      <c r="AS24" s="740"/>
      <c r="AT24" s="739"/>
      <c r="AU24" s="740"/>
      <c r="AV24" s="739"/>
      <c r="AW24" s="740"/>
      <c r="AX24" s="739"/>
      <c r="AY24" s="740"/>
      <c r="AZ24" s="739"/>
      <c r="BA24" s="740"/>
      <c r="BB24" s="739"/>
      <c r="BC24" s="740" t="s">
        <v>6</v>
      </c>
      <c r="BD24" s="739"/>
      <c r="BE24" s="740"/>
      <c r="BF24" s="739"/>
      <c r="BG24" s="740"/>
      <c r="BH24" s="739"/>
      <c r="BI24" s="740"/>
      <c r="BJ24" s="739" t="s">
        <v>6</v>
      </c>
      <c r="BK24" s="740"/>
      <c r="BL24" s="739"/>
      <c r="BM24" s="740"/>
      <c r="BN24" s="739"/>
      <c r="BO24" s="740"/>
      <c r="BP24" s="739"/>
      <c r="BQ24" s="740" t="s">
        <v>5</v>
      </c>
      <c r="BR24" s="739"/>
      <c r="BS24" s="740"/>
      <c r="BT24" s="739"/>
      <c r="BU24" s="740"/>
      <c r="BV24" s="739"/>
      <c r="BW24" s="740"/>
      <c r="BX24" s="739"/>
      <c r="BY24" s="740"/>
      <c r="BZ24" s="739"/>
      <c r="CA24" s="740"/>
      <c r="CB24" s="739"/>
      <c r="CC24" s="740"/>
      <c r="CD24" s="739"/>
      <c r="CE24" s="740"/>
      <c r="CF24" s="739"/>
      <c r="CG24" s="740"/>
      <c r="CH24" s="739"/>
      <c r="CI24" s="740"/>
      <c r="CJ24" s="739"/>
      <c r="CK24" s="740"/>
      <c r="CL24" s="748" t="s">
        <v>5</v>
      </c>
      <c r="CN24" s="713"/>
      <c r="CO24" s="726"/>
    </row>
    <row r="25" spans="2:93">
      <c r="B25" s="161"/>
      <c r="C25" s="26"/>
      <c r="D25" s="26"/>
      <c r="E25" s="26"/>
      <c r="F25" s="26"/>
      <c r="G25" s="26"/>
      <c r="H25" s="26"/>
      <c r="I25" s="26"/>
      <c r="J25" s="26"/>
      <c r="K25" s="26"/>
      <c r="L25" s="26"/>
      <c r="M25" s="26"/>
      <c r="N25" s="26"/>
      <c r="O25" s="26"/>
      <c r="P25" s="26"/>
      <c r="Q25" s="162"/>
      <c r="T25" s="738" t="s">
        <v>5</v>
      </c>
      <c r="U25" s="739"/>
      <c r="V25" s="740"/>
      <c r="W25" s="739" t="s">
        <v>6</v>
      </c>
      <c r="X25" s="740"/>
      <c r="Y25" s="739"/>
      <c r="Z25" s="740" t="s">
        <v>6</v>
      </c>
      <c r="AA25" s="739"/>
      <c r="AB25" s="740"/>
      <c r="AC25" s="739" t="s">
        <v>5</v>
      </c>
      <c r="AD25" s="740"/>
      <c r="AE25" s="739"/>
      <c r="AF25" s="740" t="s">
        <v>5</v>
      </c>
      <c r="AG25" s="739"/>
      <c r="AH25" s="741"/>
      <c r="AK25" s="738" t="s">
        <v>5</v>
      </c>
      <c r="AL25" s="739"/>
      <c r="AM25" s="740"/>
      <c r="AN25" s="739"/>
      <c r="AO25" s="740"/>
      <c r="AP25" s="739"/>
      <c r="AQ25" s="740"/>
      <c r="AR25" s="739"/>
      <c r="AS25" s="740"/>
      <c r="AT25" s="739"/>
      <c r="AU25" s="740"/>
      <c r="AV25" s="739"/>
      <c r="AW25" s="740"/>
      <c r="AX25" s="739"/>
      <c r="AY25" s="740"/>
      <c r="AZ25" s="739"/>
      <c r="BA25" s="740"/>
      <c r="BB25" s="739"/>
      <c r="BC25" s="740" t="s">
        <v>6</v>
      </c>
      <c r="BD25" s="739"/>
      <c r="BE25" s="740"/>
      <c r="BF25" s="739"/>
      <c r="BG25" s="740"/>
      <c r="BH25" s="739"/>
      <c r="BI25" s="740"/>
      <c r="BJ25" s="739" t="s">
        <v>6</v>
      </c>
      <c r="BK25" s="740"/>
      <c r="BL25" s="739"/>
      <c r="BM25" s="740"/>
      <c r="BN25" s="739"/>
      <c r="BO25" s="740"/>
      <c r="BP25" s="739"/>
      <c r="BQ25" s="740" t="s">
        <v>5</v>
      </c>
      <c r="BR25" s="739"/>
      <c r="BS25" s="740"/>
      <c r="BT25" s="739"/>
      <c r="BU25" s="740"/>
      <c r="BV25" s="739"/>
      <c r="BW25" s="740"/>
      <c r="BX25" s="739"/>
      <c r="BY25" s="740"/>
      <c r="BZ25" s="739"/>
      <c r="CA25" s="740"/>
      <c r="CB25" s="739"/>
      <c r="CC25" s="740"/>
      <c r="CD25" s="739"/>
      <c r="CE25" s="740"/>
      <c r="CF25" s="739"/>
      <c r="CG25" s="740"/>
      <c r="CH25" s="739"/>
      <c r="CI25" s="740"/>
      <c r="CJ25" s="739"/>
      <c r="CK25" s="740"/>
      <c r="CL25" s="748" t="s">
        <v>5</v>
      </c>
      <c r="CN25" s="713"/>
      <c r="CO25" s="726"/>
    </row>
    <row r="26" spans="2:93" hidden="1">
      <c r="B26" s="161"/>
      <c r="C26" s="28" t="s">
        <v>347</v>
      </c>
      <c r="D26" s="27" t="s">
        <v>137</v>
      </c>
      <c r="E26" s="28">
        <f>'Pupil_Place Numbers'!C23</f>
        <v>0</v>
      </c>
      <c r="F26" s="28">
        <f>'Pupil_Place Numbers'!D23</f>
        <v>0</v>
      </c>
      <c r="G26" s="28">
        <f>'Pupil_Place Numbers'!E23</f>
        <v>0</v>
      </c>
      <c r="H26" s="28">
        <f>'Pupil_Place Numbers'!F23</f>
        <v>0</v>
      </c>
      <c r="I26" s="28">
        <f>'Pupil_Place Numbers'!G23</f>
        <v>0</v>
      </c>
      <c r="J26" s="28">
        <f>'Pupil_Place Numbers'!H23</f>
        <v>0</v>
      </c>
      <c r="K26" s="28">
        <f>'Pupil_Place Numbers'!I23</f>
        <v>0</v>
      </c>
      <c r="L26" s="28">
        <f>'Pupil_Place Numbers'!J23</f>
        <v>0</v>
      </c>
      <c r="M26" s="28"/>
      <c r="N26" s="28"/>
      <c r="O26" s="28"/>
      <c r="P26" s="28"/>
      <c r="Q26" s="162"/>
      <c r="T26" s="738" t="s">
        <v>5</v>
      </c>
      <c r="U26" s="739"/>
      <c r="V26" s="740"/>
      <c r="W26" s="739" t="s">
        <v>6</v>
      </c>
      <c r="X26" s="740"/>
      <c r="Y26" s="739"/>
      <c r="Z26" s="740" t="s">
        <v>6</v>
      </c>
      <c r="AA26" s="739"/>
      <c r="AB26" s="740"/>
      <c r="AC26" s="739" t="s">
        <v>5</v>
      </c>
      <c r="AD26" s="740"/>
      <c r="AE26" s="739"/>
      <c r="AF26" s="740" t="s">
        <v>5</v>
      </c>
      <c r="AG26" s="739"/>
      <c r="AH26" s="741"/>
      <c r="AK26" s="738" t="s">
        <v>5</v>
      </c>
      <c r="AL26" s="739"/>
      <c r="AM26" s="740"/>
      <c r="AN26" s="739"/>
      <c r="AO26" s="740"/>
      <c r="AP26" s="739"/>
      <c r="AQ26" s="740"/>
      <c r="AR26" s="739"/>
      <c r="AS26" s="740"/>
      <c r="AT26" s="739"/>
      <c r="AU26" s="740"/>
      <c r="AV26" s="739"/>
      <c r="AW26" s="740"/>
      <c r="AX26" s="739"/>
      <c r="AY26" s="740"/>
      <c r="AZ26" s="739"/>
      <c r="BA26" s="740"/>
      <c r="BB26" s="739"/>
      <c r="BC26" s="740" t="s">
        <v>6</v>
      </c>
      <c r="BD26" s="739" t="s">
        <v>6</v>
      </c>
      <c r="BE26" s="740" t="s">
        <v>5</v>
      </c>
      <c r="BF26" s="739" t="s">
        <v>5</v>
      </c>
      <c r="BG26" s="740" t="s">
        <v>6</v>
      </c>
      <c r="BH26" s="739" t="s">
        <v>6</v>
      </c>
      <c r="BI26" s="740" t="s">
        <v>5</v>
      </c>
      <c r="BJ26" s="739" t="s">
        <v>6</v>
      </c>
      <c r="BK26" s="740" t="s">
        <v>6</v>
      </c>
      <c r="BL26" s="739" t="s">
        <v>5</v>
      </c>
      <c r="BM26" s="740" t="s">
        <v>5</v>
      </c>
      <c r="BN26" s="739" t="s">
        <v>6</v>
      </c>
      <c r="BO26" s="740" t="s">
        <v>6</v>
      </c>
      <c r="BP26" s="739" t="s">
        <v>5</v>
      </c>
      <c r="BQ26" s="740" t="s">
        <v>5</v>
      </c>
      <c r="BR26" s="739"/>
      <c r="BS26" s="740"/>
      <c r="BT26" s="739"/>
      <c r="BU26" s="740"/>
      <c r="BV26" s="739"/>
      <c r="BW26" s="740"/>
      <c r="BX26" s="739"/>
      <c r="BY26" s="740"/>
      <c r="BZ26" s="739"/>
      <c r="CA26" s="740"/>
      <c r="CB26" s="739"/>
      <c r="CC26" s="740"/>
      <c r="CD26" s="739"/>
      <c r="CE26" s="740"/>
      <c r="CF26" s="739"/>
      <c r="CG26" s="740"/>
      <c r="CH26" s="739"/>
      <c r="CI26" s="740"/>
      <c r="CJ26" s="739"/>
      <c r="CK26" s="740"/>
      <c r="CL26" s="748" t="s">
        <v>5</v>
      </c>
      <c r="CN26" s="713"/>
      <c r="CO26" s="726"/>
    </row>
    <row r="27" spans="2:93" hidden="1">
      <c r="B27" s="161"/>
      <c r="C27" s="28" t="s">
        <v>532</v>
      </c>
      <c r="D27" s="27" t="s">
        <v>137</v>
      </c>
      <c r="E27" s="28">
        <f>SUM('Pupil_Place Numbers'!C24:C28)</f>
        <v>0</v>
      </c>
      <c r="F27" s="28">
        <f>SUM('Pupil_Place Numbers'!D24:D28)</f>
        <v>0</v>
      </c>
      <c r="G27" s="28">
        <f>SUM('Pupil_Place Numbers'!E24:E28)</f>
        <v>0</v>
      </c>
      <c r="H27" s="28">
        <f>SUM('Pupil_Place Numbers'!F24:F28)</f>
        <v>0</v>
      </c>
      <c r="I27" s="28">
        <f>SUM('Pupil_Place Numbers'!G24:G28)</f>
        <v>0</v>
      </c>
      <c r="J27" s="28">
        <f>SUM('Pupil_Place Numbers'!H24:H28)</f>
        <v>0</v>
      </c>
      <c r="K27" s="28">
        <f>SUM('Pupil_Place Numbers'!I24:I28)</f>
        <v>0</v>
      </c>
      <c r="L27" s="28">
        <f>SUM('Pupil_Place Numbers'!J24:J28)</f>
        <v>0</v>
      </c>
      <c r="M27" s="28"/>
      <c r="N27" s="28"/>
      <c r="O27" s="28"/>
      <c r="P27" s="28"/>
      <c r="Q27" s="162"/>
      <c r="T27" s="738" t="s">
        <v>5</v>
      </c>
      <c r="U27" s="739"/>
      <c r="V27" s="740"/>
      <c r="W27" s="739" t="s">
        <v>6</v>
      </c>
      <c r="X27" s="740"/>
      <c r="Y27" s="739"/>
      <c r="Z27" s="740" t="s">
        <v>6</v>
      </c>
      <c r="AA27" s="739"/>
      <c r="AB27" s="740"/>
      <c r="AC27" s="739" t="s">
        <v>5</v>
      </c>
      <c r="AD27" s="740"/>
      <c r="AE27" s="739"/>
      <c r="AF27" s="740" t="s">
        <v>5</v>
      </c>
      <c r="AG27" s="739"/>
      <c r="AH27" s="741"/>
      <c r="AK27" s="738" t="s">
        <v>5</v>
      </c>
      <c r="AL27" s="739"/>
      <c r="AM27" s="740"/>
      <c r="AN27" s="739"/>
      <c r="AO27" s="740"/>
      <c r="AP27" s="739"/>
      <c r="AQ27" s="740"/>
      <c r="AR27" s="739"/>
      <c r="AS27" s="740"/>
      <c r="AT27" s="739"/>
      <c r="AU27" s="740"/>
      <c r="AV27" s="739"/>
      <c r="AW27" s="740"/>
      <c r="AX27" s="739"/>
      <c r="AY27" s="740"/>
      <c r="AZ27" s="739"/>
      <c r="BA27" s="740"/>
      <c r="BB27" s="739"/>
      <c r="BC27" s="740" t="s">
        <v>6</v>
      </c>
      <c r="BD27" s="739" t="s">
        <v>6</v>
      </c>
      <c r="BE27" s="740" t="s">
        <v>5</v>
      </c>
      <c r="BF27" s="739" t="s">
        <v>5</v>
      </c>
      <c r="BG27" s="740" t="s">
        <v>6</v>
      </c>
      <c r="BH27" s="739" t="s">
        <v>6</v>
      </c>
      <c r="BI27" s="740" t="s">
        <v>5</v>
      </c>
      <c r="BJ27" s="739" t="s">
        <v>6</v>
      </c>
      <c r="BK27" s="740" t="s">
        <v>6</v>
      </c>
      <c r="BL27" s="739" t="s">
        <v>5</v>
      </c>
      <c r="BM27" s="740" t="s">
        <v>5</v>
      </c>
      <c r="BN27" s="739" t="s">
        <v>6</v>
      </c>
      <c r="BO27" s="740" t="s">
        <v>6</v>
      </c>
      <c r="BP27" s="739" t="s">
        <v>5</v>
      </c>
      <c r="BQ27" s="740" t="s">
        <v>5</v>
      </c>
      <c r="BR27" s="739"/>
      <c r="BS27" s="740"/>
      <c r="BT27" s="739"/>
      <c r="BU27" s="740"/>
      <c r="BV27" s="739"/>
      <c r="BW27" s="740"/>
      <c r="BX27" s="739"/>
      <c r="BY27" s="740"/>
      <c r="BZ27" s="739"/>
      <c r="CA27" s="740"/>
      <c r="CB27" s="739"/>
      <c r="CC27" s="740"/>
      <c r="CD27" s="739"/>
      <c r="CE27" s="740"/>
      <c r="CF27" s="739"/>
      <c r="CG27" s="740"/>
      <c r="CH27" s="739"/>
      <c r="CI27" s="740"/>
      <c r="CJ27" s="739"/>
      <c r="CK27" s="740"/>
      <c r="CL27" s="748" t="s">
        <v>5</v>
      </c>
      <c r="CN27" s="713"/>
      <c r="CO27" s="726"/>
    </row>
    <row r="28" spans="2:93" hidden="1">
      <c r="B28" s="161"/>
      <c r="C28" s="28" t="s">
        <v>533</v>
      </c>
      <c r="D28" s="27" t="s">
        <v>137</v>
      </c>
      <c r="E28" s="28">
        <f>'Pupil_Place Numbers'!C29</f>
        <v>0</v>
      </c>
      <c r="F28" s="28">
        <f>'Pupil_Place Numbers'!D29</f>
        <v>0</v>
      </c>
      <c r="G28" s="28">
        <f>'Pupil_Place Numbers'!E29</f>
        <v>0</v>
      </c>
      <c r="H28" s="28">
        <f>'Pupil_Place Numbers'!F29</f>
        <v>0</v>
      </c>
      <c r="I28" s="28">
        <f>'Pupil_Place Numbers'!G29</f>
        <v>0</v>
      </c>
      <c r="J28" s="28">
        <f>'Pupil_Place Numbers'!H29</f>
        <v>0</v>
      </c>
      <c r="K28" s="28">
        <f>'Pupil_Place Numbers'!I29</f>
        <v>0</v>
      </c>
      <c r="L28" s="28">
        <f>'Pupil_Place Numbers'!J29</f>
        <v>0</v>
      </c>
      <c r="M28" s="28"/>
      <c r="N28" s="28"/>
      <c r="O28" s="28"/>
      <c r="P28" s="28"/>
      <c r="Q28" s="162"/>
      <c r="T28" s="738" t="s">
        <v>5</v>
      </c>
      <c r="U28" s="739"/>
      <c r="V28" s="740"/>
      <c r="W28" s="739" t="s">
        <v>6</v>
      </c>
      <c r="X28" s="740"/>
      <c r="Y28" s="739"/>
      <c r="Z28" s="740" t="s">
        <v>6</v>
      </c>
      <c r="AA28" s="739"/>
      <c r="AB28" s="740"/>
      <c r="AC28" s="739" t="s">
        <v>5</v>
      </c>
      <c r="AD28" s="740"/>
      <c r="AE28" s="739"/>
      <c r="AF28" s="740" t="s">
        <v>5</v>
      </c>
      <c r="AG28" s="739"/>
      <c r="AH28" s="741"/>
      <c r="AK28" s="738" t="s">
        <v>5</v>
      </c>
      <c r="AL28" s="739"/>
      <c r="AM28" s="740"/>
      <c r="AN28" s="739"/>
      <c r="AO28" s="740"/>
      <c r="AP28" s="739"/>
      <c r="AQ28" s="740"/>
      <c r="AR28" s="739"/>
      <c r="AS28" s="740"/>
      <c r="AT28" s="739"/>
      <c r="AU28" s="740"/>
      <c r="AV28" s="739"/>
      <c r="AW28" s="740"/>
      <c r="AX28" s="739"/>
      <c r="AY28" s="740"/>
      <c r="AZ28" s="739"/>
      <c r="BA28" s="740"/>
      <c r="BB28" s="739"/>
      <c r="BC28" s="740" t="s">
        <v>6</v>
      </c>
      <c r="BD28" s="739" t="s">
        <v>6</v>
      </c>
      <c r="BE28" s="740" t="s">
        <v>5</v>
      </c>
      <c r="BF28" s="739" t="s">
        <v>5</v>
      </c>
      <c r="BG28" s="740" t="s">
        <v>6</v>
      </c>
      <c r="BH28" s="739" t="s">
        <v>6</v>
      </c>
      <c r="BI28" s="740" t="s">
        <v>5</v>
      </c>
      <c r="BJ28" s="739" t="s">
        <v>6</v>
      </c>
      <c r="BK28" s="740" t="s">
        <v>6</v>
      </c>
      <c r="BL28" s="739" t="s">
        <v>5</v>
      </c>
      <c r="BM28" s="740" t="s">
        <v>5</v>
      </c>
      <c r="BN28" s="739" t="s">
        <v>6</v>
      </c>
      <c r="BO28" s="740" t="s">
        <v>6</v>
      </c>
      <c r="BP28" s="739" t="s">
        <v>5</v>
      </c>
      <c r="BQ28" s="740" t="s">
        <v>5</v>
      </c>
      <c r="BR28" s="739"/>
      <c r="BS28" s="740"/>
      <c r="BT28" s="739"/>
      <c r="BU28" s="740"/>
      <c r="BV28" s="739"/>
      <c r="BW28" s="740"/>
      <c r="BX28" s="739"/>
      <c r="BY28" s="740"/>
      <c r="BZ28" s="739"/>
      <c r="CA28" s="740"/>
      <c r="CB28" s="739"/>
      <c r="CC28" s="740"/>
      <c r="CD28" s="739"/>
      <c r="CE28" s="740"/>
      <c r="CF28" s="739"/>
      <c r="CG28" s="740"/>
      <c r="CH28" s="739"/>
      <c r="CI28" s="740"/>
      <c r="CJ28" s="739"/>
      <c r="CK28" s="740"/>
      <c r="CL28" s="748" t="s">
        <v>5</v>
      </c>
      <c r="CN28" s="713"/>
      <c r="CO28" s="726"/>
    </row>
    <row r="29" spans="2:93" hidden="1">
      <c r="B29" s="161"/>
      <c r="C29" s="28" t="s">
        <v>348</v>
      </c>
      <c r="D29" s="27" t="s">
        <v>137</v>
      </c>
      <c r="E29" s="28">
        <f>SUM('Pupil_Place Numbers'!C30:C32)</f>
        <v>0</v>
      </c>
      <c r="F29" s="28">
        <f>SUM('Pupil_Place Numbers'!D30:D32)</f>
        <v>0</v>
      </c>
      <c r="G29" s="28">
        <f>SUM('Pupil_Place Numbers'!E30:E32)</f>
        <v>0</v>
      </c>
      <c r="H29" s="28">
        <f>SUM('Pupil_Place Numbers'!F30:F32)</f>
        <v>0</v>
      </c>
      <c r="I29" s="28">
        <f>SUM('Pupil_Place Numbers'!G30:G32)</f>
        <v>0</v>
      </c>
      <c r="J29" s="28">
        <f>SUM('Pupil_Place Numbers'!H30:H32)</f>
        <v>0</v>
      </c>
      <c r="K29" s="28">
        <f>SUM('Pupil_Place Numbers'!I30:I32)</f>
        <v>0</v>
      </c>
      <c r="L29" s="28">
        <f>SUM('Pupil_Place Numbers'!J30:J32)</f>
        <v>0</v>
      </c>
      <c r="M29" s="28"/>
      <c r="N29" s="28"/>
      <c r="O29" s="28"/>
      <c r="P29" s="28"/>
      <c r="Q29" s="162"/>
      <c r="T29" s="738" t="s">
        <v>5</v>
      </c>
      <c r="U29" s="739"/>
      <c r="V29" s="740"/>
      <c r="W29" s="739" t="s">
        <v>6</v>
      </c>
      <c r="X29" s="740"/>
      <c r="Y29" s="739"/>
      <c r="Z29" s="740" t="s">
        <v>6</v>
      </c>
      <c r="AA29" s="739"/>
      <c r="AB29" s="740"/>
      <c r="AC29" s="739" t="s">
        <v>5</v>
      </c>
      <c r="AD29" s="740"/>
      <c r="AE29" s="739"/>
      <c r="AF29" s="740" t="s">
        <v>5</v>
      </c>
      <c r="AG29" s="739"/>
      <c r="AH29" s="741"/>
      <c r="AK29" s="738" t="s">
        <v>5</v>
      </c>
      <c r="AL29" s="739"/>
      <c r="AM29" s="740"/>
      <c r="AN29" s="739"/>
      <c r="AO29" s="740"/>
      <c r="AP29" s="739"/>
      <c r="AQ29" s="740"/>
      <c r="AR29" s="739"/>
      <c r="AS29" s="740"/>
      <c r="AT29" s="739"/>
      <c r="AU29" s="740"/>
      <c r="AV29" s="739"/>
      <c r="AW29" s="740"/>
      <c r="AX29" s="739"/>
      <c r="AY29" s="740"/>
      <c r="AZ29" s="739"/>
      <c r="BA29" s="740"/>
      <c r="BB29" s="739"/>
      <c r="BC29" s="740" t="s">
        <v>6</v>
      </c>
      <c r="BD29" s="739" t="s">
        <v>5</v>
      </c>
      <c r="BE29" s="740" t="s">
        <v>6</v>
      </c>
      <c r="BF29" s="739" t="s">
        <v>6</v>
      </c>
      <c r="BG29" s="740" t="s">
        <v>6</v>
      </c>
      <c r="BH29" s="739" t="s">
        <v>6</v>
      </c>
      <c r="BI29" s="740" t="s">
        <v>5</v>
      </c>
      <c r="BJ29" s="739" t="s">
        <v>6</v>
      </c>
      <c r="BK29" s="740" t="s">
        <v>5</v>
      </c>
      <c r="BL29" s="739" t="s">
        <v>6</v>
      </c>
      <c r="BM29" s="740" t="s">
        <v>6</v>
      </c>
      <c r="BN29" s="739" t="s">
        <v>6</v>
      </c>
      <c r="BO29" s="740" t="s">
        <v>6</v>
      </c>
      <c r="BP29" s="739" t="s">
        <v>5</v>
      </c>
      <c r="BQ29" s="740" t="s">
        <v>5</v>
      </c>
      <c r="BR29" s="739"/>
      <c r="BS29" s="740"/>
      <c r="BT29" s="739"/>
      <c r="BU29" s="740"/>
      <c r="BV29" s="739"/>
      <c r="BW29" s="740"/>
      <c r="BX29" s="739"/>
      <c r="BY29" s="740"/>
      <c r="BZ29" s="739"/>
      <c r="CA29" s="740"/>
      <c r="CB29" s="739"/>
      <c r="CC29" s="740"/>
      <c r="CD29" s="739"/>
      <c r="CE29" s="740"/>
      <c r="CF29" s="739"/>
      <c r="CG29" s="740"/>
      <c r="CH29" s="739"/>
      <c r="CI29" s="740"/>
      <c r="CJ29" s="739"/>
      <c r="CK29" s="740"/>
      <c r="CL29" s="748" t="s">
        <v>5</v>
      </c>
      <c r="CN29" s="713"/>
      <c r="CO29" s="726"/>
    </row>
    <row r="30" spans="2:93" hidden="1">
      <c r="B30" s="161"/>
      <c r="C30" s="28" t="s">
        <v>349</v>
      </c>
      <c r="D30" s="27" t="s">
        <v>137</v>
      </c>
      <c r="E30" s="28">
        <f>SUM('Pupil_Place Numbers'!C33:C34)</f>
        <v>0</v>
      </c>
      <c r="F30" s="28">
        <f>SUM('Pupil_Place Numbers'!D33:D34)</f>
        <v>0</v>
      </c>
      <c r="G30" s="28">
        <f>SUM('Pupil_Place Numbers'!E33:E34)</f>
        <v>0</v>
      </c>
      <c r="H30" s="28">
        <f>SUM('Pupil_Place Numbers'!F33:F34)</f>
        <v>0</v>
      </c>
      <c r="I30" s="28">
        <f>SUM('Pupil_Place Numbers'!G33:G34)</f>
        <v>0</v>
      </c>
      <c r="J30" s="28">
        <f>SUM('Pupil_Place Numbers'!H33:H34)</f>
        <v>0</v>
      </c>
      <c r="K30" s="28">
        <f>SUM('Pupil_Place Numbers'!I33:I34)</f>
        <v>0</v>
      </c>
      <c r="L30" s="28">
        <f>SUM('Pupil_Place Numbers'!J33:J34)</f>
        <v>0</v>
      </c>
      <c r="M30" s="28"/>
      <c r="N30" s="28"/>
      <c r="O30" s="28"/>
      <c r="P30" s="28"/>
      <c r="Q30" s="162"/>
      <c r="T30" s="738" t="s">
        <v>5</v>
      </c>
      <c r="U30" s="739"/>
      <c r="V30" s="740"/>
      <c r="W30" s="739" t="s">
        <v>6</v>
      </c>
      <c r="X30" s="740"/>
      <c r="Y30" s="739"/>
      <c r="Z30" s="740" t="s">
        <v>6</v>
      </c>
      <c r="AA30" s="739"/>
      <c r="AB30" s="740"/>
      <c r="AC30" s="739" t="s">
        <v>5</v>
      </c>
      <c r="AD30" s="740"/>
      <c r="AE30" s="739"/>
      <c r="AF30" s="740" t="s">
        <v>5</v>
      </c>
      <c r="AG30" s="739"/>
      <c r="AH30" s="741"/>
      <c r="AK30" s="738" t="s">
        <v>5</v>
      </c>
      <c r="AL30" s="739"/>
      <c r="AM30" s="740"/>
      <c r="AN30" s="739"/>
      <c r="AO30" s="740"/>
      <c r="AP30" s="739"/>
      <c r="AQ30" s="740"/>
      <c r="AR30" s="739"/>
      <c r="AS30" s="740"/>
      <c r="AT30" s="739"/>
      <c r="AU30" s="740"/>
      <c r="AV30" s="739"/>
      <c r="AW30" s="740"/>
      <c r="AX30" s="739"/>
      <c r="AY30" s="740"/>
      <c r="AZ30" s="739"/>
      <c r="BA30" s="740"/>
      <c r="BB30" s="739"/>
      <c r="BC30" s="740" t="s">
        <v>6</v>
      </c>
      <c r="BD30" s="739" t="s">
        <v>5</v>
      </c>
      <c r="BE30" s="740" t="s">
        <v>6</v>
      </c>
      <c r="BF30" s="739" t="s">
        <v>6</v>
      </c>
      <c r="BG30" s="740" t="s">
        <v>6</v>
      </c>
      <c r="BH30" s="739" t="s">
        <v>6</v>
      </c>
      <c r="BI30" s="740" t="s">
        <v>5</v>
      </c>
      <c r="BJ30" s="739" t="s">
        <v>6</v>
      </c>
      <c r="BK30" s="740" t="s">
        <v>5</v>
      </c>
      <c r="BL30" s="739" t="s">
        <v>6</v>
      </c>
      <c r="BM30" s="740" t="s">
        <v>6</v>
      </c>
      <c r="BN30" s="739" t="s">
        <v>6</v>
      </c>
      <c r="BO30" s="740" t="s">
        <v>6</v>
      </c>
      <c r="BP30" s="739" t="s">
        <v>5</v>
      </c>
      <c r="BQ30" s="740" t="s">
        <v>5</v>
      </c>
      <c r="BR30" s="739"/>
      <c r="BS30" s="740"/>
      <c r="BT30" s="739"/>
      <c r="BU30" s="740"/>
      <c r="BV30" s="739"/>
      <c r="BW30" s="740"/>
      <c r="BX30" s="739"/>
      <c r="BY30" s="740"/>
      <c r="BZ30" s="739"/>
      <c r="CA30" s="740"/>
      <c r="CB30" s="739"/>
      <c r="CC30" s="740"/>
      <c r="CD30" s="739"/>
      <c r="CE30" s="740"/>
      <c r="CF30" s="739"/>
      <c r="CG30" s="740"/>
      <c r="CH30" s="739"/>
      <c r="CI30" s="740"/>
      <c r="CJ30" s="739"/>
      <c r="CK30" s="740"/>
      <c r="CL30" s="748" t="s">
        <v>5</v>
      </c>
      <c r="CN30" s="713"/>
      <c r="CO30" s="726"/>
    </row>
    <row r="31" spans="2:93" hidden="1">
      <c r="B31" s="161"/>
      <c r="C31" s="28" t="s">
        <v>350</v>
      </c>
      <c r="D31" s="27" t="s">
        <v>137</v>
      </c>
      <c r="E31" s="28">
        <f>'Pupil_Place Numbers'!C30</f>
        <v>0</v>
      </c>
      <c r="F31" s="28">
        <f>'Pupil_Place Numbers'!D30</f>
        <v>0</v>
      </c>
      <c r="G31" s="28">
        <f>'Pupil_Place Numbers'!E30</f>
        <v>0</v>
      </c>
      <c r="H31" s="28">
        <f>'Pupil_Place Numbers'!F30</f>
        <v>0</v>
      </c>
      <c r="I31" s="28">
        <f>'Pupil_Place Numbers'!G30</f>
        <v>0</v>
      </c>
      <c r="J31" s="28">
        <f>'Pupil_Place Numbers'!H30</f>
        <v>0</v>
      </c>
      <c r="K31" s="28">
        <f>'Pupil_Place Numbers'!I30</f>
        <v>0</v>
      </c>
      <c r="L31" s="28">
        <f>'Pupil_Place Numbers'!J30</f>
        <v>0</v>
      </c>
      <c r="M31" s="28"/>
      <c r="N31" s="28"/>
      <c r="O31" s="28"/>
      <c r="P31" s="28"/>
      <c r="Q31" s="162"/>
      <c r="T31" s="738" t="s">
        <v>5</v>
      </c>
      <c r="U31" s="739"/>
      <c r="V31" s="740"/>
      <c r="W31" s="739" t="s">
        <v>5</v>
      </c>
      <c r="X31" s="740"/>
      <c r="Y31" s="739"/>
      <c r="Z31" s="740" t="s">
        <v>5</v>
      </c>
      <c r="AA31" s="739"/>
      <c r="AB31" s="740"/>
      <c r="AC31" s="739" t="s">
        <v>5</v>
      </c>
      <c r="AD31" s="740"/>
      <c r="AE31" s="739"/>
      <c r="AF31" s="740" t="s">
        <v>5</v>
      </c>
      <c r="AG31" s="739"/>
      <c r="AH31" s="741"/>
      <c r="AK31" s="738" t="s">
        <v>5</v>
      </c>
      <c r="AL31" s="739"/>
      <c r="AM31" s="740"/>
      <c r="AN31" s="739"/>
      <c r="AO31" s="740"/>
      <c r="AP31" s="739"/>
      <c r="AQ31" s="740"/>
      <c r="AR31" s="739"/>
      <c r="AS31" s="740"/>
      <c r="AT31" s="739"/>
      <c r="AU31" s="740"/>
      <c r="AV31" s="739"/>
      <c r="AW31" s="740"/>
      <c r="AX31" s="739"/>
      <c r="AY31" s="740"/>
      <c r="AZ31" s="739"/>
      <c r="BA31" s="740"/>
      <c r="BB31" s="739"/>
      <c r="BC31" s="740" t="s">
        <v>5</v>
      </c>
      <c r="BD31" s="739" t="s">
        <v>5</v>
      </c>
      <c r="BE31" s="740" t="s">
        <v>5</v>
      </c>
      <c r="BF31" s="739" t="s">
        <v>5</v>
      </c>
      <c r="BG31" s="740" t="s">
        <v>5</v>
      </c>
      <c r="BH31" s="739" t="s">
        <v>5</v>
      </c>
      <c r="BI31" s="740" t="s">
        <v>5</v>
      </c>
      <c r="BJ31" s="739" t="s">
        <v>5</v>
      </c>
      <c r="BK31" s="740" t="s">
        <v>5</v>
      </c>
      <c r="BL31" s="739" t="s">
        <v>5</v>
      </c>
      <c r="BM31" s="740" t="s">
        <v>5</v>
      </c>
      <c r="BN31" s="739" t="s">
        <v>5</v>
      </c>
      <c r="BO31" s="740" t="s">
        <v>5</v>
      </c>
      <c r="BP31" s="739" t="s">
        <v>5</v>
      </c>
      <c r="BQ31" s="740" t="s">
        <v>5</v>
      </c>
      <c r="BR31" s="739"/>
      <c r="BS31" s="740"/>
      <c r="BT31" s="739"/>
      <c r="BU31" s="740"/>
      <c r="BV31" s="739"/>
      <c r="BW31" s="740"/>
      <c r="BX31" s="739"/>
      <c r="BY31" s="740"/>
      <c r="BZ31" s="739"/>
      <c r="CA31" s="740"/>
      <c r="CB31" s="739"/>
      <c r="CC31" s="740"/>
      <c r="CD31" s="739"/>
      <c r="CE31" s="740"/>
      <c r="CF31" s="739"/>
      <c r="CG31" s="740"/>
      <c r="CH31" s="739"/>
      <c r="CI31" s="740"/>
      <c r="CJ31" s="739"/>
      <c r="CK31" s="740"/>
      <c r="CL31" s="748" t="s">
        <v>5</v>
      </c>
      <c r="CN31" s="713"/>
      <c r="CO31" s="726"/>
    </row>
    <row r="32" spans="2:93" hidden="1">
      <c r="B32" s="161"/>
      <c r="C32" s="28" t="s">
        <v>534</v>
      </c>
      <c r="D32" s="27" t="s">
        <v>137</v>
      </c>
      <c r="E32" s="28">
        <f>'Pupil_Place Numbers'!C31</f>
        <v>0</v>
      </c>
      <c r="F32" s="28">
        <f>'Pupil_Place Numbers'!D31</f>
        <v>0</v>
      </c>
      <c r="G32" s="28">
        <f>'Pupil_Place Numbers'!E31</f>
        <v>0</v>
      </c>
      <c r="H32" s="28">
        <f>'Pupil_Place Numbers'!F31</f>
        <v>0</v>
      </c>
      <c r="I32" s="28">
        <f>'Pupil_Place Numbers'!G31</f>
        <v>0</v>
      </c>
      <c r="J32" s="28">
        <f>'Pupil_Place Numbers'!H31</f>
        <v>0</v>
      </c>
      <c r="K32" s="28">
        <f>'Pupil_Place Numbers'!I31</f>
        <v>0</v>
      </c>
      <c r="L32" s="28">
        <f>'Pupil_Place Numbers'!J31</f>
        <v>0</v>
      </c>
      <c r="M32" s="28"/>
      <c r="N32" s="28"/>
      <c r="O32" s="28"/>
      <c r="P32" s="28"/>
      <c r="Q32" s="162"/>
      <c r="T32" s="738" t="s">
        <v>5</v>
      </c>
      <c r="U32" s="739"/>
      <c r="V32" s="740"/>
      <c r="W32" s="739" t="s">
        <v>5</v>
      </c>
      <c r="X32" s="740"/>
      <c r="Y32" s="739"/>
      <c r="Z32" s="740" t="s">
        <v>5</v>
      </c>
      <c r="AA32" s="739"/>
      <c r="AB32" s="740"/>
      <c r="AC32" s="739" t="s">
        <v>5</v>
      </c>
      <c r="AD32" s="740"/>
      <c r="AE32" s="739"/>
      <c r="AF32" s="740" t="s">
        <v>5</v>
      </c>
      <c r="AG32" s="739"/>
      <c r="AH32" s="741"/>
      <c r="AK32" s="738" t="s">
        <v>5</v>
      </c>
      <c r="AL32" s="739"/>
      <c r="AM32" s="740"/>
      <c r="AN32" s="739"/>
      <c r="AO32" s="740"/>
      <c r="AP32" s="739"/>
      <c r="AQ32" s="740"/>
      <c r="AR32" s="739"/>
      <c r="AS32" s="740"/>
      <c r="AT32" s="739"/>
      <c r="AU32" s="740"/>
      <c r="AV32" s="739"/>
      <c r="AW32" s="740"/>
      <c r="AX32" s="739"/>
      <c r="AY32" s="740"/>
      <c r="AZ32" s="739"/>
      <c r="BA32" s="740"/>
      <c r="BB32" s="739"/>
      <c r="BC32" s="740" t="s">
        <v>5</v>
      </c>
      <c r="BD32" s="739" t="s">
        <v>5</v>
      </c>
      <c r="BE32" s="740" t="s">
        <v>5</v>
      </c>
      <c r="BF32" s="739" t="s">
        <v>5</v>
      </c>
      <c r="BG32" s="740" t="s">
        <v>5</v>
      </c>
      <c r="BH32" s="739" t="s">
        <v>5</v>
      </c>
      <c r="BI32" s="740" t="s">
        <v>5</v>
      </c>
      <c r="BJ32" s="739" t="s">
        <v>5</v>
      </c>
      <c r="BK32" s="740" t="s">
        <v>5</v>
      </c>
      <c r="BL32" s="739" t="s">
        <v>5</v>
      </c>
      <c r="BM32" s="740" t="s">
        <v>5</v>
      </c>
      <c r="BN32" s="739" t="s">
        <v>5</v>
      </c>
      <c r="BO32" s="740" t="s">
        <v>5</v>
      </c>
      <c r="BP32" s="739" t="s">
        <v>5</v>
      </c>
      <c r="BQ32" s="740" t="s">
        <v>5</v>
      </c>
      <c r="BR32" s="739"/>
      <c r="BS32" s="740"/>
      <c r="BT32" s="739"/>
      <c r="BU32" s="740"/>
      <c r="BV32" s="739"/>
      <c r="BW32" s="740"/>
      <c r="BX32" s="739"/>
      <c r="BY32" s="740"/>
      <c r="BZ32" s="739"/>
      <c r="CA32" s="740"/>
      <c r="CB32" s="739"/>
      <c r="CC32" s="740"/>
      <c r="CD32" s="739"/>
      <c r="CE32" s="740"/>
      <c r="CF32" s="739"/>
      <c r="CG32" s="740"/>
      <c r="CH32" s="739"/>
      <c r="CI32" s="740"/>
      <c r="CJ32" s="739"/>
      <c r="CK32" s="740"/>
      <c r="CL32" s="748" t="s">
        <v>5</v>
      </c>
      <c r="CN32" s="713"/>
      <c r="CO32" s="726"/>
    </row>
    <row r="33" spans="2:93" hidden="1">
      <c r="B33" s="161"/>
      <c r="C33" s="28" t="s">
        <v>535</v>
      </c>
      <c r="D33" s="27" t="s">
        <v>137</v>
      </c>
      <c r="E33" s="28">
        <f>SUM('Pupil_Place Numbers'!C32:C34)</f>
        <v>0</v>
      </c>
      <c r="F33" s="28">
        <f>SUM('Pupil_Place Numbers'!D32:D34)</f>
        <v>0</v>
      </c>
      <c r="G33" s="28">
        <f>SUM('Pupil_Place Numbers'!E32:E34)</f>
        <v>0</v>
      </c>
      <c r="H33" s="28">
        <f>SUM('Pupil_Place Numbers'!F32:F34)</f>
        <v>0</v>
      </c>
      <c r="I33" s="28">
        <f>SUM('Pupil_Place Numbers'!G32:G34)</f>
        <v>0</v>
      </c>
      <c r="J33" s="28">
        <f>SUM('Pupil_Place Numbers'!H32:H34)</f>
        <v>0</v>
      </c>
      <c r="K33" s="28">
        <f>SUM('Pupil_Place Numbers'!I32:I34)</f>
        <v>0</v>
      </c>
      <c r="L33" s="28">
        <f>SUM('Pupil_Place Numbers'!J32:J34)</f>
        <v>0</v>
      </c>
      <c r="M33" s="28"/>
      <c r="N33" s="28"/>
      <c r="O33" s="28"/>
      <c r="P33" s="28"/>
      <c r="Q33" s="162"/>
      <c r="T33" s="738" t="s">
        <v>5</v>
      </c>
      <c r="U33" s="739"/>
      <c r="V33" s="740"/>
      <c r="W33" s="739" t="s">
        <v>5</v>
      </c>
      <c r="X33" s="740"/>
      <c r="Y33" s="739"/>
      <c r="Z33" s="740" t="s">
        <v>5</v>
      </c>
      <c r="AA33" s="739"/>
      <c r="AB33" s="740"/>
      <c r="AC33" s="739" t="s">
        <v>5</v>
      </c>
      <c r="AD33" s="740"/>
      <c r="AE33" s="739"/>
      <c r="AF33" s="740" t="s">
        <v>5</v>
      </c>
      <c r="AG33" s="739"/>
      <c r="AH33" s="741"/>
      <c r="AK33" s="738" t="s">
        <v>5</v>
      </c>
      <c r="AL33" s="739"/>
      <c r="AM33" s="740"/>
      <c r="AN33" s="739"/>
      <c r="AO33" s="740"/>
      <c r="AP33" s="739"/>
      <c r="AQ33" s="740"/>
      <c r="AR33" s="739"/>
      <c r="AS33" s="740"/>
      <c r="AT33" s="739"/>
      <c r="AU33" s="740"/>
      <c r="AV33" s="739"/>
      <c r="AW33" s="740"/>
      <c r="AX33" s="739"/>
      <c r="AY33" s="740"/>
      <c r="AZ33" s="739"/>
      <c r="BA33" s="740"/>
      <c r="BB33" s="739"/>
      <c r="BC33" s="740" t="s">
        <v>5</v>
      </c>
      <c r="BD33" s="739" t="s">
        <v>5</v>
      </c>
      <c r="BE33" s="740" t="s">
        <v>5</v>
      </c>
      <c r="BF33" s="739" t="s">
        <v>5</v>
      </c>
      <c r="BG33" s="740" t="s">
        <v>5</v>
      </c>
      <c r="BH33" s="739" t="s">
        <v>5</v>
      </c>
      <c r="BI33" s="740" t="s">
        <v>5</v>
      </c>
      <c r="BJ33" s="739" t="s">
        <v>5</v>
      </c>
      <c r="BK33" s="740" t="s">
        <v>5</v>
      </c>
      <c r="BL33" s="739" t="s">
        <v>5</v>
      </c>
      <c r="BM33" s="740" t="s">
        <v>5</v>
      </c>
      <c r="BN33" s="739" t="s">
        <v>5</v>
      </c>
      <c r="BO33" s="740" t="s">
        <v>5</v>
      </c>
      <c r="BP33" s="739" t="s">
        <v>5</v>
      </c>
      <c r="BQ33" s="740" t="s">
        <v>5</v>
      </c>
      <c r="BR33" s="739"/>
      <c r="BS33" s="740"/>
      <c r="BT33" s="739"/>
      <c r="BU33" s="740"/>
      <c r="BV33" s="739"/>
      <c r="BW33" s="740"/>
      <c r="BX33" s="739"/>
      <c r="BY33" s="740"/>
      <c r="BZ33" s="739"/>
      <c r="CA33" s="740"/>
      <c r="CB33" s="739"/>
      <c r="CC33" s="740"/>
      <c r="CD33" s="739"/>
      <c r="CE33" s="740"/>
      <c r="CF33" s="739"/>
      <c r="CG33" s="740"/>
      <c r="CH33" s="739"/>
      <c r="CI33" s="740"/>
      <c r="CJ33" s="739"/>
      <c r="CK33" s="740"/>
      <c r="CL33" s="748" t="s">
        <v>5</v>
      </c>
      <c r="CN33" s="713"/>
      <c r="CO33" s="726"/>
    </row>
    <row r="34" spans="2:93">
      <c r="B34" s="161"/>
      <c r="C34" s="28" t="s">
        <v>358</v>
      </c>
      <c r="D34" s="27" t="s">
        <v>137</v>
      </c>
      <c r="E34" s="28">
        <f>SUM('Pupil_Place Numbers'!C35:C36)</f>
        <v>0</v>
      </c>
      <c r="F34" s="28">
        <f>SUM('Pupil_Place Numbers'!D35:D36)</f>
        <v>0</v>
      </c>
      <c r="G34" s="28">
        <f>SUM('Pupil_Place Numbers'!E35:E36)</f>
        <v>0</v>
      </c>
      <c r="H34" s="28">
        <f>SUM('Pupil_Place Numbers'!F35:F36)</f>
        <v>0</v>
      </c>
      <c r="I34" s="28">
        <f>SUM('Pupil_Place Numbers'!G35:G36)</f>
        <v>0</v>
      </c>
      <c r="J34" s="28">
        <f>SUM('Pupil_Place Numbers'!H35:H36)</f>
        <v>0</v>
      </c>
      <c r="K34" s="28">
        <f>SUM('Pupil_Place Numbers'!I35:I36)</f>
        <v>0</v>
      </c>
      <c r="L34" s="28">
        <f>SUM('Pupil_Place Numbers'!J35:J36)</f>
        <v>0</v>
      </c>
      <c r="M34" s="28"/>
      <c r="N34" s="28"/>
      <c r="O34" s="28"/>
      <c r="P34" s="28"/>
      <c r="Q34" s="162"/>
      <c r="T34" s="738" t="s">
        <v>5</v>
      </c>
      <c r="U34" s="739"/>
      <c r="V34" s="740"/>
      <c r="W34" s="739" t="s">
        <v>6</v>
      </c>
      <c r="X34" s="740"/>
      <c r="Y34" s="739"/>
      <c r="Z34" s="740" t="s">
        <v>6</v>
      </c>
      <c r="AA34" s="739"/>
      <c r="AB34" s="740"/>
      <c r="AC34" s="739" t="s">
        <v>5</v>
      </c>
      <c r="AD34" s="740"/>
      <c r="AE34" s="739"/>
      <c r="AF34" s="740" t="s">
        <v>5</v>
      </c>
      <c r="AG34" s="739"/>
      <c r="AH34" s="741"/>
      <c r="AK34" s="738" t="s">
        <v>5</v>
      </c>
      <c r="AL34" s="739"/>
      <c r="AM34" s="740"/>
      <c r="AN34" s="739"/>
      <c r="AO34" s="740"/>
      <c r="AP34" s="739"/>
      <c r="AQ34" s="740"/>
      <c r="AR34" s="739"/>
      <c r="AS34" s="740"/>
      <c r="AT34" s="739"/>
      <c r="AU34" s="740"/>
      <c r="AV34" s="739"/>
      <c r="AW34" s="740"/>
      <c r="AX34" s="739"/>
      <c r="AY34" s="740"/>
      <c r="AZ34" s="739"/>
      <c r="BA34" s="740"/>
      <c r="BB34" s="739"/>
      <c r="BC34" s="740" t="s">
        <v>6</v>
      </c>
      <c r="BD34" s="739" t="s">
        <v>5</v>
      </c>
      <c r="BE34" s="740" t="s">
        <v>5</v>
      </c>
      <c r="BF34" s="739" t="s">
        <v>6</v>
      </c>
      <c r="BG34" s="740" t="s">
        <v>5</v>
      </c>
      <c r="BH34" s="739" t="s">
        <v>6</v>
      </c>
      <c r="BI34" s="740" t="s">
        <v>6</v>
      </c>
      <c r="BJ34" s="739" t="s">
        <v>6</v>
      </c>
      <c r="BK34" s="740" t="s">
        <v>5</v>
      </c>
      <c r="BL34" s="739" t="s">
        <v>5</v>
      </c>
      <c r="BM34" s="740" t="s">
        <v>6</v>
      </c>
      <c r="BN34" s="739" t="s">
        <v>5</v>
      </c>
      <c r="BO34" s="740" t="s">
        <v>6</v>
      </c>
      <c r="BP34" s="739" t="s">
        <v>6</v>
      </c>
      <c r="BQ34" s="740" t="s">
        <v>5</v>
      </c>
      <c r="BR34" s="739"/>
      <c r="BS34" s="740"/>
      <c r="BT34" s="739"/>
      <c r="BU34" s="740"/>
      <c r="BV34" s="739"/>
      <c r="BW34" s="740"/>
      <c r="BX34" s="739"/>
      <c r="BY34" s="740"/>
      <c r="BZ34" s="739"/>
      <c r="CA34" s="740"/>
      <c r="CB34" s="739"/>
      <c r="CC34" s="740"/>
      <c r="CD34" s="739"/>
      <c r="CE34" s="740"/>
      <c r="CF34" s="739"/>
      <c r="CG34" s="740"/>
      <c r="CH34" s="739"/>
      <c r="CI34" s="740"/>
      <c r="CJ34" s="739"/>
      <c r="CK34" s="740"/>
      <c r="CL34" s="748" t="s">
        <v>5</v>
      </c>
      <c r="CN34" s="713"/>
      <c r="CO34" s="726"/>
    </row>
    <row r="35" spans="2:93" hidden="1">
      <c r="B35" s="161"/>
      <c r="C35" s="28" t="s">
        <v>351</v>
      </c>
      <c r="D35" s="27" t="s">
        <v>137</v>
      </c>
      <c r="E35" s="28">
        <f>COUNTIF('Pupil_Place Numbers'!C23:C34,"&gt;0")</f>
        <v>0</v>
      </c>
      <c r="F35" s="28">
        <f>COUNTIF('Pupil_Place Numbers'!D23:D34,"&gt;0")</f>
        <v>0</v>
      </c>
      <c r="G35" s="28">
        <f>COUNTIF('Pupil_Place Numbers'!E23:E34,"&gt;0")</f>
        <v>0</v>
      </c>
      <c r="H35" s="28">
        <f>COUNTIF('Pupil_Place Numbers'!F23:F34,"&gt;0")</f>
        <v>0</v>
      </c>
      <c r="I35" s="28">
        <f>COUNTIF('Pupil_Place Numbers'!G23:G34,"&gt;0")</f>
        <v>0</v>
      </c>
      <c r="J35" s="28">
        <f>COUNTIF('Pupil_Place Numbers'!H23:H34,"&gt;0")</f>
        <v>0</v>
      </c>
      <c r="K35" s="28">
        <f>COUNTIF('Pupil_Place Numbers'!I23:I34,"&gt;0")</f>
        <v>0</v>
      </c>
      <c r="L35" s="28">
        <f>COUNTIF('Pupil_Place Numbers'!J23:J34,"&gt;0")</f>
        <v>0</v>
      </c>
      <c r="M35" s="28"/>
      <c r="N35" s="28"/>
      <c r="O35" s="28"/>
      <c r="P35" s="28"/>
      <c r="Q35" s="162"/>
      <c r="T35" s="738" t="s">
        <v>5</v>
      </c>
      <c r="U35" s="739"/>
      <c r="V35" s="740"/>
      <c r="W35" s="739" t="s">
        <v>6</v>
      </c>
      <c r="X35" s="740"/>
      <c r="Y35" s="739"/>
      <c r="Z35" s="740" t="s">
        <v>6</v>
      </c>
      <c r="AA35" s="739"/>
      <c r="AB35" s="740"/>
      <c r="AC35" s="739" t="s">
        <v>5</v>
      </c>
      <c r="AD35" s="740"/>
      <c r="AE35" s="739"/>
      <c r="AF35" s="740" t="s">
        <v>5</v>
      </c>
      <c r="AG35" s="739"/>
      <c r="AH35" s="741"/>
      <c r="AK35" s="738" t="s">
        <v>5</v>
      </c>
      <c r="AL35" s="739"/>
      <c r="AM35" s="740"/>
      <c r="AN35" s="739"/>
      <c r="AO35" s="740"/>
      <c r="AP35" s="739"/>
      <c r="AQ35" s="740"/>
      <c r="AR35" s="739"/>
      <c r="AS35" s="740"/>
      <c r="AT35" s="739"/>
      <c r="AU35" s="740"/>
      <c r="AV35" s="739"/>
      <c r="AW35" s="740"/>
      <c r="AX35" s="739"/>
      <c r="AY35" s="740"/>
      <c r="AZ35" s="739"/>
      <c r="BA35" s="740"/>
      <c r="BB35" s="739"/>
      <c r="BC35" s="740" t="s">
        <v>6</v>
      </c>
      <c r="BD35" s="739" t="s">
        <v>6</v>
      </c>
      <c r="BE35" s="740" t="s">
        <v>6</v>
      </c>
      <c r="BF35" s="739" t="s">
        <v>6</v>
      </c>
      <c r="BG35" s="740" t="s">
        <v>6</v>
      </c>
      <c r="BH35" s="739" t="s">
        <v>6</v>
      </c>
      <c r="BI35" s="740" t="s">
        <v>5</v>
      </c>
      <c r="BJ35" s="739" t="s">
        <v>6</v>
      </c>
      <c r="BK35" s="740" t="s">
        <v>6</v>
      </c>
      <c r="BL35" s="739" t="s">
        <v>6</v>
      </c>
      <c r="BM35" s="740" t="s">
        <v>6</v>
      </c>
      <c r="BN35" s="739" t="s">
        <v>6</v>
      </c>
      <c r="BO35" s="740" t="s">
        <v>6</v>
      </c>
      <c r="BP35" s="739" t="s">
        <v>5</v>
      </c>
      <c r="BQ35" s="740" t="s">
        <v>5</v>
      </c>
      <c r="BR35" s="739"/>
      <c r="BS35" s="740"/>
      <c r="BT35" s="739"/>
      <c r="BU35" s="740"/>
      <c r="BV35" s="739"/>
      <c r="BW35" s="740"/>
      <c r="BX35" s="739"/>
      <c r="BY35" s="740"/>
      <c r="BZ35" s="739"/>
      <c r="CA35" s="740"/>
      <c r="CB35" s="739"/>
      <c r="CC35" s="740"/>
      <c r="CD35" s="739"/>
      <c r="CE35" s="740"/>
      <c r="CF35" s="739"/>
      <c r="CG35" s="740"/>
      <c r="CH35" s="739"/>
      <c r="CI35" s="740"/>
      <c r="CJ35" s="739"/>
      <c r="CK35" s="740"/>
      <c r="CL35" s="748" t="s">
        <v>5</v>
      </c>
      <c r="CN35" s="713"/>
      <c r="CO35" s="726"/>
    </row>
    <row r="36" spans="2:93">
      <c r="B36" s="161"/>
      <c r="C36" s="28"/>
      <c r="D36" s="28"/>
      <c r="E36" s="28"/>
      <c r="F36" s="28"/>
      <c r="G36" s="28"/>
      <c r="H36" s="28"/>
      <c r="I36" s="28"/>
      <c r="J36" s="28"/>
      <c r="K36" s="28"/>
      <c r="L36" s="28"/>
      <c r="M36" s="28"/>
      <c r="N36" s="28"/>
      <c r="O36" s="28"/>
      <c r="P36" s="28"/>
      <c r="Q36" s="162"/>
      <c r="T36" s="738" t="s">
        <v>5</v>
      </c>
      <c r="U36" s="739"/>
      <c r="V36" s="740"/>
      <c r="W36" s="739" t="s">
        <v>6</v>
      </c>
      <c r="X36" s="740"/>
      <c r="Y36" s="739"/>
      <c r="Z36" s="740" t="s">
        <v>6</v>
      </c>
      <c r="AA36" s="739"/>
      <c r="AB36" s="740"/>
      <c r="AC36" s="739" t="s">
        <v>5</v>
      </c>
      <c r="AD36" s="740"/>
      <c r="AE36" s="739"/>
      <c r="AF36" s="740" t="s">
        <v>5</v>
      </c>
      <c r="AG36" s="739"/>
      <c r="AH36" s="741"/>
      <c r="AK36" s="738" t="s">
        <v>5</v>
      </c>
      <c r="AL36" s="739"/>
      <c r="AM36" s="740"/>
      <c r="AN36" s="739"/>
      <c r="AO36" s="740"/>
      <c r="AP36" s="739"/>
      <c r="AQ36" s="740"/>
      <c r="AR36" s="739"/>
      <c r="AS36" s="740"/>
      <c r="AT36" s="739"/>
      <c r="AU36" s="740"/>
      <c r="AV36" s="739"/>
      <c r="AW36" s="740"/>
      <c r="AX36" s="739"/>
      <c r="AY36" s="740"/>
      <c r="AZ36" s="739"/>
      <c r="BA36" s="740"/>
      <c r="BB36" s="739"/>
      <c r="BC36" s="740" t="s">
        <v>6</v>
      </c>
      <c r="BD36" s="739"/>
      <c r="BE36" s="740"/>
      <c r="BF36" s="739"/>
      <c r="BG36" s="740"/>
      <c r="BH36" s="739"/>
      <c r="BI36" s="740"/>
      <c r="BJ36" s="739" t="s">
        <v>6</v>
      </c>
      <c r="BK36" s="740"/>
      <c r="BL36" s="739"/>
      <c r="BM36" s="740"/>
      <c r="BN36" s="739"/>
      <c r="BO36" s="740"/>
      <c r="BP36" s="739"/>
      <c r="BQ36" s="740" t="s">
        <v>5</v>
      </c>
      <c r="BR36" s="739"/>
      <c r="BS36" s="740"/>
      <c r="BT36" s="739"/>
      <c r="BU36" s="740"/>
      <c r="BV36" s="739"/>
      <c r="BW36" s="740"/>
      <c r="BX36" s="739"/>
      <c r="BY36" s="740"/>
      <c r="BZ36" s="739"/>
      <c r="CA36" s="740"/>
      <c r="CB36" s="739"/>
      <c r="CC36" s="740"/>
      <c r="CD36" s="739"/>
      <c r="CE36" s="740"/>
      <c r="CF36" s="739"/>
      <c r="CG36" s="740"/>
      <c r="CH36" s="739"/>
      <c r="CI36" s="740"/>
      <c r="CJ36" s="739"/>
      <c r="CK36" s="740"/>
      <c r="CL36" s="748" t="s">
        <v>5</v>
      </c>
      <c r="CN36" s="713"/>
      <c r="CO36" s="726"/>
    </row>
    <row r="37" spans="2:93" ht="30" customHeight="1" hidden="1">
      <c r="B37" s="161"/>
      <c r="C37" s="99" t="s">
        <v>1002</v>
      </c>
      <c r="D37" s="99"/>
      <c r="E37" s="99"/>
      <c r="F37" s="99"/>
      <c r="G37" s="99"/>
      <c r="H37" s="99"/>
      <c r="I37" s="99"/>
      <c r="J37" s="99"/>
      <c r="K37" s="99"/>
      <c r="L37" s="99"/>
      <c r="M37" s="99"/>
      <c r="N37" s="99"/>
      <c r="O37" s="99"/>
      <c r="P37" s="99"/>
      <c r="Q37" s="162"/>
      <c r="T37" s="738" t="s">
        <v>5</v>
      </c>
      <c r="U37" s="739"/>
      <c r="V37" s="740"/>
      <c r="W37" s="739" t="s">
        <v>5</v>
      </c>
      <c r="X37" s="740"/>
      <c r="Y37" s="739"/>
      <c r="Z37" s="740" t="s">
        <v>5</v>
      </c>
      <c r="AA37" s="739"/>
      <c r="AB37" s="740"/>
      <c r="AC37" s="739" t="s">
        <v>6</v>
      </c>
      <c r="AD37" s="740"/>
      <c r="AE37" s="739"/>
      <c r="AF37" s="740" t="s">
        <v>5</v>
      </c>
      <c r="AG37" s="739"/>
      <c r="AH37" s="741"/>
      <c r="AK37" s="738" t="s">
        <v>5</v>
      </c>
      <c r="AL37" s="739"/>
      <c r="AM37" s="740"/>
      <c r="AN37" s="739"/>
      <c r="AO37" s="740"/>
      <c r="AP37" s="739"/>
      <c r="AQ37" s="740"/>
      <c r="AR37" s="739"/>
      <c r="AS37" s="740"/>
      <c r="AT37" s="739"/>
      <c r="AU37" s="740"/>
      <c r="AV37" s="739"/>
      <c r="AW37" s="740"/>
      <c r="AX37" s="739"/>
      <c r="AY37" s="740"/>
      <c r="AZ37" s="739"/>
      <c r="BA37" s="740"/>
      <c r="BB37" s="739"/>
      <c r="BC37" s="740" t="s">
        <v>5</v>
      </c>
      <c r="BD37" s="739"/>
      <c r="BE37" s="740"/>
      <c r="BF37" s="739"/>
      <c r="BG37" s="740"/>
      <c r="BH37" s="739"/>
      <c r="BI37" s="740"/>
      <c r="BJ37" s="739" t="s">
        <v>5</v>
      </c>
      <c r="BK37" s="740"/>
      <c r="BL37" s="739"/>
      <c r="BM37" s="740"/>
      <c r="BN37" s="739"/>
      <c r="BO37" s="740"/>
      <c r="BP37" s="739"/>
      <c r="BQ37" s="740" t="s">
        <v>6</v>
      </c>
      <c r="BR37" s="739"/>
      <c r="BS37" s="740"/>
      <c r="BT37" s="739"/>
      <c r="BU37" s="740"/>
      <c r="BV37" s="739"/>
      <c r="BW37" s="740"/>
      <c r="BX37" s="739"/>
      <c r="BY37" s="740"/>
      <c r="BZ37" s="739"/>
      <c r="CA37" s="740"/>
      <c r="CB37" s="739"/>
      <c r="CC37" s="740"/>
      <c r="CD37" s="739"/>
      <c r="CE37" s="740"/>
      <c r="CF37" s="739"/>
      <c r="CG37" s="740"/>
      <c r="CH37" s="739"/>
      <c r="CI37" s="740"/>
      <c r="CJ37" s="739"/>
      <c r="CK37" s="740"/>
      <c r="CL37" s="748" t="s">
        <v>5</v>
      </c>
      <c r="CN37" s="713"/>
      <c r="CO37" s="726"/>
    </row>
    <row r="38" spans="2:93" hidden="1">
      <c r="B38" s="161"/>
      <c r="C38" s="26"/>
      <c r="D38" s="26"/>
      <c r="E38" s="26"/>
      <c r="F38" s="26"/>
      <c r="G38" s="26"/>
      <c r="H38" s="26"/>
      <c r="I38" s="26"/>
      <c r="J38" s="26"/>
      <c r="K38" s="26"/>
      <c r="L38" s="26"/>
      <c r="M38" s="26"/>
      <c r="N38" s="26"/>
      <c r="O38" s="26"/>
      <c r="P38" s="26"/>
      <c r="Q38" s="162"/>
      <c r="T38" s="738" t="s">
        <v>5</v>
      </c>
      <c r="U38" s="739"/>
      <c r="V38" s="740"/>
      <c r="W38" s="739" t="s">
        <v>5</v>
      </c>
      <c r="X38" s="740"/>
      <c r="Y38" s="739"/>
      <c r="Z38" s="740" t="s">
        <v>5</v>
      </c>
      <c r="AA38" s="739"/>
      <c r="AB38" s="740"/>
      <c r="AC38" s="739" t="s">
        <v>6</v>
      </c>
      <c r="AD38" s="740"/>
      <c r="AE38" s="739"/>
      <c r="AF38" s="740" t="s">
        <v>5</v>
      </c>
      <c r="AG38" s="739"/>
      <c r="AH38" s="741"/>
      <c r="AK38" s="738" t="s">
        <v>5</v>
      </c>
      <c r="AL38" s="739"/>
      <c r="AM38" s="740"/>
      <c r="AN38" s="739"/>
      <c r="AO38" s="740"/>
      <c r="AP38" s="739"/>
      <c r="AQ38" s="740"/>
      <c r="AR38" s="739"/>
      <c r="AS38" s="740"/>
      <c r="AT38" s="739"/>
      <c r="AU38" s="740"/>
      <c r="AV38" s="739"/>
      <c r="AW38" s="740"/>
      <c r="AX38" s="739"/>
      <c r="AY38" s="740"/>
      <c r="AZ38" s="739"/>
      <c r="BA38" s="740"/>
      <c r="BB38" s="739"/>
      <c r="BC38" s="740" t="s">
        <v>5</v>
      </c>
      <c r="BD38" s="739"/>
      <c r="BE38" s="740"/>
      <c r="BF38" s="739"/>
      <c r="BG38" s="740"/>
      <c r="BH38" s="739"/>
      <c r="BI38" s="740"/>
      <c r="BJ38" s="739" t="s">
        <v>5</v>
      </c>
      <c r="BK38" s="740"/>
      <c r="BL38" s="739"/>
      <c r="BM38" s="740"/>
      <c r="BN38" s="739"/>
      <c r="BO38" s="740"/>
      <c r="BP38" s="739"/>
      <c r="BQ38" s="740" t="s">
        <v>6</v>
      </c>
      <c r="BR38" s="739"/>
      <c r="BS38" s="740"/>
      <c r="BT38" s="739"/>
      <c r="BU38" s="740"/>
      <c r="BV38" s="739"/>
      <c r="BW38" s="740"/>
      <c r="BX38" s="739"/>
      <c r="BY38" s="740"/>
      <c r="BZ38" s="739"/>
      <c r="CA38" s="740"/>
      <c r="CB38" s="739"/>
      <c r="CC38" s="740"/>
      <c r="CD38" s="739"/>
      <c r="CE38" s="740"/>
      <c r="CF38" s="739"/>
      <c r="CG38" s="740"/>
      <c r="CH38" s="739"/>
      <c r="CI38" s="740"/>
      <c r="CJ38" s="739"/>
      <c r="CK38" s="740"/>
      <c r="CL38" s="748" t="s">
        <v>5</v>
      </c>
      <c r="CN38" s="713"/>
      <c r="CO38" s="726"/>
    </row>
    <row r="39" spans="2:93" hidden="1">
      <c r="B39" s="161"/>
      <c r="C39" s="26" t="s">
        <v>138</v>
      </c>
      <c r="D39" s="26"/>
      <c r="E39" s="26"/>
      <c r="F39" s="26"/>
      <c r="G39" s="26"/>
      <c r="H39" s="26"/>
      <c r="I39" s="26"/>
      <c r="J39" s="26"/>
      <c r="K39" s="26"/>
      <c r="L39" s="26"/>
      <c r="M39" s="26"/>
      <c r="N39" s="26"/>
      <c r="O39" s="26"/>
      <c r="P39" s="26"/>
      <c r="Q39" s="162"/>
      <c r="T39" s="738" t="s">
        <v>5</v>
      </c>
      <c r="U39" s="739"/>
      <c r="V39" s="740"/>
      <c r="W39" s="739" t="s">
        <v>5</v>
      </c>
      <c r="X39" s="740"/>
      <c r="Y39" s="739"/>
      <c r="Z39" s="740" t="s">
        <v>5</v>
      </c>
      <c r="AA39" s="739"/>
      <c r="AB39" s="740"/>
      <c r="AC39" s="739" t="s">
        <v>6</v>
      </c>
      <c r="AD39" s="740"/>
      <c r="AE39" s="739"/>
      <c r="AF39" s="740" t="s">
        <v>5</v>
      </c>
      <c r="AG39" s="739"/>
      <c r="AH39" s="741"/>
      <c r="AK39" s="738" t="s">
        <v>5</v>
      </c>
      <c r="AL39" s="739"/>
      <c r="AM39" s="740"/>
      <c r="AN39" s="739"/>
      <c r="AO39" s="740"/>
      <c r="AP39" s="739"/>
      <c r="AQ39" s="740"/>
      <c r="AR39" s="739"/>
      <c r="AS39" s="740"/>
      <c r="AT39" s="739"/>
      <c r="AU39" s="740"/>
      <c r="AV39" s="739"/>
      <c r="AW39" s="740"/>
      <c r="AX39" s="739"/>
      <c r="AY39" s="740"/>
      <c r="AZ39" s="739"/>
      <c r="BA39" s="740"/>
      <c r="BB39" s="739"/>
      <c r="BC39" s="740" t="s">
        <v>5</v>
      </c>
      <c r="BD39" s="739"/>
      <c r="BE39" s="740"/>
      <c r="BF39" s="739"/>
      <c r="BG39" s="740"/>
      <c r="BH39" s="739"/>
      <c r="BI39" s="740"/>
      <c r="BJ39" s="739" t="s">
        <v>5</v>
      </c>
      <c r="BK39" s="740"/>
      <c r="BL39" s="739"/>
      <c r="BM39" s="740"/>
      <c r="BN39" s="739"/>
      <c r="BO39" s="740"/>
      <c r="BP39" s="739"/>
      <c r="BQ39" s="740" t="s">
        <v>6</v>
      </c>
      <c r="BR39" s="739"/>
      <c r="BS39" s="740"/>
      <c r="BT39" s="739"/>
      <c r="BU39" s="740"/>
      <c r="BV39" s="739"/>
      <c r="BW39" s="740"/>
      <c r="BX39" s="739"/>
      <c r="BY39" s="740"/>
      <c r="BZ39" s="739"/>
      <c r="CA39" s="740"/>
      <c r="CB39" s="739"/>
      <c r="CC39" s="740"/>
      <c r="CD39" s="739"/>
      <c r="CE39" s="740"/>
      <c r="CF39" s="739"/>
      <c r="CG39" s="740"/>
      <c r="CH39" s="739"/>
      <c r="CI39" s="740"/>
      <c r="CJ39" s="739"/>
      <c r="CK39" s="740"/>
      <c r="CL39" s="748" t="s">
        <v>5</v>
      </c>
      <c r="CN39" s="713"/>
      <c r="CO39" s="726"/>
    </row>
    <row r="40" spans="2:93" hidden="1">
      <c r="B40" s="161"/>
      <c r="C40" s="33" t="str">
        <f>'Pupil_Place Numbers'!B39</f>
        <v/>
      </c>
      <c r="D40" s="33"/>
      <c r="E40" s="33"/>
      <c r="F40" s="33"/>
      <c r="G40" s="33"/>
      <c r="H40" s="33"/>
      <c r="I40" s="33"/>
      <c r="J40" s="33"/>
      <c r="K40" s="33"/>
      <c r="L40" s="33"/>
      <c r="M40" s="33"/>
      <c r="N40" s="33"/>
      <c r="O40" s="33"/>
      <c r="P40" s="33"/>
      <c r="Q40" s="162"/>
      <c r="T40" s="738" t="s">
        <v>5</v>
      </c>
      <c r="U40" s="739"/>
      <c r="V40" s="740"/>
      <c r="W40" s="739" t="s">
        <v>5</v>
      </c>
      <c r="X40" s="740"/>
      <c r="Y40" s="739"/>
      <c r="Z40" s="740" t="s">
        <v>5</v>
      </c>
      <c r="AA40" s="739"/>
      <c r="AB40" s="740"/>
      <c r="AC40" s="739" t="s">
        <v>6</v>
      </c>
      <c r="AD40" s="740"/>
      <c r="AE40" s="739"/>
      <c r="AF40" s="740" t="s">
        <v>5</v>
      </c>
      <c r="AG40" s="739"/>
      <c r="AH40" s="741"/>
      <c r="AK40" s="738" t="s">
        <v>5</v>
      </c>
      <c r="AL40" s="739"/>
      <c r="AM40" s="740"/>
      <c r="AN40" s="739"/>
      <c r="AO40" s="740"/>
      <c r="AP40" s="739"/>
      <c r="AQ40" s="740"/>
      <c r="AR40" s="739"/>
      <c r="AS40" s="740"/>
      <c r="AT40" s="739"/>
      <c r="AU40" s="740"/>
      <c r="AV40" s="739"/>
      <c r="AW40" s="740"/>
      <c r="AX40" s="739"/>
      <c r="AY40" s="740"/>
      <c r="AZ40" s="739"/>
      <c r="BA40" s="740"/>
      <c r="BB40" s="739"/>
      <c r="BC40" s="740" t="s">
        <v>5</v>
      </c>
      <c r="BD40" s="739"/>
      <c r="BE40" s="740"/>
      <c r="BF40" s="739"/>
      <c r="BG40" s="740"/>
      <c r="BH40" s="739"/>
      <c r="BI40" s="740"/>
      <c r="BJ40" s="739" t="s">
        <v>5</v>
      </c>
      <c r="BK40" s="740"/>
      <c r="BL40" s="739"/>
      <c r="BM40" s="740"/>
      <c r="BN40" s="739"/>
      <c r="BO40" s="740"/>
      <c r="BP40" s="739"/>
      <c r="BQ40" s="740" t="s">
        <v>6</v>
      </c>
      <c r="BR40" s="739"/>
      <c r="BS40" s="740"/>
      <c r="BT40" s="739"/>
      <c r="BU40" s="740"/>
      <c r="BV40" s="739"/>
      <c r="BW40" s="740"/>
      <c r="BX40" s="739"/>
      <c r="BY40" s="740"/>
      <c r="BZ40" s="739"/>
      <c r="CA40" s="740"/>
      <c r="CB40" s="739"/>
      <c r="CC40" s="740"/>
      <c r="CD40" s="739"/>
      <c r="CE40" s="740"/>
      <c r="CF40" s="739"/>
      <c r="CG40" s="740"/>
      <c r="CH40" s="739"/>
      <c r="CI40" s="740"/>
      <c r="CJ40" s="739"/>
      <c r="CK40" s="740"/>
      <c r="CL40" s="748" t="s">
        <v>5</v>
      </c>
      <c r="CN40" s="713"/>
      <c r="CO40" s="726"/>
    </row>
    <row r="41" spans="2:93" hidden="1">
      <c r="B41" s="161"/>
      <c r="C41" s="28" t="s">
        <v>353</v>
      </c>
      <c r="D41" s="27" t="s">
        <v>137</v>
      </c>
      <c r="E41" s="28">
        <f>SUM('Pupil_Place Numbers'!C40:C46)</f>
        <v>0</v>
      </c>
      <c r="F41" s="28">
        <f>SUM('Pupil_Place Numbers'!D40:D46)</f>
        <v>0</v>
      </c>
      <c r="G41" s="28">
        <f>SUM('Pupil_Place Numbers'!E40:E46)</f>
        <v>0</v>
      </c>
      <c r="H41" s="28">
        <f>SUM('Pupil_Place Numbers'!F40:F46)</f>
        <v>0</v>
      </c>
      <c r="I41" s="28">
        <f>SUM('Pupil_Place Numbers'!G40:G46)</f>
        <v>0</v>
      </c>
      <c r="J41" s="28">
        <f>SUM('Pupil_Place Numbers'!H40:H46)</f>
        <v>0</v>
      </c>
      <c r="K41" s="28">
        <f>SUM('Pupil_Place Numbers'!I40:I46)</f>
        <v>0</v>
      </c>
      <c r="L41" s="28">
        <f>SUM('Pupil_Place Numbers'!J40:J46)</f>
        <v>0</v>
      </c>
      <c r="M41" s="28"/>
      <c r="N41" s="28"/>
      <c r="O41" s="28"/>
      <c r="P41" s="28"/>
      <c r="Q41" s="162"/>
      <c r="T41" s="738" t="s">
        <v>5</v>
      </c>
      <c r="U41" s="739"/>
      <c r="V41" s="740"/>
      <c r="W41" s="739" t="s">
        <v>5</v>
      </c>
      <c r="X41" s="740"/>
      <c r="Y41" s="739"/>
      <c r="Z41" s="740" t="s">
        <v>5</v>
      </c>
      <c r="AA41" s="739"/>
      <c r="AB41" s="740"/>
      <c r="AC41" s="739" t="s">
        <v>6</v>
      </c>
      <c r="AD41" s="740"/>
      <c r="AE41" s="739"/>
      <c r="AF41" s="740" t="s">
        <v>5</v>
      </c>
      <c r="AG41" s="739"/>
      <c r="AH41" s="741"/>
      <c r="AK41" s="738" t="s">
        <v>5</v>
      </c>
      <c r="AL41" s="739"/>
      <c r="AM41" s="740"/>
      <c r="AN41" s="739"/>
      <c r="AO41" s="740"/>
      <c r="AP41" s="739"/>
      <c r="AQ41" s="740"/>
      <c r="AR41" s="739"/>
      <c r="AS41" s="740"/>
      <c r="AT41" s="739"/>
      <c r="AU41" s="740"/>
      <c r="AV41" s="739"/>
      <c r="AW41" s="740"/>
      <c r="AX41" s="739"/>
      <c r="AY41" s="740"/>
      <c r="AZ41" s="739"/>
      <c r="BA41" s="740"/>
      <c r="BB41" s="739"/>
      <c r="BC41" s="740" t="s">
        <v>5</v>
      </c>
      <c r="BD41" s="739"/>
      <c r="BE41" s="740"/>
      <c r="BF41" s="739"/>
      <c r="BG41" s="740"/>
      <c r="BH41" s="739"/>
      <c r="BI41" s="740"/>
      <c r="BJ41" s="739" t="s">
        <v>5</v>
      </c>
      <c r="BK41" s="740"/>
      <c r="BL41" s="739"/>
      <c r="BM41" s="740"/>
      <c r="BN41" s="739"/>
      <c r="BO41" s="740"/>
      <c r="BP41" s="739"/>
      <c r="BQ41" s="740" t="s">
        <v>6</v>
      </c>
      <c r="BR41" s="739"/>
      <c r="BS41" s="740"/>
      <c r="BT41" s="739" t="s">
        <v>6</v>
      </c>
      <c r="BU41" s="740"/>
      <c r="BV41" s="739"/>
      <c r="BW41" s="740" t="s">
        <v>5</v>
      </c>
      <c r="BX41" s="739"/>
      <c r="BY41" s="740"/>
      <c r="BZ41" s="739" t="s">
        <v>5</v>
      </c>
      <c r="CA41" s="740"/>
      <c r="CB41" s="739"/>
      <c r="CC41" s="740" t="s">
        <v>6</v>
      </c>
      <c r="CD41" s="739"/>
      <c r="CE41" s="740"/>
      <c r="CF41" s="739" t="s">
        <v>6</v>
      </c>
      <c r="CG41" s="740"/>
      <c r="CH41" s="739"/>
      <c r="CI41" s="740" t="s">
        <v>5</v>
      </c>
      <c r="CJ41" s="739"/>
      <c r="CK41" s="740"/>
      <c r="CL41" s="748" t="s">
        <v>5</v>
      </c>
      <c r="CN41" s="713"/>
      <c r="CO41" s="726"/>
    </row>
    <row r="42" spans="2:93" hidden="1">
      <c r="B42" s="161"/>
      <c r="C42" s="28" t="s">
        <v>354</v>
      </c>
      <c r="D42" s="27" t="s">
        <v>137</v>
      </c>
      <c r="E42" s="28">
        <f>SUM('Pupil_Place Numbers'!C47:C53)</f>
        <v>0</v>
      </c>
      <c r="F42" s="28">
        <f>SUM('Pupil_Place Numbers'!D47:D53)</f>
        <v>0</v>
      </c>
      <c r="G42" s="28">
        <f>SUM('Pupil_Place Numbers'!E47:E53)</f>
        <v>0</v>
      </c>
      <c r="H42" s="28">
        <f>SUM('Pupil_Place Numbers'!F47:F53)</f>
        <v>0</v>
      </c>
      <c r="I42" s="28">
        <f>SUM('Pupil_Place Numbers'!G47:G53)</f>
        <v>0</v>
      </c>
      <c r="J42" s="28">
        <f>SUM('Pupil_Place Numbers'!H47:H53)</f>
        <v>0</v>
      </c>
      <c r="K42" s="28">
        <f>SUM('Pupil_Place Numbers'!I47:I53)</f>
        <v>0</v>
      </c>
      <c r="L42" s="28">
        <f>SUM('Pupil_Place Numbers'!J47:J53)</f>
        <v>0</v>
      </c>
      <c r="M42" s="28"/>
      <c r="N42" s="28"/>
      <c r="O42" s="28"/>
      <c r="P42" s="28"/>
      <c r="Q42" s="162"/>
      <c r="T42" s="738" t="s">
        <v>5</v>
      </c>
      <c r="U42" s="739"/>
      <c r="V42" s="740"/>
      <c r="W42" s="739" t="s">
        <v>5</v>
      </c>
      <c r="X42" s="740"/>
      <c r="Y42" s="739"/>
      <c r="Z42" s="740" t="s">
        <v>5</v>
      </c>
      <c r="AA42" s="739"/>
      <c r="AB42" s="740"/>
      <c r="AC42" s="739" t="s">
        <v>6</v>
      </c>
      <c r="AD42" s="740"/>
      <c r="AE42" s="739"/>
      <c r="AF42" s="740" t="s">
        <v>5</v>
      </c>
      <c r="AG42" s="739"/>
      <c r="AH42" s="741"/>
      <c r="AK42" s="738" t="s">
        <v>5</v>
      </c>
      <c r="AL42" s="739"/>
      <c r="AM42" s="740"/>
      <c r="AN42" s="739"/>
      <c r="AO42" s="740"/>
      <c r="AP42" s="739"/>
      <c r="AQ42" s="740"/>
      <c r="AR42" s="739"/>
      <c r="AS42" s="740"/>
      <c r="AT42" s="739"/>
      <c r="AU42" s="740"/>
      <c r="AV42" s="739"/>
      <c r="AW42" s="740"/>
      <c r="AX42" s="739"/>
      <c r="AY42" s="740"/>
      <c r="AZ42" s="739"/>
      <c r="BA42" s="740"/>
      <c r="BB42" s="739"/>
      <c r="BC42" s="740" t="s">
        <v>5</v>
      </c>
      <c r="BD42" s="739"/>
      <c r="BE42" s="740"/>
      <c r="BF42" s="739"/>
      <c r="BG42" s="740"/>
      <c r="BH42" s="739"/>
      <c r="BI42" s="740"/>
      <c r="BJ42" s="739" t="s">
        <v>5</v>
      </c>
      <c r="BK42" s="740"/>
      <c r="BL42" s="739"/>
      <c r="BM42" s="740"/>
      <c r="BN42" s="739"/>
      <c r="BO42" s="740"/>
      <c r="BP42" s="739"/>
      <c r="BQ42" s="740" t="s">
        <v>6</v>
      </c>
      <c r="BR42" s="739"/>
      <c r="BS42" s="740"/>
      <c r="BT42" s="739" t="s">
        <v>5</v>
      </c>
      <c r="BU42" s="740"/>
      <c r="BV42" s="739"/>
      <c r="BW42" s="740" t="s">
        <v>6</v>
      </c>
      <c r="BX42" s="739"/>
      <c r="BY42" s="740"/>
      <c r="BZ42" s="739" t="s">
        <v>6</v>
      </c>
      <c r="CA42" s="740"/>
      <c r="CB42" s="739"/>
      <c r="CC42" s="740" t="s">
        <v>6</v>
      </c>
      <c r="CD42" s="739"/>
      <c r="CE42" s="740"/>
      <c r="CF42" s="739" t="s">
        <v>6</v>
      </c>
      <c r="CG42" s="740"/>
      <c r="CH42" s="739"/>
      <c r="CI42" s="740" t="s">
        <v>6</v>
      </c>
      <c r="CJ42" s="739"/>
      <c r="CK42" s="740"/>
      <c r="CL42" s="748" t="s">
        <v>5</v>
      </c>
      <c r="CN42" s="713"/>
      <c r="CO42" s="726"/>
    </row>
    <row r="43" spans="2:93" hidden="1">
      <c r="B43" s="161"/>
      <c r="C43" s="97" t="s">
        <v>355</v>
      </c>
      <c r="D43" s="125" t="s">
        <v>135</v>
      </c>
      <c r="E43" s="575"/>
      <c r="F43" s="575"/>
      <c r="G43" s="575"/>
      <c r="H43" s="575"/>
      <c r="I43" s="575"/>
      <c r="J43" s="575"/>
      <c r="K43" s="575"/>
      <c r="L43" s="575"/>
      <c r="M43" s="97"/>
      <c r="N43" s="97"/>
      <c r="O43" s="97"/>
      <c r="P43" s="97"/>
      <c r="Q43" s="162"/>
      <c r="T43" s="738" t="s">
        <v>5</v>
      </c>
      <c r="U43" s="739"/>
      <c r="V43" s="740"/>
      <c r="W43" s="739" t="s">
        <v>5</v>
      </c>
      <c r="X43" s="740"/>
      <c r="Y43" s="739"/>
      <c r="Z43" s="740" t="s">
        <v>5</v>
      </c>
      <c r="AA43" s="739"/>
      <c r="AB43" s="740"/>
      <c r="AC43" s="739" t="s">
        <v>6</v>
      </c>
      <c r="AD43" s="740"/>
      <c r="AE43" s="739"/>
      <c r="AF43" s="740" t="s">
        <v>5</v>
      </c>
      <c r="AG43" s="739"/>
      <c r="AH43" s="741"/>
      <c r="AK43" s="738" t="s">
        <v>5</v>
      </c>
      <c r="AL43" s="739"/>
      <c r="AM43" s="740"/>
      <c r="AN43" s="739"/>
      <c r="AO43" s="740"/>
      <c r="AP43" s="739"/>
      <c r="AQ43" s="740"/>
      <c r="AR43" s="739"/>
      <c r="AS43" s="740"/>
      <c r="AT43" s="739"/>
      <c r="AU43" s="740"/>
      <c r="AV43" s="739"/>
      <c r="AW43" s="740"/>
      <c r="AX43" s="739"/>
      <c r="AY43" s="740"/>
      <c r="AZ43" s="739"/>
      <c r="BA43" s="740"/>
      <c r="BB43" s="739"/>
      <c r="BC43" s="740" t="s">
        <v>5</v>
      </c>
      <c r="BD43" s="739"/>
      <c r="BE43" s="740"/>
      <c r="BF43" s="739"/>
      <c r="BG43" s="740"/>
      <c r="BH43" s="739"/>
      <c r="BI43" s="740"/>
      <c r="BJ43" s="739" t="s">
        <v>5</v>
      </c>
      <c r="BK43" s="740"/>
      <c r="BL43" s="739"/>
      <c r="BM43" s="740"/>
      <c r="BN43" s="739"/>
      <c r="BO43" s="740"/>
      <c r="BP43" s="739"/>
      <c r="BQ43" s="740" t="s">
        <v>6</v>
      </c>
      <c r="BR43" s="739"/>
      <c r="BS43" s="740"/>
      <c r="BT43" s="739" t="s">
        <v>6</v>
      </c>
      <c r="BU43" s="740"/>
      <c r="BV43" s="739"/>
      <c r="BW43" s="740" t="s">
        <v>5</v>
      </c>
      <c r="BX43" s="739"/>
      <c r="BY43" s="740"/>
      <c r="BZ43" s="739" t="s">
        <v>5</v>
      </c>
      <c r="CA43" s="740"/>
      <c r="CB43" s="739"/>
      <c r="CC43" s="740" t="s">
        <v>6</v>
      </c>
      <c r="CD43" s="739"/>
      <c r="CE43" s="740"/>
      <c r="CF43" s="739" t="s">
        <v>6</v>
      </c>
      <c r="CG43" s="740"/>
      <c r="CH43" s="739"/>
      <c r="CI43" s="740" t="s">
        <v>5</v>
      </c>
      <c r="CJ43" s="739"/>
      <c r="CK43" s="740"/>
      <c r="CL43" s="748" t="s">
        <v>5</v>
      </c>
      <c r="CN43" s="713"/>
      <c r="CO43" s="726"/>
    </row>
    <row r="44" spans="2:93" hidden="1">
      <c r="B44" s="161"/>
      <c r="C44" s="97" t="s">
        <v>356</v>
      </c>
      <c r="D44" s="125" t="s">
        <v>135</v>
      </c>
      <c r="E44" s="575"/>
      <c r="F44" s="575"/>
      <c r="G44" s="575"/>
      <c r="H44" s="575"/>
      <c r="I44" s="575"/>
      <c r="J44" s="575"/>
      <c r="K44" s="575"/>
      <c r="L44" s="575"/>
      <c r="M44" s="97"/>
      <c r="N44" s="97"/>
      <c r="O44" s="97"/>
      <c r="P44" s="97"/>
      <c r="Q44" s="162"/>
      <c r="T44" s="738" t="s">
        <v>5</v>
      </c>
      <c r="U44" s="739"/>
      <c r="V44" s="740"/>
      <c r="W44" s="739" t="s">
        <v>5</v>
      </c>
      <c r="X44" s="740"/>
      <c r="Y44" s="739"/>
      <c r="Z44" s="740" t="s">
        <v>5</v>
      </c>
      <c r="AA44" s="739"/>
      <c r="AB44" s="740"/>
      <c r="AC44" s="739" t="s">
        <v>6</v>
      </c>
      <c r="AD44" s="740"/>
      <c r="AE44" s="739"/>
      <c r="AF44" s="740" t="s">
        <v>5</v>
      </c>
      <c r="AG44" s="739"/>
      <c r="AH44" s="741"/>
      <c r="AK44" s="738" t="s">
        <v>5</v>
      </c>
      <c r="AL44" s="739"/>
      <c r="AM44" s="740"/>
      <c r="AN44" s="739"/>
      <c r="AO44" s="740"/>
      <c r="AP44" s="739"/>
      <c r="AQ44" s="740"/>
      <c r="AR44" s="739"/>
      <c r="AS44" s="740"/>
      <c r="AT44" s="739"/>
      <c r="AU44" s="740"/>
      <c r="AV44" s="739"/>
      <c r="AW44" s="740"/>
      <c r="AX44" s="739"/>
      <c r="AY44" s="740"/>
      <c r="AZ44" s="739"/>
      <c r="BA44" s="740"/>
      <c r="BB44" s="739"/>
      <c r="BC44" s="740" t="s">
        <v>5</v>
      </c>
      <c r="BD44" s="739"/>
      <c r="BE44" s="740"/>
      <c r="BF44" s="739"/>
      <c r="BG44" s="740"/>
      <c r="BH44" s="739"/>
      <c r="BI44" s="740"/>
      <c r="BJ44" s="739" t="s">
        <v>5</v>
      </c>
      <c r="BK44" s="740"/>
      <c r="BL44" s="739"/>
      <c r="BM44" s="740"/>
      <c r="BN44" s="739"/>
      <c r="BO44" s="740"/>
      <c r="BP44" s="739"/>
      <c r="BQ44" s="740" t="s">
        <v>6</v>
      </c>
      <c r="BR44" s="739"/>
      <c r="BS44" s="740"/>
      <c r="BT44" s="739" t="s">
        <v>5</v>
      </c>
      <c r="BU44" s="740"/>
      <c r="BV44" s="739"/>
      <c r="BW44" s="740" t="s">
        <v>6</v>
      </c>
      <c r="BX44" s="739"/>
      <c r="BY44" s="740"/>
      <c r="BZ44" s="739" t="s">
        <v>6</v>
      </c>
      <c r="CA44" s="740"/>
      <c r="CB44" s="739"/>
      <c r="CC44" s="740" t="s">
        <v>6</v>
      </c>
      <c r="CD44" s="739"/>
      <c r="CE44" s="740"/>
      <c r="CF44" s="739" t="s">
        <v>6</v>
      </c>
      <c r="CG44" s="740"/>
      <c r="CH44" s="739"/>
      <c r="CI44" s="740" t="s">
        <v>6</v>
      </c>
      <c r="CJ44" s="739"/>
      <c r="CK44" s="740"/>
      <c r="CL44" s="748" t="s">
        <v>5</v>
      </c>
      <c r="CN44" s="713"/>
      <c r="CO44" s="726"/>
    </row>
    <row r="45" spans="2:93" hidden="1">
      <c r="B45" s="161"/>
      <c r="C45" s="28"/>
      <c r="D45" s="28"/>
      <c r="E45" s="28"/>
      <c r="F45" s="28"/>
      <c r="G45" s="28"/>
      <c r="H45" s="28"/>
      <c r="I45" s="28"/>
      <c r="J45" s="28"/>
      <c r="K45" s="28"/>
      <c r="L45" s="28"/>
      <c r="M45" s="28"/>
      <c r="N45" s="28"/>
      <c r="O45" s="28"/>
      <c r="P45" s="28"/>
      <c r="Q45" s="162"/>
      <c r="T45" s="738" t="s">
        <v>5</v>
      </c>
      <c r="U45" s="739"/>
      <c r="V45" s="740"/>
      <c r="W45" s="739" t="s">
        <v>5</v>
      </c>
      <c r="X45" s="740"/>
      <c r="Y45" s="739"/>
      <c r="Z45" s="740" t="s">
        <v>5</v>
      </c>
      <c r="AA45" s="739"/>
      <c r="AB45" s="740"/>
      <c r="AC45" s="739" t="s">
        <v>6</v>
      </c>
      <c r="AD45" s="740"/>
      <c r="AE45" s="739"/>
      <c r="AF45" s="740" t="s">
        <v>5</v>
      </c>
      <c r="AG45" s="739"/>
      <c r="AH45" s="741"/>
      <c r="AK45" s="738" t="s">
        <v>5</v>
      </c>
      <c r="AL45" s="739"/>
      <c r="AM45" s="740"/>
      <c r="AN45" s="739"/>
      <c r="AO45" s="740"/>
      <c r="AP45" s="739"/>
      <c r="AQ45" s="740"/>
      <c r="AR45" s="739"/>
      <c r="AS45" s="740"/>
      <c r="AT45" s="739"/>
      <c r="AU45" s="740"/>
      <c r="AV45" s="739"/>
      <c r="AW45" s="740"/>
      <c r="AX45" s="739"/>
      <c r="AY45" s="740"/>
      <c r="AZ45" s="739"/>
      <c r="BA45" s="740"/>
      <c r="BB45" s="739"/>
      <c r="BC45" s="740" t="s">
        <v>5</v>
      </c>
      <c r="BD45" s="739"/>
      <c r="BE45" s="740"/>
      <c r="BF45" s="739"/>
      <c r="BG45" s="740"/>
      <c r="BH45" s="739"/>
      <c r="BI45" s="740"/>
      <c r="BJ45" s="739" t="s">
        <v>5</v>
      </c>
      <c r="BK45" s="740"/>
      <c r="BL45" s="739"/>
      <c r="BM45" s="740"/>
      <c r="BN45" s="739"/>
      <c r="BO45" s="740"/>
      <c r="BP45" s="739"/>
      <c r="BQ45" s="740" t="s">
        <v>6</v>
      </c>
      <c r="BR45" s="739"/>
      <c r="BS45" s="740"/>
      <c r="BT45" s="739"/>
      <c r="BU45" s="740"/>
      <c r="BV45" s="739"/>
      <c r="BW45" s="740"/>
      <c r="BX45" s="739"/>
      <c r="BY45" s="740"/>
      <c r="BZ45" s="739"/>
      <c r="CA45" s="740"/>
      <c r="CB45" s="739"/>
      <c r="CC45" s="740"/>
      <c r="CD45" s="739"/>
      <c r="CE45" s="740"/>
      <c r="CF45" s="739"/>
      <c r="CG45" s="740"/>
      <c r="CH45" s="739"/>
      <c r="CI45" s="740"/>
      <c r="CJ45" s="739"/>
      <c r="CK45" s="740"/>
      <c r="CL45" s="748" t="s">
        <v>5</v>
      </c>
      <c r="CN45" s="713"/>
      <c r="CO45" s="726"/>
    </row>
    <row r="46" spans="2:93" hidden="1">
      <c r="B46" s="161"/>
      <c r="C46" s="26" t="s">
        <v>139</v>
      </c>
      <c r="D46" s="26"/>
      <c r="E46" s="26"/>
      <c r="F46" s="26"/>
      <c r="G46" s="26"/>
      <c r="H46" s="26"/>
      <c r="I46" s="26"/>
      <c r="J46" s="26"/>
      <c r="K46" s="26"/>
      <c r="L46" s="26"/>
      <c r="M46" s="26"/>
      <c r="N46" s="26"/>
      <c r="O46" s="26"/>
      <c r="P46" s="26"/>
      <c r="Q46" s="162"/>
      <c r="T46" s="738" t="s">
        <v>5</v>
      </c>
      <c r="U46" s="739"/>
      <c r="V46" s="740"/>
      <c r="W46" s="739" t="s">
        <v>5</v>
      </c>
      <c r="X46" s="740"/>
      <c r="Y46" s="739"/>
      <c r="Z46" s="740" t="s">
        <v>5</v>
      </c>
      <c r="AA46" s="739"/>
      <c r="AB46" s="740"/>
      <c r="AC46" s="739" t="s">
        <v>6</v>
      </c>
      <c r="AD46" s="740"/>
      <c r="AE46" s="739"/>
      <c r="AF46" s="740" t="s">
        <v>5</v>
      </c>
      <c r="AG46" s="739"/>
      <c r="AH46" s="741"/>
      <c r="AK46" s="738" t="s">
        <v>5</v>
      </c>
      <c r="AL46" s="739"/>
      <c r="AM46" s="740"/>
      <c r="AN46" s="739"/>
      <c r="AO46" s="740"/>
      <c r="AP46" s="739"/>
      <c r="AQ46" s="740"/>
      <c r="AR46" s="739"/>
      <c r="AS46" s="740"/>
      <c r="AT46" s="739"/>
      <c r="AU46" s="740"/>
      <c r="AV46" s="739"/>
      <c r="AW46" s="740"/>
      <c r="AX46" s="739"/>
      <c r="AY46" s="740"/>
      <c r="AZ46" s="739"/>
      <c r="BA46" s="740"/>
      <c r="BB46" s="739"/>
      <c r="BC46" s="740" t="s">
        <v>5</v>
      </c>
      <c r="BD46" s="739"/>
      <c r="BE46" s="740"/>
      <c r="BF46" s="739"/>
      <c r="BG46" s="740"/>
      <c r="BH46" s="739"/>
      <c r="BI46" s="740"/>
      <c r="BJ46" s="739" t="s">
        <v>5</v>
      </c>
      <c r="BK46" s="740"/>
      <c r="BL46" s="739"/>
      <c r="BM46" s="740"/>
      <c r="BN46" s="739"/>
      <c r="BO46" s="740"/>
      <c r="BP46" s="739"/>
      <c r="BQ46" s="740" t="s">
        <v>6</v>
      </c>
      <c r="BR46" s="739"/>
      <c r="BS46" s="740"/>
      <c r="BT46" s="739"/>
      <c r="BU46" s="740"/>
      <c r="BV46" s="739"/>
      <c r="BW46" s="740"/>
      <c r="BX46" s="739"/>
      <c r="BY46" s="740"/>
      <c r="BZ46" s="739"/>
      <c r="CA46" s="740"/>
      <c r="CB46" s="739"/>
      <c r="CC46" s="740"/>
      <c r="CD46" s="739"/>
      <c r="CE46" s="740"/>
      <c r="CF46" s="739"/>
      <c r="CG46" s="740"/>
      <c r="CH46" s="739"/>
      <c r="CI46" s="740"/>
      <c r="CJ46" s="739"/>
      <c r="CK46" s="740"/>
      <c r="CL46" s="748" t="s">
        <v>5</v>
      </c>
      <c r="CN46" s="713"/>
      <c r="CO46" s="726"/>
    </row>
    <row r="47" spans="2:93" hidden="1">
      <c r="B47" s="161"/>
      <c r="C47" s="33" t="str">
        <f>'Pupil_Place Numbers'!B56</f>
        <v/>
      </c>
      <c r="D47" s="33"/>
      <c r="E47" s="33"/>
      <c r="F47" s="33"/>
      <c r="G47" s="33"/>
      <c r="H47" s="33"/>
      <c r="I47" s="33"/>
      <c r="J47" s="33"/>
      <c r="K47" s="33"/>
      <c r="L47" s="33"/>
      <c r="M47" s="33"/>
      <c r="N47" s="33"/>
      <c r="O47" s="33"/>
      <c r="P47" s="33"/>
      <c r="Q47" s="162"/>
      <c r="T47" s="738" t="s">
        <v>5</v>
      </c>
      <c r="U47" s="739"/>
      <c r="V47" s="740"/>
      <c r="W47" s="739" t="s">
        <v>5</v>
      </c>
      <c r="X47" s="740"/>
      <c r="Y47" s="739"/>
      <c r="Z47" s="740" t="s">
        <v>5</v>
      </c>
      <c r="AA47" s="739"/>
      <c r="AB47" s="740"/>
      <c r="AC47" s="739" t="s">
        <v>6</v>
      </c>
      <c r="AD47" s="740"/>
      <c r="AE47" s="739"/>
      <c r="AF47" s="740" t="s">
        <v>5</v>
      </c>
      <c r="AG47" s="739"/>
      <c r="AH47" s="741"/>
      <c r="AK47" s="738" t="s">
        <v>5</v>
      </c>
      <c r="AL47" s="739"/>
      <c r="AM47" s="740"/>
      <c r="AN47" s="739"/>
      <c r="AO47" s="740"/>
      <c r="AP47" s="739"/>
      <c r="AQ47" s="740"/>
      <c r="AR47" s="739"/>
      <c r="AS47" s="740"/>
      <c r="AT47" s="739"/>
      <c r="AU47" s="740"/>
      <c r="AV47" s="739"/>
      <c r="AW47" s="740"/>
      <c r="AX47" s="739"/>
      <c r="AY47" s="740"/>
      <c r="AZ47" s="739"/>
      <c r="BA47" s="740"/>
      <c r="BB47" s="739"/>
      <c r="BC47" s="740" t="s">
        <v>5</v>
      </c>
      <c r="BD47" s="739"/>
      <c r="BE47" s="740"/>
      <c r="BF47" s="739"/>
      <c r="BG47" s="740"/>
      <c r="BH47" s="739"/>
      <c r="BI47" s="740"/>
      <c r="BJ47" s="739" t="s">
        <v>5</v>
      </c>
      <c r="BK47" s="740"/>
      <c r="BL47" s="739"/>
      <c r="BM47" s="740"/>
      <c r="BN47" s="739"/>
      <c r="BO47" s="740"/>
      <c r="BP47" s="739"/>
      <c r="BQ47" s="740" t="s">
        <v>6</v>
      </c>
      <c r="BR47" s="739"/>
      <c r="BS47" s="740"/>
      <c r="BT47" s="739"/>
      <c r="BU47" s="740"/>
      <c r="BV47" s="739"/>
      <c r="BW47" s="740"/>
      <c r="BX47" s="739"/>
      <c r="BY47" s="740"/>
      <c r="BZ47" s="739"/>
      <c r="CA47" s="740"/>
      <c r="CB47" s="739"/>
      <c r="CC47" s="740"/>
      <c r="CD47" s="739"/>
      <c r="CE47" s="740"/>
      <c r="CF47" s="739"/>
      <c r="CG47" s="740"/>
      <c r="CH47" s="739"/>
      <c r="CI47" s="740"/>
      <c r="CJ47" s="739"/>
      <c r="CK47" s="740"/>
      <c r="CL47" s="748" t="s">
        <v>5</v>
      </c>
      <c r="CN47" s="713"/>
      <c r="CO47" s="726"/>
    </row>
    <row r="48" spans="2:93" hidden="1">
      <c r="B48" s="161"/>
      <c r="C48" s="28" t="s">
        <v>353</v>
      </c>
      <c r="D48" s="27" t="s">
        <v>137</v>
      </c>
      <c r="E48" s="28">
        <f>SUM('Pupil_Place Numbers'!C57:C63)</f>
        <v>0</v>
      </c>
      <c r="F48" s="28">
        <f>SUM('Pupil_Place Numbers'!D57:D63)</f>
        <v>0</v>
      </c>
      <c r="G48" s="28">
        <f>SUM('Pupil_Place Numbers'!E57:E63)</f>
        <v>0</v>
      </c>
      <c r="H48" s="28">
        <f>SUM('Pupil_Place Numbers'!F57:F63)</f>
        <v>0</v>
      </c>
      <c r="I48" s="28">
        <f>SUM('Pupil_Place Numbers'!G57:G63)</f>
        <v>0</v>
      </c>
      <c r="J48" s="28">
        <f>SUM('Pupil_Place Numbers'!H57:H63)</f>
        <v>0</v>
      </c>
      <c r="K48" s="28">
        <f>SUM('Pupil_Place Numbers'!I57:I63)</f>
        <v>0</v>
      </c>
      <c r="L48" s="28">
        <f>SUM('Pupil_Place Numbers'!J57:J63)</f>
        <v>0</v>
      </c>
      <c r="M48" s="28"/>
      <c r="N48" s="28"/>
      <c r="O48" s="28"/>
      <c r="P48" s="28"/>
      <c r="Q48" s="162"/>
      <c r="T48" s="738" t="s">
        <v>5</v>
      </c>
      <c r="U48" s="739"/>
      <c r="V48" s="740"/>
      <c r="W48" s="739" t="s">
        <v>5</v>
      </c>
      <c r="X48" s="740"/>
      <c r="Y48" s="739"/>
      <c r="Z48" s="740" t="s">
        <v>5</v>
      </c>
      <c r="AA48" s="739"/>
      <c r="AB48" s="740"/>
      <c r="AC48" s="739" t="s">
        <v>6</v>
      </c>
      <c r="AD48" s="740"/>
      <c r="AE48" s="739"/>
      <c r="AF48" s="740" t="s">
        <v>5</v>
      </c>
      <c r="AG48" s="739"/>
      <c r="AH48" s="741"/>
      <c r="AK48" s="738" t="s">
        <v>5</v>
      </c>
      <c r="AL48" s="739"/>
      <c r="AM48" s="740"/>
      <c r="AN48" s="739"/>
      <c r="AO48" s="740"/>
      <c r="AP48" s="739"/>
      <c r="AQ48" s="740"/>
      <c r="AR48" s="739"/>
      <c r="AS48" s="740"/>
      <c r="AT48" s="739"/>
      <c r="AU48" s="740"/>
      <c r="AV48" s="739"/>
      <c r="AW48" s="740"/>
      <c r="AX48" s="739"/>
      <c r="AY48" s="740"/>
      <c r="AZ48" s="739"/>
      <c r="BA48" s="740"/>
      <c r="BB48" s="739"/>
      <c r="BC48" s="740" t="s">
        <v>5</v>
      </c>
      <c r="BD48" s="739"/>
      <c r="BE48" s="740"/>
      <c r="BF48" s="739"/>
      <c r="BG48" s="740"/>
      <c r="BH48" s="739"/>
      <c r="BI48" s="740"/>
      <c r="BJ48" s="739" t="s">
        <v>5</v>
      </c>
      <c r="BK48" s="740"/>
      <c r="BL48" s="739"/>
      <c r="BM48" s="740"/>
      <c r="BN48" s="739"/>
      <c r="BO48" s="740"/>
      <c r="BP48" s="739"/>
      <c r="BQ48" s="740" t="s">
        <v>6</v>
      </c>
      <c r="BR48" s="739"/>
      <c r="BS48" s="740"/>
      <c r="BT48" s="739" t="s">
        <v>6</v>
      </c>
      <c r="BU48" s="740"/>
      <c r="BV48" s="739"/>
      <c r="BW48" s="740" t="s">
        <v>5</v>
      </c>
      <c r="BX48" s="739"/>
      <c r="BY48" s="740"/>
      <c r="BZ48" s="739" t="s">
        <v>5</v>
      </c>
      <c r="CA48" s="740"/>
      <c r="CB48" s="739"/>
      <c r="CC48" s="740" t="s">
        <v>6</v>
      </c>
      <c r="CD48" s="739"/>
      <c r="CE48" s="740"/>
      <c r="CF48" s="739" t="s">
        <v>6</v>
      </c>
      <c r="CG48" s="740"/>
      <c r="CH48" s="739"/>
      <c r="CI48" s="740" t="s">
        <v>5</v>
      </c>
      <c r="CJ48" s="739"/>
      <c r="CK48" s="740"/>
      <c r="CL48" s="748" t="s">
        <v>5</v>
      </c>
      <c r="CN48" s="713"/>
      <c r="CO48" s="726"/>
    </row>
    <row r="49" spans="2:93" hidden="1">
      <c r="B49" s="161"/>
      <c r="C49" s="28" t="s">
        <v>354</v>
      </c>
      <c r="D49" s="27" t="s">
        <v>137</v>
      </c>
      <c r="E49" s="28">
        <f>SUM('Pupil_Place Numbers'!C64:C70)</f>
        <v>0</v>
      </c>
      <c r="F49" s="28">
        <f>SUM('Pupil_Place Numbers'!D64:D70)</f>
        <v>0</v>
      </c>
      <c r="G49" s="28">
        <f>SUM('Pupil_Place Numbers'!E64:E70)</f>
        <v>0</v>
      </c>
      <c r="H49" s="28">
        <f>SUM('Pupil_Place Numbers'!F64:F70)</f>
        <v>0</v>
      </c>
      <c r="I49" s="28">
        <f>SUM('Pupil_Place Numbers'!G64:G70)</f>
        <v>0</v>
      </c>
      <c r="J49" s="28">
        <f>SUM('Pupil_Place Numbers'!H64:H70)</f>
        <v>0</v>
      </c>
      <c r="K49" s="28">
        <f>SUM('Pupil_Place Numbers'!I64:I70)</f>
        <v>0</v>
      </c>
      <c r="L49" s="28">
        <f>SUM('Pupil_Place Numbers'!J64:J70)</f>
        <v>0</v>
      </c>
      <c r="M49" s="28"/>
      <c r="N49" s="28"/>
      <c r="O49" s="28"/>
      <c r="P49" s="28"/>
      <c r="Q49" s="162"/>
      <c r="T49" s="738" t="s">
        <v>5</v>
      </c>
      <c r="U49" s="739"/>
      <c r="V49" s="740"/>
      <c r="W49" s="739" t="s">
        <v>5</v>
      </c>
      <c r="X49" s="740"/>
      <c r="Y49" s="739"/>
      <c r="Z49" s="740" t="s">
        <v>5</v>
      </c>
      <c r="AA49" s="739"/>
      <c r="AB49" s="740"/>
      <c r="AC49" s="739" t="s">
        <v>6</v>
      </c>
      <c r="AD49" s="740"/>
      <c r="AE49" s="739"/>
      <c r="AF49" s="740" t="s">
        <v>5</v>
      </c>
      <c r="AG49" s="739"/>
      <c r="AH49" s="741"/>
      <c r="AK49" s="738" t="s">
        <v>5</v>
      </c>
      <c r="AL49" s="739"/>
      <c r="AM49" s="740"/>
      <c r="AN49" s="739"/>
      <c r="AO49" s="740"/>
      <c r="AP49" s="739"/>
      <c r="AQ49" s="740"/>
      <c r="AR49" s="739"/>
      <c r="AS49" s="740"/>
      <c r="AT49" s="739"/>
      <c r="AU49" s="740"/>
      <c r="AV49" s="739"/>
      <c r="AW49" s="740"/>
      <c r="AX49" s="739"/>
      <c r="AY49" s="740"/>
      <c r="AZ49" s="739"/>
      <c r="BA49" s="740"/>
      <c r="BB49" s="739"/>
      <c r="BC49" s="740" t="s">
        <v>5</v>
      </c>
      <c r="BD49" s="739"/>
      <c r="BE49" s="740"/>
      <c r="BF49" s="739"/>
      <c r="BG49" s="740"/>
      <c r="BH49" s="739"/>
      <c r="BI49" s="740"/>
      <c r="BJ49" s="739" t="s">
        <v>5</v>
      </c>
      <c r="BK49" s="740"/>
      <c r="BL49" s="739"/>
      <c r="BM49" s="740"/>
      <c r="BN49" s="739"/>
      <c r="BO49" s="740"/>
      <c r="BP49" s="739"/>
      <c r="BQ49" s="740" t="s">
        <v>6</v>
      </c>
      <c r="BR49" s="739"/>
      <c r="BS49" s="740"/>
      <c r="BT49" s="739" t="s">
        <v>5</v>
      </c>
      <c r="BU49" s="740"/>
      <c r="BV49" s="739"/>
      <c r="BW49" s="740" t="s">
        <v>6</v>
      </c>
      <c r="BX49" s="739"/>
      <c r="BY49" s="740"/>
      <c r="BZ49" s="739" t="s">
        <v>6</v>
      </c>
      <c r="CA49" s="740"/>
      <c r="CB49" s="739"/>
      <c r="CC49" s="740" t="s">
        <v>6</v>
      </c>
      <c r="CD49" s="739"/>
      <c r="CE49" s="740"/>
      <c r="CF49" s="739" t="s">
        <v>6</v>
      </c>
      <c r="CG49" s="740"/>
      <c r="CH49" s="739"/>
      <c r="CI49" s="740" t="s">
        <v>6</v>
      </c>
      <c r="CJ49" s="739"/>
      <c r="CK49" s="740"/>
      <c r="CL49" s="748" t="s">
        <v>5</v>
      </c>
      <c r="CN49" s="713"/>
      <c r="CO49" s="726"/>
    </row>
    <row r="50" spans="2:93" hidden="1">
      <c r="B50" s="161"/>
      <c r="C50" s="97" t="s">
        <v>355</v>
      </c>
      <c r="D50" s="125" t="s">
        <v>135</v>
      </c>
      <c r="E50" s="575"/>
      <c r="F50" s="575"/>
      <c r="G50" s="575"/>
      <c r="H50" s="575"/>
      <c r="I50" s="575"/>
      <c r="J50" s="575"/>
      <c r="K50" s="575"/>
      <c r="L50" s="575"/>
      <c r="M50" s="97"/>
      <c r="N50" s="97"/>
      <c r="O50" s="97"/>
      <c r="P50" s="97"/>
      <c r="Q50" s="162"/>
      <c r="T50" s="738" t="s">
        <v>5</v>
      </c>
      <c r="U50" s="739"/>
      <c r="V50" s="740"/>
      <c r="W50" s="739" t="s">
        <v>5</v>
      </c>
      <c r="X50" s="740"/>
      <c r="Y50" s="739"/>
      <c r="Z50" s="740" t="s">
        <v>5</v>
      </c>
      <c r="AA50" s="739"/>
      <c r="AB50" s="740"/>
      <c r="AC50" s="739" t="s">
        <v>6</v>
      </c>
      <c r="AD50" s="740"/>
      <c r="AE50" s="739"/>
      <c r="AF50" s="740" t="s">
        <v>5</v>
      </c>
      <c r="AG50" s="739"/>
      <c r="AH50" s="741"/>
      <c r="AK50" s="738" t="s">
        <v>5</v>
      </c>
      <c r="AL50" s="739"/>
      <c r="AM50" s="740"/>
      <c r="AN50" s="739"/>
      <c r="AO50" s="740"/>
      <c r="AP50" s="739"/>
      <c r="AQ50" s="740"/>
      <c r="AR50" s="739"/>
      <c r="AS50" s="740"/>
      <c r="AT50" s="739"/>
      <c r="AU50" s="740"/>
      <c r="AV50" s="739"/>
      <c r="AW50" s="740"/>
      <c r="AX50" s="739"/>
      <c r="AY50" s="740"/>
      <c r="AZ50" s="739"/>
      <c r="BA50" s="740"/>
      <c r="BB50" s="739"/>
      <c r="BC50" s="740" t="s">
        <v>5</v>
      </c>
      <c r="BD50" s="739"/>
      <c r="BE50" s="740"/>
      <c r="BF50" s="739"/>
      <c r="BG50" s="740"/>
      <c r="BH50" s="739"/>
      <c r="BI50" s="740"/>
      <c r="BJ50" s="739" t="s">
        <v>5</v>
      </c>
      <c r="BK50" s="740"/>
      <c r="BL50" s="739"/>
      <c r="BM50" s="740"/>
      <c r="BN50" s="739"/>
      <c r="BO50" s="740"/>
      <c r="BP50" s="739"/>
      <c r="BQ50" s="740" t="s">
        <v>6</v>
      </c>
      <c r="BR50" s="739"/>
      <c r="BS50" s="740"/>
      <c r="BT50" s="739" t="s">
        <v>6</v>
      </c>
      <c r="BU50" s="740"/>
      <c r="BV50" s="739"/>
      <c r="BW50" s="740" t="s">
        <v>5</v>
      </c>
      <c r="BX50" s="739"/>
      <c r="BY50" s="740"/>
      <c r="BZ50" s="739" t="s">
        <v>5</v>
      </c>
      <c r="CA50" s="740"/>
      <c r="CB50" s="739"/>
      <c r="CC50" s="740" t="s">
        <v>6</v>
      </c>
      <c r="CD50" s="739"/>
      <c r="CE50" s="740"/>
      <c r="CF50" s="739" t="s">
        <v>6</v>
      </c>
      <c r="CG50" s="740"/>
      <c r="CH50" s="739"/>
      <c r="CI50" s="740" t="s">
        <v>5</v>
      </c>
      <c r="CJ50" s="739"/>
      <c r="CK50" s="740"/>
      <c r="CL50" s="748" t="s">
        <v>5</v>
      </c>
      <c r="CN50" s="713"/>
      <c r="CO50" s="726"/>
    </row>
    <row r="51" spans="2:93" hidden="1">
      <c r="B51" s="161"/>
      <c r="C51" s="97" t="s">
        <v>356</v>
      </c>
      <c r="D51" s="125" t="s">
        <v>135</v>
      </c>
      <c r="E51" s="575"/>
      <c r="F51" s="575"/>
      <c r="G51" s="575"/>
      <c r="H51" s="575"/>
      <c r="I51" s="575"/>
      <c r="J51" s="575"/>
      <c r="K51" s="575"/>
      <c r="L51" s="575"/>
      <c r="M51" s="97"/>
      <c r="N51" s="97"/>
      <c r="O51" s="97"/>
      <c r="P51" s="97"/>
      <c r="Q51" s="162"/>
      <c r="T51" s="738" t="s">
        <v>5</v>
      </c>
      <c r="U51" s="739"/>
      <c r="V51" s="740"/>
      <c r="W51" s="739" t="s">
        <v>5</v>
      </c>
      <c r="X51" s="740"/>
      <c r="Y51" s="739"/>
      <c r="Z51" s="740" t="s">
        <v>5</v>
      </c>
      <c r="AA51" s="739"/>
      <c r="AB51" s="740"/>
      <c r="AC51" s="739" t="s">
        <v>6</v>
      </c>
      <c r="AD51" s="740"/>
      <c r="AE51" s="739"/>
      <c r="AF51" s="740" t="s">
        <v>5</v>
      </c>
      <c r="AG51" s="739"/>
      <c r="AH51" s="741"/>
      <c r="AK51" s="738" t="s">
        <v>5</v>
      </c>
      <c r="AL51" s="739"/>
      <c r="AM51" s="740"/>
      <c r="AN51" s="739"/>
      <c r="AO51" s="740"/>
      <c r="AP51" s="739"/>
      <c r="AQ51" s="740"/>
      <c r="AR51" s="739"/>
      <c r="AS51" s="740"/>
      <c r="AT51" s="739"/>
      <c r="AU51" s="740"/>
      <c r="AV51" s="739"/>
      <c r="AW51" s="740"/>
      <c r="AX51" s="739"/>
      <c r="AY51" s="740"/>
      <c r="AZ51" s="739"/>
      <c r="BA51" s="740"/>
      <c r="BB51" s="739"/>
      <c r="BC51" s="740" t="s">
        <v>5</v>
      </c>
      <c r="BD51" s="739"/>
      <c r="BE51" s="740"/>
      <c r="BF51" s="739"/>
      <c r="BG51" s="740"/>
      <c r="BH51" s="739"/>
      <c r="BI51" s="740"/>
      <c r="BJ51" s="739" t="s">
        <v>5</v>
      </c>
      <c r="BK51" s="740"/>
      <c r="BL51" s="739"/>
      <c r="BM51" s="740"/>
      <c r="BN51" s="739"/>
      <c r="BO51" s="740"/>
      <c r="BP51" s="739"/>
      <c r="BQ51" s="740" t="s">
        <v>6</v>
      </c>
      <c r="BR51" s="739"/>
      <c r="BS51" s="740"/>
      <c r="BT51" s="739" t="s">
        <v>5</v>
      </c>
      <c r="BU51" s="740"/>
      <c r="BV51" s="739"/>
      <c r="BW51" s="740" t="s">
        <v>6</v>
      </c>
      <c r="BX51" s="739"/>
      <c r="BY51" s="740"/>
      <c r="BZ51" s="739" t="s">
        <v>6</v>
      </c>
      <c r="CA51" s="740"/>
      <c r="CB51" s="739"/>
      <c r="CC51" s="740" t="s">
        <v>6</v>
      </c>
      <c r="CD51" s="739"/>
      <c r="CE51" s="740"/>
      <c r="CF51" s="739" t="s">
        <v>6</v>
      </c>
      <c r="CG51" s="740"/>
      <c r="CH51" s="739"/>
      <c r="CI51" s="740" t="s">
        <v>6</v>
      </c>
      <c r="CJ51" s="739"/>
      <c r="CK51" s="740"/>
      <c r="CL51" s="748" t="s">
        <v>5</v>
      </c>
      <c r="CN51" s="713"/>
      <c r="CO51" s="726"/>
    </row>
    <row r="52" spans="2:93" hidden="1">
      <c r="B52" s="161"/>
      <c r="C52" s="28"/>
      <c r="D52" s="28"/>
      <c r="E52" s="28"/>
      <c r="F52" s="28"/>
      <c r="G52" s="28"/>
      <c r="H52" s="28"/>
      <c r="I52" s="28"/>
      <c r="J52" s="28"/>
      <c r="K52" s="28"/>
      <c r="L52" s="28"/>
      <c r="M52" s="28"/>
      <c r="N52" s="28"/>
      <c r="O52" s="28"/>
      <c r="P52" s="28"/>
      <c r="Q52" s="162"/>
      <c r="T52" s="738" t="s">
        <v>5</v>
      </c>
      <c r="U52" s="739"/>
      <c r="V52" s="740"/>
      <c r="W52" s="739" t="s">
        <v>5</v>
      </c>
      <c r="X52" s="740"/>
      <c r="Y52" s="739"/>
      <c r="Z52" s="740" t="s">
        <v>5</v>
      </c>
      <c r="AA52" s="739"/>
      <c r="AB52" s="740"/>
      <c r="AC52" s="739" t="s">
        <v>6</v>
      </c>
      <c r="AD52" s="740"/>
      <c r="AE52" s="739"/>
      <c r="AF52" s="740" t="s">
        <v>5</v>
      </c>
      <c r="AG52" s="739"/>
      <c r="AH52" s="741"/>
      <c r="AK52" s="738" t="s">
        <v>5</v>
      </c>
      <c r="AL52" s="739"/>
      <c r="AM52" s="740"/>
      <c r="AN52" s="739"/>
      <c r="AO52" s="740"/>
      <c r="AP52" s="739"/>
      <c r="AQ52" s="740"/>
      <c r="AR52" s="739"/>
      <c r="AS52" s="740"/>
      <c r="AT52" s="739"/>
      <c r="AU52" s="740"/>
      <c r="AV52" s="739"/>
      <c r="AW52" s="740"/>
      <c r="AX52" s="739"/>
      <c r="AY52" s="740"/>
      <c r="AZ52" s="739"/>
      <c r="BA52" s="740"/>
      <c r="BB52" s="739"/>
      <c r="BC52" s="740" t="s">
        <v>5</v>
      </c>
      <c r="BD52" s="739"/>
      <c r="BE52" s="740"/>
      <c r="BF52" s="739"/>
      <c r="BG52" s="740"/>
      <c r="BH52" s="739"/>
      <c r="BI52" s="740"/>
      <c r="BJ52" s="739" t="s">
        <v>5</v>
      </c>
      <c r="BK52" s="740"/>
      <c r="BL52" s="739"/>
      <c r="BM52" s="740"/>
      <c r="BN52" s="739"/>
      <c r="BO52" s="740"/>
      <c r="BP52" s="739"/>
      <c r="BQ52" s="740" t="s">
        <v>6</v>
      </c>
      <c r="BR52" s="739"/>
      <c r="BS52" s="740"/>
      <c r="BT52" s="739"/>
      <c r="BU52" s="740"/>
      <c r="BV52" s="739"/>
      <c r="BW52" s="740"/>
      <c r="BX52" s="739"/>
      <c r="BY52" s="740"/>
      <c r="BZ52" s="739"/>
      <c r="CA52" s="740"/>
      <c r="CB52" s="739"/>
      <c r="CC52" s="740"/>
      <c r="CD52" s="739"/>
      <c r="CE52" s="740"/>
      <c r="CF52" s="739"/>
      <c r="CG52" s="740"/>
      <c r="CH52" s="739"/>
      <c r="CI52" s="740"/>
      <c r="CJ52" s="739"/>
      <c r="CK52" s="740"/>
      <c r="CL52" s="748" t="s">
        <v>5</v>
      </c>
      <c r="CN52" s="713"/>
      <c r="CO52" s="726"/>
    </row>
    <row r="53" spans="2:93" hidden="1">
      <c r="B53" s="161"/>
      <c r="C53" s="26" t="s">
        <v>140</v>
      </c>
      <c r="D53" s="26"/>
      <c r="E53" s="26"/>
      <c r="F53" s="26"/>
      <c r="G53" s="26"/>
      <c r="H53" s="26"/>
      <c r="I53" s="26"/>
      <c r="J53" s="26"/>
      <c r="K53" s="26"/>
      <c r="L53" s="26"/>
      <c r="M53" s="26"/>
      <c r="N53" s="26"/>
      <c r="O53" s="26"/>
      <c r="P53" s="26"/>
      <c r="Q53" s="162"/>
      <c r="T53" s="738" t="s">
        <v>5</v>
      </c>
      <c r="U53" s="739"/>
      <c r="V53" s="740"/>
      <c r="W53" s="739" t="s">
        <v>5</v>
      </c>
      <c r="X53" s="740"/>
      <c r="Y53" s="739"/>
      <c r="Z53" s="740" t="s">
        <v>5</v>
      </c>
      <c r="AA53" s="739"/>
      <c r="AB53" s="740"/>
      <c r="AC53" s="739" t="s">
        <v>6</v>
      </c>
      <c r="AD53" s="740"/>
      <c r="AE53" s="739"/>
      <c r="AF53" s="740" t="s">
        <v>5</v>
      </c>
      <c r="AG53" s="739"/>
      <c r="AH53" s="741"/>
      <c r="AK53" s="738" t="s">
        <v>5</v>
      </c>
      <c r="AL53" s="739"/>
      <c r="AM53" s="740"/>
      <c r="AN53" s="739"/>
      <c r="AO53" s="740"/>
      <c r="AP53" s="739"/>
      <c r="AQ53" s="740"/>
      <c r="AR53" s="739"/>
      <c r="AS53" s="740"/>
      <c r="AT53" s="739"/>
      <c r="AU53" s="740"/>
      <c r="AV53" s="739"/>
      <c r="AW53" s="740"/>
      <c r="AX53" s="739"/>
      <c r="AY53" s="740"/>
      <c r="AZ53" s="739"/>
      <c r="BA53" s="740"/>
      <c r="BB53" s="739"/>
      <c r="BC53" s="740" t="s">
        <v>5</v>
      </c>
      <c r="BD53" s="739"/>
      <c r="BE53" s="740"/>
      <c r="BF53" s="739"/>
      <c r="BG53" s="740"/>
      <c r="BH53" s="739"/>
      <c r="BI53" s="740"/>
      <c r="BJ53" s="739" t="s">
        <v>5</v>
      </c>
      <c r="BK53" s="740"/>
      <c r="BL53" s="739"/>
      <c r="BM53" s="740"/>
      <c r="BN53" s="739"/>
      <c r="BO53" s="740"/>
      <c r="BP53" s="739"/>
      <c r="BQ53" s="740" t="s">
        <v>6</v>
      </c>
      <c r="BR53" s="739"/>
      <c r="BS53" s="740"/>
      <c r="BT53" s="739"/>
      <c r="BU53" s="740"/>
      <c r="BV53" s="739"/>
      <c r="BW53" s="740"/>
      <c r="BX53" s="739"/>
      <c r="BY53" s="740"/>
      <c r="BZ53" s="739"/>
      <c r="CA53" s="740"/>
      <c r="CB53" s="739"/>
      <c r="CC53" s="740"/>
      <c r="CD53" s="739"/>
      <c r="CE53" s="740"/>
      <c r="CF53" s="739"/>
      <c r="CG53" s="740"/>
      <c r="CH53" s="739"/>
      <c r="CI53" s="740"/>
      <c r="CJ53" s="739"/>
      <c r="CK53" s="740"/>
      <c r="CL53" s="748" t="s">
        <v>5</v>
      </c>
      <c r="CN53" s="713"/>
      <c r="CO53" s="726"/>
    </row>
    <row r="54" spans="2:93" hidden="1">
      <c r="B54" s="161"/>
      <c r="C54" s="33" t="str">
        <f>'Pupil_Place Numbers'!B73</f>
        <v/>
      </c>
      <c r="D54" s="33"/>
      <c r="E54" s="33"/>
      <c r="F54" s="33"/>
      <c r="G54" s="33"/>
      <c r="H54" s="33"/>
      <c r="I54" s="33"/>
      <c r="J54" s="33"/>
      <c r="K54" s="33"/>
      <c r="L54" s="33"/>
      <c r="M54" s="33"/>
      <c r="N54" s="33"/>
      <c r="O54" s="33"/>
      <c r="P54" s="33"/>
      <c r="Q54" s="162"/>
      <c r="T54" s="738" t="s">
        <v>5</v>
      </c>
      <c r="U54" s="739"/>
      <c r="V54" s="740"/>
      <c r="W54" s="739" t="s">
        <v>5</v>
      </c>
      <c r="X54" s="740"/>
      <c r="Y54" s="739"/>
      <c r="Z54" s="740" t="s">
        <v>5</v>
      </c>
      <c r="AA54" s="739"/>
      <c r="AB54" s="740"/>
      <c r="AC54" s="739" t="s">
        <v>6</v>
      </c>
      <c r="AD54" s="740"/>
      <c r="AE54" s="739"/>
      <c r="AF54" s="740" t="s">
        <v>5</v>
      </c>
      <c r="AG54" s="739"/>
      <c r="AH54" s="741"/>
      <c r="AK54" s="738" t="s">
        <v>5</v>
      </c>
      <c r="AL54" s="739"/>
      <c r="AM54" s="740"/>
      <c r="AN54" s="739"/>
      <c r="AO54" s="740"/>
      <c r="AP54" s="739"/>
      <c r="AQ54" s="740"/>
      <c r="AR54" s="739"/>
      <c r="AS54" s="740"/>
      <c r="AT54" s="739"/>
      <c r="AU54" s="740"/>
      <c r="AV54" s="739"/>
      <c r="AW54" s="740"/>
      <c r="AX54" s="739"/>
      <c r="AY54" s="740"/>
      <c r="AZ54" s="739"/>
      <c r="BA54" s="740"/>
      <c r="BB54" s="739"/>
      <c r="BC54" s="740" t="s">
        <v>5</v>
      </c>
      <c r="BD54" s="739"/>
      <c r="BE54" s="740"/>
      <c r="BF54" s="739"/>
      <c r="BG54" s="740"/>
      <c r="BH54" s="739"/>
      <c r="BI54" s="740"/>
      <c r="BJ54" s="739" t="s">
        <v>5</v>
      </c>
      <c r="BK54" s="740"/>
      <c r="BL54" s="739"/>
      <c r="BM54" s="740"/>
      <c r="BN54" s="739"/>
      <c r="BO54" s="740"/>
      <c r="BP54" s="739"/>
      <c r="BQ54" s="740" t="s">
        <v>6</v>
      </c>
      <c r="BR54" s="739"/>
      <c r="BS54" s="740"/>
      <c r="BT54" s="739"/>
      <c r="BU54" s="740"/>
      <c r="BV54" s="739"/>
      <c r="BW54" s="740"/>
      <c r="BX54" s="739"/>
      <c r="BY54" s="740"/>
      <c r="BZ54" s="739"/>
      <c r="CA54" s="740"/>
      <c r="CB54" s="739"/>
      <c r="CC54" s="740"/>
      <c r="CD54" s="739"/>
      <c r="CE54" s="740"/>
      <c r="CF54" s="739"/>
      <c r="CG54" s="740"/>
      <c r="CH54" s="739"/>
      <c r="CI54" s="740"/>
      <c r="CJ54" s="739"/>
      <c r="CK54" s="740"/>
      <c r="CL54" s="748" t="s">
        <v>5</v>
      </c>
      <c r="CN54" s="713"/>
      <c r="CO54" s="726"/>
    </row>
    <row r="55" spans="2:93" hidden="1">
      <c r="B55" s="161"/>
      <c r="C55" s="28" t="s">
        <v>353</v>
      </c>
      <c r="D55" s="27" t="s">
        <v>137</v>
      </c>
      <c r="E55" s="28">
        <f>SUM('Pupil_Place Numbers'!C74:C80)</f>
        <v>0</v>
      </c>
      <c r="F55" s="28">
        <f>SUM('Pupil_Place Numbers'!D74:D80)</f>
        <v>0</v>
      </c>
      <c r="G55" s="28">
        <f>SUM('Pupil_Place Numbers'!E74:E80)</f>
        <v>0</v>
      </c>
      <c r="H55" s="28">
        <f>SUM('Pupil_Place Numbers'!F74:F80)</f>
        <v>0</v>
      </c>
      <c r="I55" s="28">
        <f>SUM('Pupil_Place Numbers'!G74:G80)</f>
        <v>0</v>
      </c>
      <c r="J55" s="28">
        <f>SUM('Pupil_Place Numbers'!H74:H80)</f>
        <v>0</v>
      </c>
      <c r="K55" s="28">
        <f>SUM('Pupil_Place Numbers'!I74:I80)</f>
        <v>0</v>
      </c>
      <c r="L55" s="28">
        <f>SUM('Pupil_Place Numbers'!J74:J80)</f>
        <v>0</v>
      </c>
      <c r="M55" s="28"/>
      <c r="N55" s="28"/>
      <c r="O55" s="28"/>
      <c r="P55" s="28"/>
      <c r="Q55" s="162"/>
      <c r="T55" s="738" t="s">
        <v>5</v>
      </c>
      <c r="U55" s="739"/>
      <c r="V55" s="740"/>
      <c r="W55" s="739" t="s">
        <v>5</v>
      </c>
      <c r="X55" s="740"/>
      <c r="Y55" s="739"/>
      <c r="Z55" s="740" t="s">
        <v>5</v>
      </c>
      <c r="AA55" s="739"/>
      <c r="AB55" s="740"/>
      <c r="AC55" s="739" t="s">
        <v>6</v>
      </c>
      <c r="AD55" s="740"/>
      <c r="AE55" s="739"/>
      <c r="AF55" s="740" t="s">
        <v>5</v>
      </c>
      <c r="AG55" s="739"/>
      <c r="AH55" s="741"/>
      <c r="AK55" s="738" t="s">
        <v>5</v>
      </c>
      <c r="AL55" s="739"/>
      <c r="AM55" s="740"/>
      <c r="AN55" s="739"/>
      <c r="AO55" s="740"/>
      <c r="AP55" s="739"/>
      <c r="AQ55" s="740"/>
      <c r="AR55" s="739"/>
      <c r="AS55" s="740"/>
      <c r="AT55" s="739"/>
      <c r="AU55" s="740"/>
      <c r="AV55" s="739"/>
      <c r="AW55" s="740"/>
      <c r="AX55" s="739"/>
      <c r="AY55" s="740"/>
      <c r="AZ55" s="739"/>
      <c r="BA55" s="740"/>
      <c r="BB55" s="739"/>
      <c r="BC55" s="740" t="s">
        <v>5</v>
      </c>
      <c r="BD55" s="739"/>
      <c r="BE55" s="740"/>
      <c r="BF55" s="739"/>
      <c r="BG55" s="740"/>
      <c r="BH55" s="739"/>
      <c r="BI55" s="740"/>
      <c r="BJ55" s="739" t="s">
        <v>5</v>
      </c>
      <c r="BK55" s="740"/>
      <c r="BL55" s="739"/>
      <c r="BM55" s="740"/>
      <c r="BN55" s="739"/>
      <c r="BO55" s="740"/>
      <c r="BP55" s="739"/>
      <c r="BQ55" s="740" t="s">
        <v>6</v>
      </c>
      <c r="BR55" s="739"/>
      <c r="BS55" s="740"/>
      <c r="BT55" s="739" t="s">
        <v>6</v>
      </c>
      <c r="BU55" s="740"/>
      <c r="BV55" s="739"/>
      <c r="BW55" s="740" t="s">
        <v>5</v>
      </c>
      <c r="BX55" s="739"/>
      <c r="BY55" s="740"/>
      <c r="BZ55" s="739" t="s">
        <v>5</v>
      </c>
      <c r="CA55" s="740"/>
      <c r="CB55" s="739"/>
      <c r="CC55" s="740" t="s">
        <v>6</v>
      </c>
      <c r="CD55" s="739"/>
      <c r="CE55" s="740"/>
      <c r="CF55" s="739" t="s">
        <v>6</v>
      </c>
      <c r="CG55" s="740"/>
      <c r="CH55" s="739"/>
      <c r="CI55" s="740" t="s">
        <v>5</v>
      </c>
      <c r="CJ55" s="739"/>
      <c r="CK55" s="740"/>
      <c r="CL55" s="748" t="s">
        <v>5</v>
      </c>
      <c r="CN55" s="713"/>
      <c r="CO55" s="726"/>
    </row>
    <row r="56" spans="2:93" hidden="1">
      <c r="B56" s="161"/>
      <c r="C56" s="28" t="s">
        <v>354</v>
      </c>
      <c r="D56" s="27" t="s">
        <v>137</v>
      </c>
      <c r="E56" s="28">
        <f>SUM('Pupil_Place Numbers'!C81:C87)</f>
        <v>0</v>
      </c>
      <c r="F56" s="28">
        <f>SUM('Pupil_Place Numbers'!D81:D87)</f>
        <v>0</v>
      </c>
      <c r="G56" s="28">
        <f>SUM('Pupil_Place Numbers'!E81:E87)</f>
        <v>0</v>
      </c>
      <c r="H56" s="28">
        <f>SUM('Pupil_Place Numbers'!F81:F87)</f>
        <v>0</v>
      </c>
      <c r="I56" s="28">
        <f>SUM('Pupil_Place Numbers'!G81:G87)</f>
        <v>0</v>
      </c>
      <c r="J56" s="28">
        <f>SUM('Pupil_Place Numbers'!H81:H87)</f>
        <v>0</v>
      </c>
      <c r="K56" s="28">
        <f>SUM('Pupil_Place Numbers'!I81:I87)</f>
        <v>0</v>
      </c>
      <c r="L56" s="28">
        <f>SUM('Pupil_Place Numbers'!J81:J87)</f>
        <v>0</v>
      </c>
      <c r="M56" s="28"/>
      <c r="N56" s="28"/>
      <c r="O56" s="28"/>
      <c r="P56" s="28"/>
      <c r="Q56" s="162"/>
      <c r="T56" s="738" t="s">
        <v>5</v>
      </c>
      <c r="U56" s="739"/>
      <c r="V56" s="740"/>
      <c r="W56" s="739" t="s">
        <v>5</v>
      </c>
      <c r="X56" s="740"/>
      <c r="Y56" s="739"/>
      <c r="Z56" s="740" t="s">
        <v>5</v>
      </c>
      <c r="AA56" s="739"/>
      <c r="AB56" s="740"/>
      <c r="AC56" s="739" t="s">
        <v>6</v>
      </c>
      <c r="AD56" s="740"/>
      <c r="AE56" s="739"/>
      <c r="AF56" s="740" t="s">
        <v>5</v>
      </c>
      <c r="AG56" s="739"/>
      <c r="AH56" s="741"/>
      <c r="AK56" s="738" t="s">
        <v>5</v>
      </c>
      <c r="AL56" s="739"/>
      <c r="AM56" s="740"/>
      <c r="AN56" s="739"/>
      <c r="AO56" s="740"/>
      <c r="AP56" s="739"/>
      <c r="AQ56" s="740"/>
      <c r="AR56" s="739"/>
      <c r="AS56" s="740"/>
      <c r="AT56" s="739"/>
      <c r="AU56" s="740"/>
      <c r="AV56" s="739"/>
      <c r="AW56" s="740"/>
      <c r="AX56" s="739"/>
      <c r="AY56" s="740"/>
      <c r="AZ56" s="739"/>
      <c r="BA56" s="740"/>
      <c r="BB56" s="739"/>
      <c r="BC56" s="740" t="s">
        <v>5</v>
      </c>
      <c r="BD56" s="739"/>
      <c r="BE56" s="740"/>
      <c r="BF56" s="739"/>
      <c r="BG56" s="740"/>
      <c r="BH56" s="739"/>
      <c r="BI56" s="740"/>
      <c r="BJ56" s="739" t="s">
        <v>5</v>
      </c>
      <c r="BK56" s="740"/>
      <c r="BL56" s="739"/>
      <c r="BM56" s="740"/>
      <c r="BN56" s="739"/>
      <c r="BO56" s="740"/>
      <c r="BP56" s="739"/>
      <c r="BQ56" s="740" t="s">
        <v>6</v>
      </c>
      <c r="BR56" s="739"/>
      <c r="BS56" s="740"/>
      <c r="BT56" s="739" t="s">
        <v>5</v>
      </c>
      <c r="BU56" s="740"/>
      <c r="BV56" s="739"/>
      <c r="BW56" s="740" t="s">
        <v>6</v>
      </c>
      <c r="BX56" s="739"/>
      <c r="BY56" s="740"/>
      <c r="BZ56" s="739" t="s">
        <v>6</v>
      </c>
      <c r="CA56" s="740"/>
      <c r="CB56" s="739"/>
      <c r="CC56" s="740" t="s">
        <v>6</v>
      </c>
      <c r="CD56" s="739"/>
      <c r="CE56" s="740"/>
      <c r="CF56" s="739" t="s">
        <v>6</v>
      </c>
      <c r="CG56" s="740"/>
      <c r="CH56" s="739"/>
      <c r="CI56" s="740" t="s">
        <v>6</v>
      </c>
      <c r="CJ56" s="739"/>
      <c r="CK56" s="740"/>
      <c r="CL56" s="748" t="s">
        <v>5</v>
      </c>
      <c r="CN56" s="713"/>
      <c r="CO56" s="726"/>
    </row>
    <row r="57" spans="2:93" hidden="1">
      <c r="B57" s="161"/>
      <c r="C57" s="97" t="s">
        <v>355</v>
      </c>
      <c r="D57" s="125" t="s">
        <v>135</v>
      </c>
      <c r="E57" s="575"/>
      <c r="F57" s="575"/>
      <c r="G57" s="575"/>
      <c r="H57" s="575"/>
      <c r="I57" s="575"/>
      <c r="J57" s="575"/>
      <c r="K57" s="575"/>
      <c r="L57" s="575"/>
      <c r="M57" s="97"/>
      <c r="N57" s="97"/>
      <c r="O57" s="97"/>
      <c r="P57" s="97"/>
      <c r="Q57" s="162"/>
      <c r="T57" s="738" t="s">
        <v>5</v>
      </c>
      <c r="U57" s="739"/>
      <c r="V57" s="740"/>
      <c r="W57" s="739" t="s">
        <v>5</v>
      </c>
      <c r="X57" s="740"/>
      <c r="Y57" s="739"/>
      <c r="Z57" s="740" t="s">
        <v>5</v>
      </c>
      <c r="AA57" s="739"/>
      <c r="AB57" s="740"/>
      <c r="AC57" s="739" t="s">
        <v>6</v>
      </c>
      <c r="AD57" s="740"/>
      <c r="AE57" s="739"/>
      <c r="AF57" s="740" t="s">
        <v>5</v>
      </c>
      <c r="AG57" s="739"/>
      <c r="AH57" s="741"/>
      <c r="AK57" s="738" t="s">
        <v>5</v>
      </c>
      <c r="AL57" s="739"/>
      <c r="AM57" s="740"/>
      <c r="AN57" s="739"/>
      <c r="AO57" s="740"/>
      <c r="AP57" s="739"/>
      <c r="AQ57" s="740"/>
      <c r="AR57" s="739"/>
      <c r="AS57" s="740"/>
      <c r="AT57" s="739"/>
      <c r="AU57" s="740"/>
      <c r="AV57" s="739"/>
      <c r="AW57" s="740"/>
      <c r="AX57" s="739"/>
      <c r="AY57" s="740"/>
      <c r="AZ57" s="739"/>
      <c r="BA57" s="740"/>
      <c r="BB57" s="739"/>
      <c r="BC57" s="740" t="s">
        <v>5</v>
      </c>
      <c r="BD57" s="739"/>
      <c r="BE57" s="740"/>
      <c r="BF57" s="739"/>
      <c r="BG57" s="740"/>
      <c r="BH57" s="739"/>
      <c r="BI57" s="740"/>
      <c r="BJ57" s="739" t="s">
        <v>5</v>
      </c>
      <c r="BK57" s="740"/>
      <c r="BL57" s="739"/>
      <c r="BM57" s="740"/>
      <c r="BN57" s="739"/>
      <c r="BO57" s="740"/>
      <c r="BP57" s="739"/>
      <c r="BQ57" s="740" t="s">
        <v>6</v>
      </c>
      <c r="BR57" s="739"/>
      <c r="BS57" s="740"/>
      <c r="BT57" s="739" t="s">
        <v>6</v>
      </c>
      <c r="BU57" s="740"/>
      <c r="BV57" s="739"/>
      <c r="BW57" s="740" t="s">
        <v>5</v>
      </c>
      <c r="BX57" s="739"/>
      <c r="BY57" s="740"/>
      <c r="BZ57" s="739" t="s">
        <v>5</v>
      </c>
      <c r="CA57" s="740"/>
      <c r="CB57" s="739"/>
      <c r="CC57" s="740" t="s">
        <v>6</v>
      </c>
      <c r="CD57" s="739"/>
      <c r="CE57" s="740"/>
      <c r="CF57" s="739" t="s">
        <v>6</v>
      </c>
      <c r="CG57" s="740"/>
      <c r="CH57" s="739"/>
      <c r="CI57" s="740" t="s">
        <v>5</v>
      </c>
      <c r="CJ57" s="739"/>
      <c r="CK57" s="740"/>
      <c r="CL57" s="748" t="s">
        <v>5</v>
      </c>
      <c r="CN57" s="713"/>
      <c r="CO57" s="726"/>
    </row>
    <row r="58" spans="2:93" hidden="1">
      <c r="B58" s="161"/>
      <c r="C58" s="97" t="s">
        <v>356</v>
      </c>
      <c r="D58" s="125" t="s">
        <v>135</v>
      </c>
      <c r="E58" s="575"/>
      <c r="F58" s="575"/>
      <c r="G58" s="575"/>
      <c r="H58" s="575"/>
      <c r="I58" s="575"/>
      <c r="J58" s="575"/>
      <c r="K58" s="575"/>
      <c r="L58" s="575"/>
      <c r="M58" s="97"/>
      <c r="N58" s="97"/>
      <c r="O58" s="97"/>
      <c r="P58" s="97"/>
      <c r="Q58" s="162"/>
      <c r="T58" s="738" t="s">
        <v>5</v>
      </c>
      <c r="U58" s="739"/>
      <c r="V58" s="740"/>
      <c r="W58" s="739" t="s">
        <v>5</v>
      </c>
      <c r="X58" s="740"/>
      <c r="Y58" s="739"/>
      <c r="Z58" s="740" t="s">
        <v>5</v>
      </c>
      <c r="AA58" s="739"/>
      <c r="AB58" s="740"/>
      <c r="AC58" s="739" t="s">
        <v>6</v>
      </c>
      <c r="AD58" s="740"/>
      <c r="AE58" s="739"/>
      <c r="AF58" s="740" t="s">
        <v>5</v>
      </c>
      <c r="AG58" s="739"/>
      <c r="AH58" s="741"/>
      <c r="AK58" s="738" t="s">
        <v>5</v>
      </c>
      <c r="AL58" s="739"/>
      <c r="AM58" s="740"/>
      <c r="AN58" s="739"/>
      <c r="AO58" s="740"/>
      <c r="AP58" s="739"/>
      <c r="AQ58" s="740"/>
      <c r="AR58" s="739"/>
      <c r="AS58" s="740"/>
      <c r="AT58" s="739"/>
      <c r="AU58" s="740"/>
      <c r="AV58" s="739"/>
      <c r="AW58" s="740"/>
      <c r="AX58" s="739"/>
      <c r="AY58" s="740"/>
      <c r="AZ58" s="739"/>
      <c r="BA58" s="740"/>
      <c r="BB58" s="739"/>
      <c r="BC58" s="740" t="s">
        <v>5</v>
      </c>
      <c r="BD58" s="739"/>
      <c r="BE58" s="740"/>
      <c r="BF58" s="739"/>
      <c r="BG58" s="740"/>
      <c r="BH58" s="739"/>
      <c r="BI58" s="740"/>
      <c r="BJ58" s="739" t="s">
        <v>5</v>
      </c>
      <c r="BK58" s="740"/>
      <c r="BL58" s="739"/>
      <c r="BM58" s="740"/>
      <c r="BN58" s="739"/>
      <c r="BO58" s="740"/>
      <c r="BP58" s="739"/>
      <c r="BQ58" s="740" t="s">
        <v>6</v>
      </c>
      <c r="BR58" s="739"/>
      <c r="BS58" s="740"/>
      <c r="BT58" s="739" t="s">
        <v>5</v>
      </c>
      <c r="BU58" s="740"/>
      <c r="BV58" s="739"/>
      <c r="BW58" s="740" t="s">
        <v>6</v>
      </c>
      <c r="BX58" s="739"/>
      <c r="BY58" s="740"/>
      <c r="BZ58" s="739" t="s">
        <v>6</v>
      </c>
      <c r="CA58" s="740"/>
      <c r="CB58" s="739"/>
      <c r="CC58" s="740" t="s">
        <v>6</v>
      </c>
      <c r="CD58" s="739"/>
      <c r="CE58" s="740"/>
      <c r="CF58" s="739" t="s">
        <v>6</v>
      </c>
      <c r="CG58" s="740"/>
      <c r="CH58" s="739"/>
      <c r="CI58" s="740" t="s">
        <v>6</v>
      </c>
      <c r="CJ58" s="739"/>
      <c r="CK58" s="740"/>
      <c r="CL58" s="748" t="s">
        <v>5</v>
      </c>
      <c r="CN58" s="713"/>
      <c r="CO58" s="726"/>
    </row>
    <row r="59" spans="2:93" hidden="1">
      <c r="B59" s="161"/>
      <c r="C59" s="28"/>
      <c r="D59" s="28"/>
      <c r="E59" s="28"/>
      <c r="F59" s="28"/>
      <c r="G59" s="28"/>
      <c r="H59" s="28"/>
      <c r="I59" s="28"/>
      <c r="J59" s="28"/>
      <c r="K59" s="28"/>
      <c r="L59" s="28"/>
      <c r="M59" s="28"/>
      <c r="N59" s="28"/>
      <c r="O59" s="28"/>
      <c r="P59" s="28"/>
      <c r="Q59" s="162"/>
      <c r="T59" s="738" t="s">
        <v>5</v>
      </c>
      <c r="U59" s="739"/>
      <c r="V59" s="740"/>
      <c r="W59" s="739" t="s">
        <v>5</v>
      </c>
      <c r="X59" s="740"/>
      <c r="Y59" s="739"/>
      <c r="Z59" s="740" t="s">
        <v>5</v>
      </c>
      <c r="AA59" s="739"/>
      <c r="AB59" s="740"/>
      <c r="AC59" s="739" t="s">
        <v>6</v>
      </c>
      <c r="AD59" s="740"/>
      <c r="AE59" s="739"/>
      <c r="AF59" s="740" t="s">
        <v>5</v>
      </c>
      <c r="AG59" s="739"/>
      <c r="AH59" s="741"/>
      <c r="AK59" s="738" t="s">
        <v>5</v>
      </c>
      <c r="AL59" s="739"/>
      <c r="AM59" s="740"/>
      <c r="AN59" s="739"/>
      <c r="AO59" s="740"/>
      <c r="AP59" s="739"/>
      <c r="AQ59" s="740"/>
      <c r="AR59" s="739"/>
      <c r="AS59" s="740"/>
      <c r="AT59" s="739"/>
      <c r="AU59" s="740"/>
      <c r="AV59" s="739"/>
      <c r="AW59" s="740"/>
      <c r="AX59" s="739"/>
      <c r="AY59" s="740"/>
      <c r="AZ59" s="739"/>
      <c r="BA59" s="740"/>
      <c r="BB59" s="739"/>
      <c r="BC59" s="740" t="s">
        <v>5</v>
      </c>
      <c r="BD59" s="739"/>
      <c r="BE59" s="740"/>
      <c r="BF59" s="739"/>
      <c r="BG59" s="740"/>
      <c r="BH59" s="739"/>
      <c r="BI59" s="740"/>
      <c r="BJ59" s="739" t="s">
        <v>5</v>
      </c>
      <c r="BK59" s="740"/>
      <c r="BL59" s="739"/>
      <c r="BM59" s="740"/>
      <c r="BN59" s="739"/>
      <c r="BO59" s="740"/>
      <c r="BP59" s="739"/>
      <c r="BQ59" s="740" t="s">
        <v>6</v>
      </c>
      <c r="BR59" s="739"/>
      <c r="BS59" s="740"/>
      <c r="BT59" s="739"/>
      <c r="BU59" s="740"/>
      <c r="BV59" s="739"/>
      <c r="BW59" s="740"/>
      <c r="BX59" s="739"/>
      <c r="BY59" s="740"/>
      <c r="BZ59" s="739"/>
      <c r="CA59" s="740"/>
      <c r="CB59" s="739"/>
      <c r="CC59" s="740"/>
      <c r="CD59" s="739"/>
      <c r="CE59" s="740"/>
      <c r="CF59" s="739"/>
      <c r="CG59" s="740"/>
      <c r="CH59" s="739"/>
      <c r="CI59" s="740"/>
      <c r="CJ59" s="739"/>
      <c r="CK59" s="740"/>
      <c r="CL59" s="748" t="s">
        <v>5</v>
      </c>
      <c r="CN59" s="713"/>
      <c r="CO59" s="726"/>
    </row>
    <row r="60" spans="2:93" hidden="1">
      <c r="B60" s="161"/>
      <c r="C60" s="26" t="s">
        <v>141</v>
      </c>
      <c r="D60" s="26"/>
      <c r="E60" s="26"/>
      <c r="F60" s="26"/>
      <c r="G60" s="26"/>
      <c r="H60" s="26"/>
      <c r="I60" s="26"/>
      <c r="J60" s="26"/>
      <c r="K60" s="26"/>
      <c r="L60" s="26"/>
      <c r="M60" s="26"/>
      <c r="N60" s="26"/>
      <c r="O60" s="26"/>
      <c r="P60" s="26"/>
      <c r="Q60" s="162"/>
      <c r="T60" s="738" t="s">
        <v>5</v>
      </c>
      <c r="U60" s="739"/>
      <c r="V60" s="740"/>
      <c r="W60" s="739" t="s">
        <v>5</v>
      </c>
      <c r="X60" s="740"/>
      <c r="Y60" s="739"/>
      <c r="Z60" s="740" t="s">
        <v>5</v>
      </c>
      <c r="AA60" s="739"/>
      <c r="AB60" s="740"/>
      <c r="AC60" s="739" t="s">
        <v>6</v>
      </c>
      <c r="AD60" s="740"/>
      <c r="AE60" s="739"/>
      <c r="AF60" s="740" t="s">
        <v>5</v>
      </c>
      <c r="AG60" s="739"/>
      <c r="AH60" s="741"/>
      <c r="AK60" s="738" t="s">
        <v>5</v>
      </c>
      <c r="AL60" s="739"/>
      <c r="AM60" s="740"/>
      <c r="AN60" s="739"/>
      <c r="AO60" s="740"/>
      <c r="AP60" s="739"/>
      <c r="AQ60" s="740"/>
      <c r="AR60" s="739"/>
      <c r="AS60" s="740"/>
      <c r="AT60" s="739"/>
      <c r="AU60" s="740"/>
      <c r="AV60" s="739"/>
      <c r="AW60" s="740"/>
      <c r="AX60" s="739"/>
      <c r="AY60" s="740"/>
      <c r="AZ60" s="739"/>
      <c r="BA60" s="740"/>
      <c r="BB60" s="739"/>
      <c r="BC60" s="740" t="s">
        <v>5</v>
      </c>
      <c r="BD60" s="739"/>
      <c r="BE60" s="740"/>
      <c r="BF60" s="739"/>
      <c r="BG60" s="740"/>
      <c r="BH60" s="739"/>
      <c r="BI60" s="740"/>
      <c r="BJ60" s="739" t="s">
        <v>5</v>
      </c>
      <c r="BK60" s="740"/>
      <c r="BL60" s="739"/>
      <c r="BM60" s="740"/>
      <c r="BN60" s="739"/>
      <c r="BO60" s="740"/>
      <c r="BP60" s="739"/>
      <c r="BQ60" s="740" t="s">
        <v>6</v>
      </c>
      <c r="BR60" s="739"/>
      <c r="BS60" s="740"/>
      <c r="BT60" s="739"/>
      <c r="BU60" s="740"/>
      <c r="BV60" s="739"/>
      <c r="BW60" s="740"/>
      <c r="BX60" s="739"/>
      <c r="BY60" s="740"/>
      <c r="BZ60" s="739"/>
      <c r="CA60" s="740"/>
      <c r="CB60" s="739"/>
      <c r="CC60" s="740"/>
      <c r="CD60" s="739"/>
      <c r="CE60" s="740"/>
      <c r="CF60" s="739"/>
      <c r="CG60" s="740"/>
      <c r="CH60" s="739"/>
      <c r="CI60" s="740"/>
      <c r="CJ60" s="739"/>
      <c r="CK60" s="740"/>
      <c r="CL60" s="748" t="s">
        <v>5</v>
      </c>
      <c r="CN60" s="713"/>
      <c r="CO60" s="726"/>
    </row>
    <row r="61" spans="2:93" hidden="1">
      <c r="B61" s="161"/>
      <c r="C61" s="33" t="str">
        <f>'Pupil_Place Numbers'!B90</f>
        <v/>
      </c>
      <c r="D61" s="33"/>
      <c r="E61" s="33"/>
      <c r="F61" s="33"/>
      <c r="G61" s="33"/>
      <c r="H61" s="33"/>
      <c r="I61" s="33"/>
      <c r="J61" s="33"/>
      <c r="K61" s="33"/>
      <c r="L61" s="33"/>
      <c r="M61" s="33"/>
      <c r="N61" s="33"/>
      <c r="O61" s="33"/>
      <c r="P61" s="33"/>
      <c r="Q61" s="162"/>
      <c r="T61" s="738" t="s">
        <v>5</v>
      </c>
      <c r="U61" s="739"/>
      <c r="V61" s="740"/>
      <c r="W61" s="739" t="s">
        <v>5</v>
      </c>
      <c r="X61" s="740"/>
      <c r="Y61" s="739"/>
      <c r="Z61" s="740" t="s">
        <v>5</v>
      </c>
      <c r="AA61" s="739"/>
      <c r="AB61" s="740"/>
      <c r="AC61" s="739" t="s">
        <v>6</v>
      </c>
      <c r="AD61" s="740"/>
      <c r="AE61" s="739"/>
      <c r="AF61" s="740" t="s">
        <v>5</v>
      </c>
      <c r="AG61" s="739"/>
      <c r="AH61" s="741"/>
      <c r="AK61" s="738" t="s">
        <v>5</v>
      </c>
      <c r="AL61" s="739"/>
      <c r="AM61" s="740"/>
      <c r="AN61" s="739"/>
      <c r="AO61" s="740"/>
      <c r="AP61" s="739"/>
      <c r="AQ61" s="740"/>
      <c r="AR61" s="739"/>
      <c r="AS61" s="740"/>
      <c r="AT61" s="739"/>
      <c r="AU61" s="740"/>
      <c r="AV61" s="739"/>
      <c r="AW61" s="740"/>
      <c r="AX61" s="739"/>
      <c r="AY61" s="740"/>
      <c r="AZ61" s="739"/>
      <c r="BA61" s="740"/>
      <c r="BB61" s="739"/>
      <c r="BC61" s="740" t="s">
        <v>5</v>
      </c>
      <c r="BD61" s="739"/>
      <c r="BE61" s="740"/>
      <c r="BF61" s="739"/>
      <c r="BG61" s="740"/>
      <c r="BH61" s="739"/>
      <c r="BI61" s="740"/>
      <c r="BJ61" s="739" t="s">
        <v>5</v>
      </c>
      <c r="BK61" s="740"/>
      <c r="BL61" s="739"/>
      <c r="BM61" s="740"/>
      <c r="BN61" s="739"/>
      <c r="BO61" s="740"/>
      <c r="BP61" s="739"/>
      <c r="BQ61" s="740" t="s">
        <v>6</v>
      </c>
      <c r="BR61" s="739"/>
      <c r="BS61" s="740"/>
      <c r="BT61" s="739"/>
      <c r="BU61" s="740"/>
      <c r="BV61" s="739"/>
      <c r="BW61" s="740"/>
      <c r="BX61" s="739"/>
      <c r="BY61" s="740"/>
      <c r="BZ61" s="739"/>
      <c r="CA61" s="740"/>
      <c r="CB61" s="739"/>
      <c r="CC61" s="740"/>
      <c r="CD61" s="739"/>
      <c r="CE61" s="740"/>
      <c r="CF61" s="739"/>
      <c r="CG61" s="740"/>
      <c r="CH61" s="739"/>
      <c r="CI61" s="740"/>
      <c r="CJ61" s="739"/>
      <c r="CK61" s="740"/>
      <c r="CL61" s="748" t="s">
        <v>5</v>
      </c>
      <c r="CN61" s="713"/>
      <c r="CO61" s="726"/>
    </row>
    <row r="62" spans="2:93" hidden="1">
      <c r="B62" s="161"/>
      <c r="C62" s="28" t="s">
        <v>353</v>
      </c>
      <c r="D62" s="27" t="s">
        <v>137</v>
      </c>
      <c r="E62" s="28">
        <f>SUM('Pupil_Place Numbers'!C91:C97)</f>
        <v>0</v>
      </c>
      <c r="F62" s="28">
        <f>SUM('Pupil_Place Numbers'!D91:D97)</f>
        <v>0</v>
      </c>
      <c r="G62" s="28">
        <f>SUM('Pupil_Place Numbers'!E91:E97)</f>
        <v>0</v>
      </c>
      <c r="H62" s="28">
        <f>SUM('Pupil_Place Numbers'!F91:F97)</f>
        <v>0</v>
      </c>
      <c r="I62" s="28">
        <f>SUM('Pupil_Place Numbers'!G91:G97)</f>
        <v>0</v>
      </c>
      <c r="J62" s="28">
        <f>SUM('Pupil_Place Numbers'!H91:H97)</f>
        <v>0</v>
      </c>
      <c r="K62" s="28">
        <f>SUM('Pupil_Place Numbers'!I91:I97)</f>
        <v>0</v>
      </c>
      <c r="L62" s="28">
        <f>SUM('Pupil_Place Numbers'!J91:J97)</f>
        <v>0</v>
      </c>
      <c r="M62" s="28"/>
      <c r="N62" s="28"/>
      <c r="O62" s="28"/>
      <c r="P62" s="28"/>
      <c r="Q62" s="162"/>
      <c r="T62" s="738" t="s">
        <v>5</v>
      </c>
      <c r="U62" s="739"/>
      <c r="V62" s="740"/>
      <c r="W62" s="739" t="s">
        <v>5</v>
      </c>
      <c r="X62" s="740"/>
      <c r="Y62" s="739"/>
      <c r="Z62" s="740" t="s">
        <v>5</v>
      </c>
      <c r="AA62" s="739"/>
      <c r="AB62" s="740"/>
      <c r="AC62" s="739" t="s">
        <v>6</v>
      </c>
      <c r="AD62" s="740"/>
      <c r="AE62" s="739"/>
      <c r="AF62" s="740" t="s">
        <v>5</v>
      </c>
      <c r="AG62" s="739"/>
      <c r="AH62" s="741"/>
      <c r="AK62" s="738" t="s">
        <v>5</v>
      </c>
      <c r="AL62" s="739"/>
      <c r="AM62" s="740"/>
      <c r="AN62" s="739"/>
      <c r="AO62" s="740"/>
      <c r="AP62" s="739"/>
      <c r="AQ62" s="740"/>
      <c r="AR62" s="739"/>
      <c r="AS62" s="740"/>
      <c r="AT62" s="739"/>
      <c r="AU62" s="740"/>
      <c r="AV62" s="739"/>
      <c r="AW62" s="740"/>
      <c r="AX62" s="739"/>
      <c r="AY62" s="740"/>
      <c r="AZ62" s="739"/>
      <c r="BA62" s="740"/>
      <c r="BB62" s="739"/>
      <c r="BC62" s="740" t="s">
        <v>5</v>
      </c>
      <c r="BD62" s="739"/>
      <c r="BE62" s="740"/>
      <c r="BF62" s="739"/>
      <c r="BG62" s="740"/>
      <c r="BH62" s="739"/>
      <c r="BI62" s="740"/>
      <c r="BJ62" s="739" t="s">
        <v>5</v>
      </c>
      <c r="BK62" s="740"/>
      <c r="BL62" s="739"/>
      <c r="BM62" s="740"/>
      <c r="BN62" s="739"/>
      <c r="BO62" s="740"/>
      <c r="BP62" s="739"/>
      <c r="BQ62" s="740" t="s">
        <v>6</v>
      </c>
      <c r="BR62" s="739"/>
      <c r="BS62" s="740"/>
      <c r="BT62" s="739" t="s">
        <v>6</v>
      </c>
      <c r="BU62" s="740"/>
      <c r="BV62" s="739"/>
      <c r="BW62" s="740" t="s">
        <v>5</v>
      </c>
      <c r="BX62" s="739"/>
      <c r="BY62" s="740"/>
      <c r="BZ62" s="739" t="s">
        <v>5</v>
      </c>
      <c r="CA62" s="740"/>
      <c r="CB62" s="739"/>
      <c r="CC62" s="740" t="s">
        <v>6</v>
      </c>
      <c r="CD62" s="739"/>
      <c r="CE62" s="740"/>
      <c r="CF62" s="739" t="s">
        <v>6</v>
      </c>
      <c r="CG62" s="740"/>
      <c r="CH62" s="739"/>
      <c r="CI62" s="740" t="s">
        <v>5</v>
      </c>
      <c r="CJ62" s="739"/>
      <c r="CK62" s="740"/>
      <c r="CL62" s="748" t="s">
        <v>5</v>
      </c>
      <c r="CN62" s="713"/>
      <c r="CO62" s="726"/>
    </row>
    <row r="63" spans="2:93" hidden="1">
      <c r="B63" s="161"/>
      <c r="C63" s="28" t="s">
        <v>354</v>
      </c>
      <c r="D63" s="27" t="s">
        <v>137</v>
      </c>
      <c r="E63" s="28">
        <f>SUM('Pupil_Place Numbers'!C98:C104)</f>
        <v>0</v>
      </c>
      <c r="F63" s="28">
        <f>SUM('Pupil_Place Numbers'!D98:D104)</f>
        <v>0</v>
      </c>
      <c r="G63" s="28">
        <f>SUM('Pupil_Place Numbers'!E98:E104)</f>
        <v>0</v>
      </c>
      <c r="H63" s="28">
        <f>SUM('Pupil_Place Numbers'!F98:F104)</f>
        <v>0</v>
      </c>
      <c r="I63" s="28">
        <f>SUM('Pupil_Place Numbers'!G98:G104)</f>
        <v>0</v>
      </c>
      <c r="J63" s="28">
        <f>SUM('Pupil_Place Numbers'!H98:H104)</f>
        <v>0</v>
      </c>
      <c r="K63" s="28">
        <f>SUM('Pupil_Place Numbers'!I98:I104)</f>
        <v>0</v>
      </c>
      <c r="L63" s="28">
        <f>SUM('Pupil_Place Numbers'!J98:J104)</f>
        <v>0</v>
      </c>
      <c r="M63" s="28"/>
      <c r="N63" s="28"/>
      <c r="O63" s="28"/>
      <c r="P63" s="28"/>
      <c r="Q63" s="162"/>
      <c r="T63" s="738" t="s">
        <v>5</v>
      </c>
      <c r="U63" s="739"/>
      <c r="V63" s="740"/>
      <c r="W63" s="739" t="s">
        <v>5</v>
      </c>
      <c r="X63" s="740"/>
      <c r="Y63" s="739"/>
      <c r="Z63" s="740" t="s">
        <v>5</v>
      </c>
      <c r="AA63" s="739"/>
      <c r="AB63" s="740"/>
      <c r="AC63" s="739" t="s">
        <v>6</v>
      </c>
      <c r="AD63" s="740"/>
      <c r="AE63" s="739"/>
      <c r="AF63" s="740" t="s">
        <v>5</v>
      </c>
      <c r="AG63" s="739"/>
      <c r="AH63" s="741"/>
      <c r="AK63" s="738" t="s">
        <v>5</v>
      </c>
      <c r="AL63" s="739"/>
      <c r="AM63" s="740"/>
      <c r="AN63" s="739"/>
      <c r="AO63" s="740"/>
      <c r="AP63" s="739"/>
      <c r="AQ63" s="740"/>
      <c r="AR63" s="739"/>
      <c r="AS63" s="740"/>
      <c r="AT63" s="739"/>
      <c r="AU63" s="740"/>
      <c r="AV63" s="739"/>
      <c r="AW63" s="740"/>
      <c r="AX63" s="739"/>
      <c r="AY63" s="740"/>
      <c r="AZ63" s="739"/>
      <c r="BA63" s="740"/>
      <c r="BB63" s="739"/>
      <c r="BC63" s="740" t="s">
        <v>5</v>
      </c>
      <c r="BD63" s="739"/>
      <c r="BE63" s="740"/>
      <c r="BF63" s="739"/>
      <c r="BG63" s="740"/>
      <c r="BH63" s="739"/>
      <c r="BI63" s="740"/>
      <c r="BJ63" s="739" t="s">
        <v>5</v>
      </c>
      <c r="BK63" s="740"/>
      <c r="BL63" s="739"/>
      <c r="BM63" s="740"/>
      <c r="BN63" s="739"/>
      <c r="BO63" s="740"/>
      <c r="BP63" s="739"/>
      <c r="BQ63" s="740" t="s">
        <v>6</v>
      </c>
      <c r="BR63" s="739"/>
      <c r="BS63" s="740"/>
      <c r="BT63" s="739" t="s">
        <v>5</v>
      </c>
      <c r="BU63" s="740"/>
      <c r="BV63" s="739"/>
      <c r="BW63" s="740" t="s">
        <v>6</v>
      </c>
      <c r="BX63" s="739"/>
      <c r="BY63" s="740"/>
      <c r="BZ63" s="739" t="s">
        <v>6</v>
      </c>
      <c r="CA63" s="740"/>
      <c r="CB63" s="739"/>
      <c r="CC63" s="740" t="s">
        <v>6</v>
      </c>
      <c r="CD63" s="739"/>
      <c r="CE63" s="740"/>
      <c r="CF63" s="739" t="s">
        <v>6</v>
      </c>
      <c r="CG63" s="740"/>
      <c r="CH63" s="739"/>
      <c r="CI63" s="740" t="s">
        <v>6</v>
      </c>
      <c r="CJ63" s="739"/>
      <c r="CK63" s="740"/>
      <c r="CL63" s="748" t="s">
        <v>5</v>
      </c>
      <c r="CN63" s="713"/>
      <c r="CO63" s="726"/>
    </row>
    <row r="64" spans="2:93" hidden="1">
      <c r="B64" s="161"/>
      <c r="C64" s="97" t="s">
        <v>355</v>
      </c>
      <c r="D64" s="125" t="s">
        <v>135</v>
      </c>
      <c r="E64" s="575"/>
      <c r="F64" s="575"/>
      <c r="G64" s="575"/>
      <c r="H64" s="575"/>
      <c r="I64" s="575"/>
      <c r="J64" s="575"/>
      <c r="K64" s="575"/>
      <c r="L64" s="575"/>
      <c r="M64" s="97"/>
      <c r="N64" s="97"/>
      <c r="O64" s="97"/>
      <c r="P64" s="97"/>
      <c r="Q64" s="162"/>
      <c r="T64" s="738" t="s">
        <v>5</v>
      </c>
      <c r="U64" s="739"/>
      <c r="V64" s="740"/>
      <c r="W64" s="739" t="s">
        <v>5</v>
      </c>
      <c r="X64" s="740"/>
      <c r="Y64" s="739"/>
      <c r="Z64" s="740" t="s">
        <v>5</v>
      </c>
      <c r="AA64" s="739"/>
      <c r="AB64" s="740"/>
      <c r="AC64" s="739" t="s">
        <v>6</v>
      </c>
      <c r="AD64" s="740"/>
      <c r="AE64" s="739"/>
      <c r="AF64" s="740" t="s">
        <v>5</v>
      </c>
      <c r="AG64" s="739"/>
      <c r="AH64" s="741"/>
      <c r="AK64" s="738" t="s">
        <v>5</v>
      </c>
      <c r="AL64" s="739"/>
      <c r="AM64" s="740"/>
      <c r="AN64" s="739"/>
      <c r="AO64" s="740"/>
      <c r="AP64" s="739"/>
      <c r="AQ64" s="740"/>
      <c r="AR64" s="739"/>
      <c r="AS64" s="740"/>
      <c r="AT64" s="739"/>
      <c r="AU64" s="740"/>
      <c r="AV64" s="739"/>
      <c r="AW64" s="740"/>
      <c r="AX64" s="739"/>
      <c r="AY64" s="740"/>
      <c r="AZ64" s="739"/>
      <c r="BA64" s="740"/>
      <c r="BB64" s="739"/>
      <c r="BC64" s="740" t="s">
        <v>5</v>
      </c>
      <c r="BD64" s="739"/>
      <c r="BE64" s="740"/>
      <c r="BF64" s="739"/>
      <c r="BG64" s="740"/>
      <c r="BH64" s="739"/>
      <c r="BI64" s="740"/>
      <c r="BJ64" s="739" t="s">
        <v>5</v>
      </c>
      <c r="BK64" s="740"/>
      <c r="BL64" s="739"/>
      <c r="BM64" s="740"/>
      <c r="BN64" s="739"/>
      <c r="BO64" s="740"/>
      <c r="BP64" s="739"/>
      <c r="BQ64" s="740" t="s">
        <v>6</v>
      </c>
      <c r="BR64" s="739"/>
      <c r="BS64" s="740"/>
      <c r="BT64" s="739" t="s">
        <v>6</v>
      </c>
      <c r="BU64" s="740"/>
      <c r="BV64" s="739"/>
      <c r="BW64" s="740" t="s">
        <v>5</v>
      </c>
      <c r="BX64" s="739"/>
      <c r="BY64" s="740"/>
      <c r="BZ64" s="739" t="s">
        <v>5</v>
      </c>
      <c r="CA64" s="740"/>
      <c r="CB64" s="739"/>
      <c r="CC64" s="740" t="s">
        <v>6</v>
      </c>
      <c r="CD64" s="739"/>
      <c r="CE64" s="740"/>
      <c r="CF64" s="739" t="s">
        <v>6</v>
      </c>
      <c r="CG64" s="740"/>
      <c r="CH64" s="739"/>
      <c r="CI64" s="740" t="s">
        <v>5</v>
      </c>
      <c r="CJ64" s="739"/>
      <c r="CK64" s="740"/>
      <c r="CL64" s="748" t="s">
        <v>5</v>
      </c>
      <c r="CN64" s="713"/>
      <c r="CO64" s="726"/>
    </row>
    <row r="65" spans="2:93" hidden="1">
      <c r="B65" s="161"/>
      <c r="C65" s="97" t="s">
        <v>356</v>
      </c>
      <c r="D65" s="125" t="s">
        <v>135</v>
      </c>
      <c r="E65" s="575"/>
      <c r="F65" s="575"/>
      <c r="G65" s="575"/>
      <c r="H65" s="575"/>
      <c r="I65" s="575"/>
      <c r="J65" s="575"/>
      <c r="K65" s="575"/>
      <c r="L65" s="575"/>
      <c r="M65" s="97"/>
      <c r="N65" s="97"/>
      <c r="O65" s="97"/>
      <c r="P65" s="97"/>
      <c r="Q65" s="162"/>
      <c r="T65" s="738" t="s">
        <v>5</v>
      </c>
      <c r="U65" s="739"/>
      <c r="V65" s="740"/>
      <c r="W65" s="739" t="s">
        <v>5</v>
      </c>
      <c r="X65" s="740"/>
      <c r="Y65" s="739"/>
      <c r="Z65" s="740" t="s">
        <v>5</v>
      </c>
      <c r="AA65" s="739"/>
      <c r="AB65" s="740"/>
      <c r="AC65" s="739" t="s">
        <v>6</v>
      </c>
      <c r="AD65" s="740"/>
      <c r="AE65" s="739"/>
      <c r="AF65" s="740" t="s">
        <v>5</v>
      </c>
      <c r="AG65" s="739"/>
      <c r="AH65" s="741"/>
      <c r="AK65" s="738" t="s">
        <v>5</v>
      </c>
      <c r="AL65" s="739"/>
      <c r="AM65" s="740"/>
      <c r="AN65" s="739"/>
      <c r="AO65" s="740"/>
      <c r="AP65" s="739"/>
      <c r="AQ65" s="740"/>
      <c r="AR65" s="739"/>
      <c r="AS65" s="740"/>
      <c r="AT65" s="739"/>
      <c r="AU65" s="740"/>
      <c r="AV65" s="739"/>
      <c r="AW65" s="740"/>
      <c r="AX65" s="739"/>
      <c r="AY65" s="740"/>
      <c r="AZ65" s="739"/>
      <c r="BA65" s="740"/>
      <c r="BB65" s="739"/>
      <c r="BC65" s="740" t="s">
        <v>5</v>
      </c>
      <c r="BD65" s="739"/>
      <c r="BE65" s="740"/>
      <c r="BF65" s="739"/>
      <c r="BG65" s="740"/>
      <c r="BH65" s="739"/>
      <c r="BI65" s="740"/>
      <c r="BJ65" s="739" t="s">
        <v>5</v>
      </c>
      <c r="BK65" s="740"/>
      <c r="BL65" s="739"/>
      <c r="BM65" s="740"/>
      <c r="BN65" s="739"/>
      <c r="BO65" s="740"/>
      <c r="BP65" s="739"/>
      <c r="BQ65" s="740" t="s">
        <v>6</v>
      </c>
      <c r="BR65" s="739"/>
      <c r="BS65" s="740"/>
      <c r="BT65" s="739" t="s">
        <v>5</v>
      </c>
      <c r="BU65" s="740"/>
      <c r="BV65" s="739"/>
      <c r="BW65" s="740" t="s">
        <v>6</v>
      </c>
      <c r="BX65" s="739"/>
      <c r="BY65" s="740"/>
      <c r="BZ65" s="739" t="s">
        <v>6</v>
      </c>
      <c r="CA65" s="740"/>
      <c r="CB65" s="739"/>
      <c r="CC65" s="740" t="s">
        <v>6</v>
      </c>
      <c r="CD65" s="739"/>
      <c r="CE65" s="740"/>
      <c r="CF65" s="739" t="s">
        <v>6</v>
      </c>
      <c r="CG65" s="740"/>
      <c r="CH65" s="739"/>
      <c r="CI65" s="740" t="s">
        <v>6</v>
      </c>
      <c r="CJ65" s="739"/>
      <c r="CK65" s="740"/>
      <c r="CL65" s="748" t="s">
        <v>5</v>
      </c>
      <c r="CN65" s="713"/>
      <c r="CO65" s="726"/>
    </row>
    <row r="66" spans="2:93" hidden="1">
      <c r="B66" s="161"/>
      <c r="C66" s="28"/>
      <c r="D66" s="28"/>
      <c r="E66" s="28"/>
      <c r="F66" s="28"/>
      <c r="G66" s="28"/>
      <c r="H66" s="28"/>
      <c r="I66" s="28"/>
      <c r="J66" s="28"/>
      <c r="K66" s="28"/>
      <c r="L66" s="28"/>
      <c r="M66" s="28"/>
      <c r="N66" s="28"/>
      <c r="O66" s="28"/>
      <c r="P66" s="28"/>
      <c r="Q66" s="162"/>
      <c r="T66" s="738" t="s">
        <v>5</v>
      </c>
      <c r="U66" s="739"/>
      <c r="V66" s="740"/>
      <c r="W66" s="739" t="s">
        <v>5</v>
      </c>
      <c r="X66" s="740"/>
      <c r="Y66" s="739"/>
      <c r="Z66" s="740" t="s">
        <v>5</v>
      </c>
      <c r="AA66" s="739"/>
      <c r="AB66" s="740"/>
      <c r="AC66" s="739" t="s">
        <v>6</v>
      </c>
      <c r="AD66" s="740"/>
      <c r="AE66" s="739"/>
      <c r="AF66" s="740" t="s">
        <v>5</v>
      </c>
      <c r="AG66" s="739"/>
      <c r="AH66" s="741"/>
      <c r="AK66" s="738" t="s">
        <v>5</v>
      </c>
      <c r="AL66" s="739"/>
      <c r="AM66" s="740"/>
      <c r="AN66" s="739"/>
      <c r="AO66" s="740"/>
      <c r="AP66" s="739"/>
      <c r="AQ66" s="740"/>
      <c r="AR66" s="739"/>
      <c r="AS66" s="740"/>
      <c r="AT66" s="739"/>
      <c r="AU66" s="740"/>
      <c r="AV66" s="739"/>
      <c r="AW66" s="740"/>
      <c r="AX66" s="739"/>
      <c r="AY66" s="740"/>
      <c r="AZ66" s="739"/>
      <c r="BA66" s="740"/>
      <c r="BB66" s="739"/>
      <c r="BC66" s="740" t="s">
        <v>5</v>
      </c>
      <c r="BD66" s="739"/>
      <c r="BE66" s="740"/>
      <c r="BF66" s="739"/>
      <c r="BG66" s="740"/>
      <c r="BH66" s="739"/>
      <c r="BI66" s="740"/>
      <c r="BJ66" s="739" t="s">
        <v>5</v>
      </c>
      <c r="BK66" s="740"/>
      <c r="BL66" s="739"/>
      <c r="BM66" s="740"/>
      <c r="BN66" s="739"/>
      <c r="BO66" s="740"/>
      <c r="BP66" s="739"/>
      <c r="BQ66" s="740" t="s">
        <v>6</v>
      </c>
      <c r="BR66" s="739"/>
      <c r="BS66" s="740"/>
      <c r="BT66" s="739"/>
      <c r="BU66" s="740"/>
      <c r="BV66" s="739"/>
      <c r="BW66" s="740"/>
      <c r="BX66" s="739"/>
      <c r="BY66" s="740"/>
      <c r="BZ66" s="739"/>
      <c r="CA66" s="740"/>
      <c r="CB66" s="739"/>
      <c r="CC66" s="740"/>
      <c r="CD66" s="739"/>
      <c r="CE66" s="740"/>
      <c r="CF66" s="739"/>
      <c r="CG66" s="740"/>
      <c r="CH66" s="739"/>
      <c r="CI66" s="740"/>
      <c r="CJ66" s="739"/>
      <c r="CK66" s="740"/>
      <c r="CL66" s="748" t="s">
        <v>5</v>
      </c>
      <c r="CN66" s="713"/>
      <c r="CO66" s="726"/>
    </row>
    <row r="67" spans="2:93" hidden="1">
      <c r="B67" s="161"/>
      <c r="C67" s="26" t="s">
        <v>346</v>
      </c>
      <c r="D67" s="26"/>
      <c r="E67" s="26"/>
      <c r="F67" s="26"/>
      <c r="G67" s="26"/>
      <c r="H67" s="26"/>
      <c r="I67" s="26"/>
      <c r="J67" s="26"/>
      <c r="K67" s="26"/>
      <c r="L67" s="26"/>
      <c r="M67" s="26"/>
      <c r="N67" s="26"/>
      <c r="O67" s="26"/>
      <c r="P67" s="26"/>
      <c r="Q67" s="162"/>
      <c r="T67" s="738" t="s">
        <v>5</v>
      </c>
      <c r="U67" s="739"/>
      <c r="V67" s="740"/>
      <c r="W67" s="739" t="s">
        <v>5</v>
      </c>
      <c r="X67" s="740"/>
      <c r="Y67" s="739"/>
      <c r="Z67" s="740" t="s">
        <v>5</v>
      </c>
      <c r="AA67" s="739"/>
      <c r="AB67" s="740"/>
      <c r="AC67" s="739" t="s">
        <v>5</v>
      </c>
      <c r="AD67" s="740"/>
      <c r="AE67" s="739"/>
      <c r="AF67" s="740" t="s">
        <v>6</v>
      </c>
      <c r="AG67" s="739"/>
      <c r="AH67" s="741"/>
      <c r="AK67" s="738" t="s">
        <v>5</v>
      </c>
      <c r="AL67" s="739"/>
      <c r="AM67" s="740"/>
      <c r="AN67" s="739"/>
      <c r="AO67" s="740"/>
      <c r="AP67" s="739"/>
      <c r="AQ67" s="740"/>
      <c r="AR67" s="739"/>
      <c r="AS67" s="740"/>
      <c r="AT67" s="739"/>
      <c r="AU67" s="740"/>
      <c r="AV67" s="739"/>
      <c r="AW67" s="740"/>
      <c r="AX67" s="739"/>
      <c r="AY67" s="740"/>
      <c r="AZ67" s="739"/>
      <c r="BA67" s="740"/>
      <c r="BB67" s="739"/>
      <c r="BC67" s="740" t="s">
        <v>5</v>
      </c>
      <c r="BD67" s="739"/>
      <c r="BE67" s="740"/>
      <c r="BF67" s="739"/>
      <c r="BG67" s="740"/>
      <c r="BH67" s="739"/>
      <c r="BI67" s="740"/>
      <c r="BJ67" s="739" t="s">
        <v>5</v>
      </c>
      <c r="BK67" s="740"/>
      <c r="BL67" s="739"/>
      <c r="BM67" s="740"/>
      <c r="BN67" s="739"/>
      <c r="BO67" s="740"/>
      <c r="BP67" s="739"/>
      <c r="BQ67" s="740" t="s">
        <v>5</v>
      </c>
      <c r="BR67" s="739"/>
      <c r="BS67" s="740"/>
      <c r="BT67" s="739"/>
      <c r="BU67" s="740"/>
      <c r="BV67" s="739"/>
      <c r="BW67" s="740"/>
      <c r="BX67" s="739"/>
      <c r="BY67" s="740"/>
      <c r="BZ67" s="739"/>
      <c r="CA67" s="740"/>
      <c r="CB67" s="739"/>
      <c r="CC67" s="740"/>
      <c r="CD67" s="739"/>
      <c r="CE67" s="740"/>
      <c r="CF67" s="739"/>
      <c r="CG67" s="740"/>
      <c r="CH67" s="739"/>
      <c r="CI67" s="740"/>
      <c r="CJ67" s="739"/>
      <c r="CK67" s="740"/>
      <c r="CL67" s="748" t="s">
        <v>6</v>
      </c>
      <c r="CN67" s="713"/>
      <c r="CO67" s="726"/>
    </row>
    <row r="68" spans="2:93" hidden="1">
      <c r="B68" s="161"/>
      <c r="C68" s="26"/>
      <c r="D68" s="26"/>
      <c r="E68" s="26"/>
      <c r="F68" s="26"/>
      <c r="G68" s="26"/>
      <c r="H68" s="26"/>
      <c r="I68" s="26"/>
      <c r="J68" s="26"/>
      <c r="K68" s="26"/>
      <c r="L68" s="26"/>
      <c r="M68" s="26"/>
      <c r="N68" s="26"/>
      <c r="O68" s="26"/>
      <c r="P68" s="26"/>
      <c r="Q68" s="162"/>
      <c r="T68" s="738" t="s">
        <v>5</v>
      </c>
      <c r="U68" s="739"/>
      <c r="V68" s="740"/>
      <c r="W68" s="739" t="s">
        <v>5</v>
      </c>
      <c r="X68" s="740"/>
      <c r="Y68" s="739"/>
      <c r="Z68" s="740" t="s">
        <v>5</v>
      </c>
      <c r="AA68" s="739"/>
      <c r="AB68" s="740"/>
      <c r="AC68" s="739" t="s">
        <v>5</v>
      </c>
      <c r="AD68" s="740"/>
      <c r="AE68" s="739"/>
      <c r="AF68" s="740" t="s">
        <v>6</v>
      </c>
      <c r="AG68" s="739"/>
      <c r="AH68" s="741"/>
      <c r="AK68" s="738" t="s">
        <v>5</v>
      </c>
      <c r="AL68" s="739"/>
      <c r="AM68" s="740"/>
      <c r="AN68" s="739"/>
      <c r="AO68" s="740"/>
      <c r="AP68" s="739"/>
      <c r="AQ68" s="740"/>
      <c r="AR68" s="739"/>
      <c r="AS68" s="740"/>
      <c r="AT68" s="739"/>
      <c r="AU68" s="740"/>
      <c r="AV68" s="739"/>
      <c r="AW68" s="740"/>
      <c r="AX68" s="739"/>
      <c r="AY68" s="740"/>
      <c r="AZ68" s="739"/>
      <c r="BA68" s="740"/>
      <c r="BB68" s="739"/>
      <c r="BC68" s="740" t="s">
        <v>5</v>
      </c>
      <c r="BD68" s="739"/>
      <c r="BE68" s="740"/>
      <c r="BF68" s="739"/>
      <c r="BG68" s="740"/>
      <c r="BH68" s="739"/>
      <c r="BI68" s="740"/>
      <c r="BJ68" s="739" t="s">
        <v>5</v>
      </c>
      <c r="BK68" s="740"/>
      <c r="BL68" s="739"/>
      <c r="BM68" s="740"/>
      <c r="BN68" s="739"/>
      <c r="BO68" s="740"/>
      <c r="BP68" s="739"/>
      <c r="BQ68" s="740" t="s">
        <v>5</v>
      </c>
      <c r="BR68" s="739"/>
      <c r="BS68" s="740"/>
      <c r="BT68" s="739"/>
      <c r="BU68" s="740"/>
      <c r="BV68" s="739"/>
      <c r="BW68" s="740"/>
      <c r="BX68" s="739"/>
      <c r="BY68" s="740"/>
      <c r="BZ68" s="739"/>
      <c r="CA68" s="740"/>
      <c r="CB68" s="739"/>
      <c r="CC68" s="740"/>
      <c r="CD68" s="739"/>
      <c r="CE68" s="740"/>
      <c r="CF68" s="739"/>
      <c r="CG68" s="740"/>
      <c r="CH68" s="739"/>
      <c r="CI68" s="740"/>
      <c r="CJ68" s="739"/>
      <c r="CK68" s="740"/>
      <c r="CL68" s="748" t="s">
        <v>6</v>
      </c>
      <c r="CN68" s="713"/>
      <c r="CO68" s="726"/>
    </row>
    <row r="69" spans="2:93" hidden="1">
      <c r="B69" s="161"/>
      <c r="C69" s="28" t="s">
        <v>357</v>
      </c>
      <c r="D69" s="27" t="s">
        <v>137</v>
      </c>
      <c r="E69" s="28">
        <f>SUM('Pupil_Place Numbers'!C106:C107)</f>
        <v>0</v>
      </c>
      <c r="F69" s="28">
        <f>SUM('Pupil_Place Numbers'!D106:D107)</f>
        <v>0</v>
      </c>
      <c r="G69" s="28">
        <f>SUM('Pupil_Place Numbers'!E106:E107)</f>
        <v>0</v>
      </c>
      <c r="H69" s="28">
        <f>SUM('Pupil_Place Numbers'!F106:F107)</f>
        <v>0</v>
      </c>
      <c r="I69" s="28">
        <f>SUM('Pupil_Place Numbers'!G106:G107)</f>
        <v>0</v>
      </c>
      <c r="J69" s="28">
        <f>SUM('Pupil_Place Numbers'!H106:H107)</f>
        <v>0</v>
      </c>
      <c r="K69" s="28">
        <f>SUM('Pupil_Place Numbers'!I106:I107)</f>
        <v>0</v>
      </c>
      <c r="L69" s="28">
        <f>SUM('Pupil_Place Numbers'!J106:J107)</f>
        <v>0</v>
      </c>
      <c r="M69" s="28"/>
      <c r="N69" s="28"/>
      <c r="O69" s="28"/>
      <c r="P69" s="28"/>
      <c r="Q69" s="162"/>
      <c r="T69" s="738" t="s">
        <v>5</v>
      </c>
      <c r="U69" s="739"/>
      <c r="V69" s="740"/>
      <c r="W69" s="739" t="s">
        <v>5</v>
      </c>
      <c r="X69" s="740"/>
      <c r="Y69" s="739"/>
      <c r="Z69" s="740" t="s">
        <v>5</v>
      </c>
      <c r="AA69" s="739"/>
      <c r="AB69" s="740"/>
      <c r="AC69" s="739" t="s">
        <v>5</v>
      </c>
      <c r="AD69" s="740"/>
      <c r="AE69" s="739"/>
      <c r="AF69" s="740" t="s">
        <v>6</v>
      </c>
      <c r="AG69" s="739"/>
      <c r="AH69" s="741"/>
      <c r="AK69" s="738" t="s">
        <v>5</v>
      </c>
      <c r="AL69" s="739"/>
      <c r="AM69" s="740"/>
      <c r="AN69" s="739"/>
      <c r="AO69" s="740"/>
      <c r="AP69" s="739"/>
      <c r="AQ69" s="740"/>
      <c r="AR69" s="739"/>
      <c r="AS69" s="740"/>
      <c r="AT69" s="739"/>
      <c r="AU69" s="740"/>
      <c r="AV69" s="739"/>
      <c r="AW69" s="740"/>
      <c r="AX69" s="739"/>
      <c r="AY69" s="740"/>
      <c r="AZ69" s="739"/>
      <c r="BA69" s="740"/>
      <c r="BB69" s="739"/>
      <c r="BC69" s="740" t="s">
        <v>5</v>
      </c>
      <c r="BD69" s="739"/>
      <c r="BE69" s="740"/>
      <c r="BF69" s="739"/>
      <c r="BG69" s="740"/>
      <c r="BH69" s="739"/>
      <c r="BI69" s="740"/>
      <c r="BJ69" s="739" t="s">
        <v>5</v>
      </c>
      <c r="BK69" s="740"/>
      <c r="BL69" s="739"/>
      <c r="BM69" s="740"/>
      <c r="BN69" s="739"/>
      <c r="BO69" s="740"/>
      <c r="BP69" s="739"/>
      <c r="BQ69" s="740" t="s">
        <v>5</v>
      </c>
      <c r="BR69" s="739"/>
      <c r="BS69" s="740"/>
      <c r="BT69" s="739"/>
      <c r="BU69" s="740"/>
      <c r="BV69" s="739"/>
      <c r="BW69" s="740"/>
      <c r="BX69" s="739"/>
      <c r="BY69" s="740"/>
      <c r="BZ69" s="739"/>
      <c r="CA69" s="740"/>
      <c r="CB69" s="739"/>
      <c r="CC69" s="740"/>
      <c r="CD69" s="739"/>
      <c r="CE69" s="740"/>
      <c r="CF69" s="739"/>
      <c r="CG69" s="740"/>
      <c r="CH69" s="739"/>
      <c r="CI69" s="740"/>
      <c r="CJ69" s="739"/>
      <c r="CK69" s="740"/>
      <c r="CL69" s="748" t="s">
        <v>6</v>
      </c>
      <c r="CN69" s="713"/>
      <c r="CO69" s="726"/>
    </row>
    <row r="70" spans="2:93" hidden="1">
      <c r="B70" s="161"/>
      <c r="C70" s="28" t="s">
        <v>358</v>
      </c>
      <c r="D70" s="27" t="s">
        <v>137</v>
      </c>
      <c r="E70" s="28">
        <f>SUM('Pupil_Place Numbers'!C108:C109)</f>
        <v>0</v>
      </c>
      <c r="F70" s="28">
        <f>SUM('Pupil_Place Numbers'!D108:D109)</f>
        <v>0</v>
      </c>
      <c r="G70" s="28">
        <f>SUM('Pupil_Place Numbers'!E108:E109)</f>
        <v>0</v>
      </c>
      <c r="H70" s="28">
        <f>SUM('Pupil_Place Numbers'!F108:F109)</f>
        <v>0</v>
      </c>
      <c r="I70" s="28">
        <f>SUM('Pupil_Place Numbers'!G108:G109)</f>
        <v>0</v>
      </c>
      <c r="J70" s="28">
        <f>SUM('Pupil_Place Numbers'!H108:H109)</f>
        <v>0</v>
      </c>
      <c r="K70" s="28">
        <f>SUM('Pupil_Place Numbers'!I108:I109)</f>
        <v>0</v>
      </c>
      <c r="L70" s="28">
        <f>SUM('Pupil_Place Numbers'!J108:J109)</f>
        <v>0</v>
      </c>
      <c r="M70" s="28"/>
      <c r="N70" s="28"/>
      <c r="O70" s="28"/>
      <c r="P70" s="28"/>
      <c r="Q70" s="162"/>
      <c r="T70" s="738" t="s">
        <v>5</v>
      </c>
      <c r="U70" s="739"/>
      <c r="V70" s="740"/>
      <c r="W70" s="739" t="s">
        <v>5</v>
      </c>
      <c r="X70" s="740"/>
      <c r="Y70" s="739"/>
      <c r="Z70" s="740" t="s">
        <v>5</v>
      </c>
      <c r="AA70" s="739"/>
      <c r="AB70" s="740"/>
      <c r="AC70" s="739" t="s">
        <v>5</v>
      </c>
      <c r="AD70" s="740"/>
      <c r="AE70" s="739"/>
      <c r="AF70" s="740" t="s">
        <v>6</v>
      </c>
      <c r="AG70" s="739"/>
      <c r="AH70" s="741"/>
      <c r="AK70" s="738" t="s">
        <v>5</v>
      </c>
      <c r="AL70" s="739"/>
      <c r="AM70" s="740"/>
      <c r="AN70" s="739"/>
      <c r="AO70" s="740"/>
      <c r="AP70" s="739"/>
      <c r="AQ70" s="740"/>
      <c r="AR70" s="739"/>
      <c r="AS70" s="740"/>
      <c r="AT70" s="739"/>
      <c r="AU70" s="740"/>
      <c r="AV70" s="739"/>
      <c r="AW70" s="740"/>
      <c r="AX70" s="739"/>
      <c r="AY70" s="740"/>
      <c r="AZ70" s="739"/>
      <c r="BA70" s="740"/>
      <c r="BB70" s="739"/>
      <c r="BC70" s="740" t="s">
        <v>5</v>
      </c>
      <c r="BD70" s="739"/>
      <c r="BE70" s="740"/>
      <c r="BF70" s="739"/>
      <c r="BG70" s="740"/>
      <c r="BH70" s="739"/>
      <c r="BI70" s="740"/>
      <c r="BJ70" s="739" t="s">
        <v>5</v>
      </c>
      <c r="BK70" s="740"/>
      <c r="BL70" s="739"/>
      <c r="BM70" s="740"/>
      <c r="BN70" s="739"/>
      <c r="BO70" s="740"/>
      <c r="BP70" s="739"/>
      <c r="BQ70" s="740" t="s">
        <v>5</v>
      </c>
      <c r="BR70" s="739"/>
      <c r="BS70" s="740"/>
      <c r="BT70" s="739"/>
      <c r="BU70" s="740"/>
      <c r="BV70" s="739"/>
      <c r="BW70" s="740"/>
      <c r="BX70" s="739"/>
      <c r="BY70" s="740"/>
      <c r="BZ70" s="739"/>
      <c r="CA70" s="740"/>
      <c r="CB70" s="739"/>
      <c r="CC70" s="740"/>
      <c r="CD70" s="739"/>
      <c r="CE70" s="740"/>
      <c r="CF70" s="739"/>
      <c r="CG70" s="740"/>
      <c r="CH70" s="739"/>
      <c r="CI70" s="740"/>
      <c r="CJ70" s="739"/>
      <c r="CK70" s="740"/>
      <c r="CL70" s="748" t="s">
        <v>6</v>
      </c>
      <c r="CN70" s="713"/>
      <c r="CO70" s="726"/>
    </row>
    <row r="71" spans="2:93" hidden="1">
      <c r="B71" s="161"/>
      <c r="C71" s="28" t="s">
        <v>359</v>
      </c>
      <c r="D71" s="27" t="s">
        <v>137</v>
      </c>
      <c r="E71" s="28">
        <f>'Pupil_Place Numbers'!C110</f>
        <v>0</v>
      </c>
      <c r="F71" s="28">
        <f>'Pupil_Place Numbers'!D110</f>
        <v>0</v>
      </c>
      <c r="G71" s="28">
        <f>'Pupil_Place Numbers'!E110</f>
        <v>0</v>
      </c>
      <c r="H71" s="28">
        <f>'Pupil_Place Numbers'!F110</f>
        <v>0</v>
      </c>
      <c r="I71" s="28">
        <f>'Pupil_Place Numbers'!G110</f>
        <v>0</v>
      </c>
      <c r="J71" s="28">
        <f>'Pupil_Place Numbers'!H110</f>
        <v>0</v>
      </c>
      <c r="K71" s="28">
        <f>'Pupil_Place Numbers'!I110</f>
        <v>0</v>
      </c>
      <c r="L71" s="28">
        <f>'Pupil_Place Numbers'!J110</f>
        <v>0</v>
      </c>
      <c r="M71" s="28"/>
      <c r="N71" s="28"/>
      <c r="O71" s="28"/>
      <c r="P71" s="28"/>
      <c r="Q71" s="162"/>
      <c r="T71" s="738" t="s">
        <v>5</v>
      </c>
      <c r="U71" s="739"/>
      <c r="V71" s="740"/>
      <c r="W71" s="739" t="s">
        <v>5</v>
      </c>
      <c r="X71" s="740"/>
      <c r="Y71" s="739"/>
      <c r="Z71" s="740" t="s">
        <v>5</v>
      </c>
      <c r="AA71" s="739"/>
      <c r="AB71" s="740"/>
      <c r="AC71" s="739" t="s">
        <v>5</v>
      </c>
      <c r="AD71" s="740"/>
      <c r="AE71" s="739"/>
      <c r="AF71" s="740" t="s">
        <v>6</v>
      </c>
      <c r="AG71" s="739"/>
      <c r="AH71" s="741"/>
      <c r="AK71" s="738" t="s">
        <v>5</v>
      </c>
      <c r="AL71" s="739"/>
      <c r="AM71" s="740"/>
      <c r="AN71" s="739"/>
      <c r="AO71" s="740"/>
      <c r="AP71" s="739"/>
      <c r="AQ71" s="740"/>
      <c r="AR71" s="739"/>
      <c r="AS71" s="740"/>
      <c r="AT71" s="739"/>
      <c r="AU71" s="740"/>
      <c r="AV71" s="739"/>
      <c r="AW71" s="740"/>
      <c r="AX71" s="739"/>
      <c r="AY71" s="740"/>
      <c r="AZ71" s="739"/>
      <c r="BA71" s="740"/>
      <c r="BB71" s="739"/>
      <c r="BC71" s="740" t="s">
        <v>5</v>
      </c>
      <c r="BD71" s="739"/>
      <c r="BE71" s="740"/>
      <c r="BF71" s="739"/>
      <c r="BG71" s="740"/>
      <c r="BH71" s="739"/>
      <c r="BI71" s="740"/>
      <c r="BJ71" s="739" t="s">
        <v>5</v>
      </c>
      <c r="BK71" s="740"/>
      <c r="BL71" s="739"/>
      <c r="BM71" s="740"/>
      <c r="BN71" s="739"/>
      <c r="BO71" s="740"/>
      <c r="BP71" s="739"/>
      <c r="BQ71" s="740" t="s">
        <v>5</v>
      </c>
      <c r="BR71" s="739"/>
      <c r="BS71" s="740"/>
      <c r="BT71" s="739"/>
      <c r="BU71" s="740"/>
      <c r="BV71" s="739"/>
      <c r="BW71" s="740"/>
      <c r="BX71" s="739"/>
      <c r="BY71" s="740"/>
      <c r="BZ71" s="739"/>
      <c r="CA71" s="740"/>
      <c r="CB71" s="739"/>
      <c r="CC71" s="740"/>
      <c r="CD71" s="739"/>
      <c r="CE71" s="740"/>
      <c r="CF71" s="739"/>
      <c r="CG71" s="740"/>
      <c r="CH71" s="739"/>
      <c r="CI71" s="740"/>
      <c r="CJ71" s="739"/>
      <c r="CK71" s="740"/>
      <c r="CL71" s="748" t="s">
        <v>6</v>
      </c>
      <c r="CN71" s="713"/>
      <c r="CO71" s="726"/>
    </row>
    <row r="72" spans="2:93" hidden="1">
      <c r="B72" s="161"/>
      <c r="C72" s="28" t="s">
        <v>360</v>
      </c>
      <c r="D72" s="27" t="s">
        <v>137</v>
      </c>
      <c r="E72" s="28">
        <f>'Pupil_Place Numbers'!C111</f>
        <v>0</v>
      </c>
      <c r="F72" s="28">
        <f>'Pupil_Place Numbers'!D111</f>
        <v>0</v>
      </c>
      <c r="G72" s="28">
        <f>'Pupil_Place Numbers'!E111</f>
        <v>0</v>
      </c>
      <c r="H72" s="28">
        <f>'Pupil_Place Numbers'!F111</f>
        <v>0</v>
      </c>
      <c r="I72" s="28">
        <f>'Pupil_Place Numbers'!G111</f>
        <v>0</v>
      </c>
      <c r="J72" s="28">
        <f>'Pupil_Place Numbers'!H111</f>
        <v>0</v>
      </c>
      <c r="K72" s="28">
        <f>'Pupil_Place Numbers'!I111</f>
        <v>0</v>
      </c>
      <c r="L72" s="28">
        <f>'Pupil_Place Numbers'!J111</f>
        <v>0</v>
      </c>
      <c r="M72" s="28"/>
      <c r="N72" s="28"/>
      <c r="O72" s="28"/>
      <c r="P72" s="28"/>
      <c r="Q72" s="162"/>
      <c r="T72" s="738" t="s">
        <v>5</v>
      </c>
      <c r="U72" s="739"/>
      <c r="V72" s="740"/>
      <c r="W72" s="739" t="s">
        <v>5</v>
      </c>
      <c r="X72" s="740"/>
      <c r="Y72" s="739"/>
      <c r="Z72" s="740" t="s">
        <v>5</v>
      </c>
      <c r="AA72" s="739"/>
      <c r="AB72" s="740"/>
      <c r="AC72" s="739" t="s">
        <v>5</v>
      </c>
      <c r="AD72" s="740"/>
      <c r="AE72" s="739"/>
      <c r="AF72" s="740" t="s">
        <v>6</v>
      </c>
      <c r="AG72" s="739"/>
      <c r="AH72" s="741"/>
      <c r="AK72" s="738" t="s">
        <v>5</v>
      </c>
      <c r="AL72" s="739"/>
      <c r="AM72" s="740"/>
      <c r="AN72" s="739"/>
      <c r="AO72" s="740"/>
      <c r="AP72" s="739"/>
      <c r="AQ72" s="740"/>
      <c r="AR72" s="739"/>
      <c r="AS72" s="740"/>
      <c r="AT72" s="739"/>
      <c r="AU72" s="740"/>
      <c r="AV72" s="739"/>
      <c r="AW72" s="740"/>
      <c r="AX72" s="739"/>
      <c r="AY72" s="740"/>
      <c r="AZ72" s="739"/>
      <c r="BA72" s="740"/>
      <c r="BB72" s="739"/>
      <c r="BC72" s="740" t="s">
        <v>5</v>
      </c>
      <c r="BD72" s="739"/>
      <c r="BE72" s="740"/>
      <c r="BF72" s="739"/>
      <c r="BG72" s="740"/>
      <c r="BH72" s="739"/>
      <c r="BI72" s="740"/>
      <c r="BJ72" s="739" t="s">
        <v>5</v>
      </c>
      <c r="BK72" s="740"/>
      <c r="BL72" s="739"/>
      <c r="BM72" s="740"/>
      <c r="BN72" s="739"/>
      <c r="BO72" s="740"/>
      <c r="BP72" s="739"/>
      <c r="BQ72" s="740" t="s">
        <v>5</v>
      </c>
      <c r="BR72" s="739"/>
      <c r="BS72" s="740"/>
      <c r="BT72" s="739"/>
      <c r="BU72" s="740"/>
      <c r="BV72" s="739"/>
      <c r="BW72" s="740"/>
      <c r="BX72" s="739"/>
      <c r="BY72" s="740"/>
      <c r="BZ72" s="739"/>
      <c r="CA72" s="740"/>
      <c r="CB72" s="739"/>
      <c r="CC72" s="740"/>
      <c r="CD72" s="739"/>
      <c r="CE72" s="740"/>
      <c r="CF72" s="739"/>
      <c r="CG72" s="740"/>
      <c r="CH72" s="739"/>
      <c r="CI72" s="740"/>
      <c r="CJ72" s="739"/>
      <c r="CK72" s="740"/>
      <c r="CL72" s="748" t="s">
        <v>6</v>
      </c>
      <c r="CN72" s="713"/>
      <c r="CO72" s="726"/>
    </row>
    <row r="73" spans="2:93" hidden="1">
      <c r="B73" s="161"/>
      <c r="C73" s="28" t="s">
        <v>361</v>
      </c>
      <c r="D73" s="27" t="s">
        <v>137</v>
      </c>
      <c r="E73" s="28">
        <f>'Pupil_Place Numbers'!C112</f>
        <v>0</v>
      </c>
      <c r="F73" s="28">
        <f>'Pupil_Place Numbers'!D112</f>
        <v>0</v>
      </c>
      <c r="G73" s="28">
        <f>'Pupil_Place Numbers'!E112</f>
        <v>0</v>
      </c>
      <c r="H73" s="28">
        <f>'Pupil_Place Numbers'!F112</f>
        <v>0</v>
      </c>
      <c r="I73" s="28">
        <f>'Pupil_Place Numbers'!G112</f>
        <v>0</v>
      </c>
      <c r="J73" s="28">
        <f>'Pupil_Place Numbers'!H112</f>
        <v>0</v>
      </c>
      <c r="K73" s="28">
        <f>'Pupil_Place Numbers'!I112</f>
        <v>0</v>
      </c>
      <c r="L73" s="28">
        <f>'Pupil_Place Numbers'!J112</f>
        <v>0</v>
      </c>
      <c r="M73" s="28"/>
      <c r="N73" s="28"/>
      <c r="O73" s="28"/>
      <c r="P73" s="28"/>
      <c r="Q73" s="162"/>
      <c r="T73" s="738" t="s">
        <v>5</v>
      </c>
      <c r="U73" s="739"/>
      <c r="V73" s="740"/>
      <c r="W73" s="739" t="s">
        <v>5</v>
      </c>
      <c r="X73" s="740"/>
      <c r="Y73" s="739"/>
      <c r="Z73" s="740" t="s">
        <v>5</v>
      </c>
      <c r="AA73" s="739"/>
      <c r="AB73" s="740"/>
      <c r="AC73" s="739" t="s">
        <v>5</v>
      </c>
      <c r="AD73" s="740"/>
      <c r="AE73" s="739"/>
      <c r="AF73" s="740" t="s">
        <v>6</v>
      </c>
      <c r="AG73" s="739"/>
      <c r="AH73" s="741"/>
      <c r="AK73" s="738" t="s">
        <v>5</v>
      </c>
      <c r="AL73" s="739"/>
      <c r="AM73" s="740"/>
      <c r="AN73" s="739"/>
      <c r="AO73" s="740"/>
      <c r="AP73" s="739"/>
      <c r="AQ73" s="740"/>
      <c r="AR73" s="739"/>
      <c r="AS73" s="740"/>
      <c r="AT73" s="739"/>
      <c r="AU73" s="740"/>
      <c r="AV73" s="739"/>
      <c r="AW73" s="740"/>
      <c r="AX73" s="739"/>
      <c r="AY73" s="740"/>
      <c r="AZ73" s="739"/>
      <c r="BA73" s="740"/>
      <c r="BB73" s="739"/>
      <c r="BC73" s="740" t="s">
        <v>5</v>
      </c>
      <c r="BD73" s="739"/>
      <c r="BE73" s="740"/>
      <c r="BF73" s="739"/>
      <c r="BG73" s="740"/>
      <c r="BH73" s="739"/>
      <c r="BI73" s="740"/>
      <c r="BJ73" s="739" t="s">
        <v>5</v>
      </c>
      <c r="BK73" s="740"/>
      <c r="BL73" s="739"/>
      <c r="BM73" s="740"/>
      <c r="BN73" s="739"/>
      <c r="BO73" s="740"/>
      <c r="BP73" s="739"/>
      <c r="BQ73" s="740" t="s">
        <v>5</v>
      </c>
      <c r="BR73" s="739"/>
      <c r="BS73" s="740"/>
      <c r="BT73" s="739"/>
      <c r="BU73" s="740"/>
      <c r="BV73" s="739"/>
      <c r="BW73" s="740"/>
      <c r="BX73" s="739"/>
      <c r="BY73" s="740"/>
      <c r="BZ73" s="739"/>
      <c r="CA73" s="740"/>
      <c r="CB73" s="739"/>
      <c r="CC73" s="740"/>
      <c r="CD73" s="739"/>
      <c r="CE73" s="740"/>
      <c r="CF73" s="739"/>
      <c r="CG73" s="740"/>
      <c r="CH73" s="739"/>
      <c r="CI73" s="740"/>
      <c r="CJ73" s="739"/>
      <c r="CK73" s="740"/>
      <c r="CL73" s="748" t="s">
        <v>6</v>
      </c>
      <c r="CN73" s="713"/>
      <c r="CO73" s="726"/>
    </row>
    <row r="74" spans="2:93" hidden="1">
      <c r="B74" s="161"/>
      <c r="C74" s="28" t="s">
        <v>351</v>
      </c>
      <c r="D74" s="27" t="s">
        <v>137</v>
      </c>
      <c r="E74" s="28">
        <f>COUNTA('Pupil_Place Numbers'!C106:C107)</f>
        <v>0</v>
      </c>
      <c r="F74" s="28">
        <f>COUNTA('Pupil_Place Numbers'!D106:D107)</f>
        <v>0</v>
      </c>
      <c r="G74" s="28">
        <f>COUNTA('Pupil_Place Numbers'!E106:E107)</f>
        <v>0</v>
      </c>
      <c r="H74" s="28">
        <f>COUNTA('Pupil_Place Numbers'!F106:F107)</f>
        <v>0</v>
      </c>
      <c r="I74" s="28">
        <f>COUNTA('Pupil_Place Numbers'!G106:G107)</f>
        <v>0</v>
      </c>
      <c r="J74" s="28">
        <f>COUNTA('Pupil_Place Numbers'!H106:H107)</f>
        <v>0</v>
      </c>
      <c r="K74" s="28">
        <f>COUNTA('Pupil_Place Numbers'!I106:I107)</f>
        <v>0</v>
      </c>
      <c r="L74" s="28">
        <f>COUNTA('Pupil_Place Numbers'!J106:J107)</f>
        <v>0</v>
      </c>
      <c r="M74" s="28"/>
      <c r="N74" s="28"/>
      <c r="O74" s="28"/>
      <c r="P74" s="28"/>
      <c r="Q74" s="162"/>
      <c r="T74" s="738" t="s">
        <v>5</v>
      </c>
      <c r="U74" s="739"/>
      <c r="V74" s="740"/>
      <c r="W74" s="739" t="s">
        <v>5</v>
      </c>
      <c r="X74" s="740"/>
      <c r="Y74" s="739"/>
      <c r="Z74" s="740" t="s">
        <v>5</v>
      </c>
      <c r="AA74" s="739"/>
      <c r="AB74" s="740"/>
      <c r="AC74" s="739" t="s">
        <v>5</v>
      </c>
      <c r="AD74" s="740"/>
      <c r="AE74" s="739"/>
      <c r="AF74" s="740" t="s">
        <v>6</v>
      </c>
      <c r="AG74" s="739"/>
      <c r="AH74" s="741"/>
      <c r="AK74" s="738" t="s">
        <v>5</v>
      </c>
      <c r="AL74" s="739"/>
      <c r="AM74" s="740"/>
      <c r="AN74" s="739"/>
      <c r="AO74" s="740"/>
      <c r="AP74" s="739"/>
      <c r="AQ74" s="740"/>
      <c r="AR74" s="739"/>
      <c r="AS74" s="740"/>
      <c r="AT74" s="739"/>
      <c r="AU74" s="740"/>
      <c r="AV74" s="739"/>
      <c r="AW74" s="740"/>
      <c r="AX74" s="739"/>
      <c r="AY74" s="740"/>
      <c r="AZ74" s="739"/>
      <c r="BA74" s="740"/>
      <c r="BB74" s="739"/>
      <c r="BC74" s="740" t="s">
        <v>5</v>
      </c>
      <c r="BD74" s="739"/>
      <c r="BE74" s="740"/>
      <c r="BF74" s="739"/>
      <c r="BG74" s="740"/>
      <c r="BH74" s="739"/>
      <c r="BI74" s="740"/>
      <c r="BJ74" s="739" t="s">
        <v>5</v>
      </c>
      <c r="BK74" s="740"/>
      <c r="BL74" s="739"/>
      <c r="BM74" s="740"/>
      <c r="BN74" s="739"/>
      <c r="BO74" s="740"/>
      <c r="BP74" s="739"/>
      <c r="BQ74" s="740" t="s">
        <v>5</v>
      </c>
      <c r="BR74" s="739"/>
      <c r="BS74" s="740"/>
      <c r="BT74" s="739"/>
      <c r="BU74" s="740"/>
      <c r="BV74" s="739"/>
      <c r="BW74" s="740"/>
      <c r="BX74" s="739"/>
      <c r="BY74" s="740"/>
      <c r="BZ74" s="739"/>
      <c r="CA74" s="740"/>
      <c r="CB74" s="739"/>
      <c r="CC74" s="740"/>
      <c r="CD74" s="739"/>
      <c r="CE74" s="740"/>
      <c r="CF74" s="739"/>
      <c r="CG74" s="740"/>
      <c r="CH74" s="739"/>
      <c r="CI74" s="740"/>
      <c r="CJ74" s="739"/>
      <c r="CK74" s="740"/>
      <c r="CL74" s="748" t="s">
        <v>6</v>
      </c>
      <c r="CN74" s="713"/>
      <c r="CO74" s="726"/>
    </row>
    <row r="75" spans="2:93">
      <c r="B75" s="164"/>
      <c r="C75" s="70"/>
      <c r="D75" s="70"/>
      <c r="E75" s="70"/>
      <c r="F75" s="70"/>
      <c r="G75" s="70"/>
      <c r="H75" s="70"/>
      <c r="I75" s="70"/>
      <c r="J75" s="70"/>
      <c r="K75" s="70"/>
      <c r="L75" s="70"/>
      <c r="M75" s="70"/>
      <c r="N75" s="70"/>
      <c r="O75" s="70"/>
      <c r="P75" s="70"/>
      <c r="Q75" s="165"/>
      <c r="T75" s="738" t="s">
        <v>6</v>
      </c>
      <c r="U75" s="739"/>
      <c r="V75" s="740"/>
      <c r="W75" s="739" t="s">
        <v>6</v>
      </c>
      <c r="X75" s="740"/>
      <c r="Y75" s="739"/>
      <c r="Z75" s="740" t="s">
        <v>6</v>
      </c>
      <c r="AA75" s="739"/>
      <c r="AB75" s="740"/>
      <c r="AC75" s="739" t="s">
        <v>6</v>
      </c>
      <c r="AD75" s="740"/>
      <c r="AE75" s="739"/>
      <c r="AF75" s="740" t="s">
        <v>6</v>
      </c>
      <c r="AG75" s="739"/>
      <c r="AH75" s="741"/>
      <c r="AK75" s="738" t="s">
        <v>6</v>
      </c>
      <c r="AL75" s="739"/>
      <c r="AM75" s="740"/>
      <c r="AN75" s="739"/>
      <c r="AO75" s="740"/>
      <c r="AP75" s="739"/>
      <c r="AQ75" s="740"/>
      <c r="AR75" s="739"/>
      <c r="AS75" s="740"/>
      <c r="AT75" s="739"/>
      <c r="AU75" s="740"/>
      <c r="AV75" s="739"/>
      <c r="AW75" s="740"/>
      <c r="AX75" s="739"/>
      <c r="AY75" s="740"/>
      <c r="AZ75" s="739"/>
      <c r="BA75" s="740"/>
      <c r="BB75" s="739"/>
      <c r="BC75" s="740" t="s">
        <v>6</v>
      </c>
      <c r="BD75" s="739"/>
      <c r="BE75" s="740"/>
      <c r="BF75" s="739"/>
      <c r="BG75" s="740"/>
      <c r="BH75" s="739"/>
      <c r="BI75" s="740"/>
      <c r="BJ75" s="739" t="s">
        <v>6</v>
      </c>
      <c r="BK75" s="740"/>
      <c r="BL75" s="739"/>
      <c r="BM75" s="740"/>
      <c r="BN75" s="739"/>
      <c r="BO75" s="740"/>
      <c r="BP75" s="739"/>
      <c r="BQ75" s="740" t="s">
        <v>6</v>
      </c>
      <c r="BR75" s="739"/>
      <c r="BS75" s="740"/>
      <c r="BT75" s="739"/>
      <c r="BU75" s="740"/>
      <c r="BV75" s="739"/>
      <c r="BW75" s="740"/>
      <c r="BX75" s="739"/>
      <c r="BY75" s="740"/>
      <c r="BZ75" s="739"/>
      <c r="CA75" s="740"/>
      <c r="CB75" s="739"/>
      <c r="CC75" s="740"/>
      <c r="CD75" s="739"/>
      <c r="CE75" s="740"/>
      <c r="CF75" s="739"/>
      <c r="CG75" s="740"/>
      <c r="CH75" s="739"/>
      <c r="CI75" s="740"/>
      <c r="CJ75" s="739"/>
      <c r="CK75" s="740"/>
      <c r="CL75" s="748" t="s">
        <v>6</v>
      </c>
      <c r="CN75" s="713"/>
      <c r="CO75" s="726"/>
    </row>
    <row r="76" spans="3:93">
      <c r="C76" s="28"/>
      <c r="D76" s="28"/>
      <c r="E76" s="28"/>
      <c r="F76" s="28"/>
      <c r="G76" s="28"/>
      <c r="H76" s="28"/>
      <c r="I76" s="28"/>
      <c r="J76" s="28"/>
      <c r="K76" s="28"/>
      <c r="L76" s="28"/>
      <c r="M76" s="28"/>
      <c r="N76" s="28"/>
      <c r="O76" s="28"/>
      <c r="P76" s="28"/>
      <c r="T76" s="738" t="s">
        <v>6</v>
      </c>
      <c r="U76" s="739"/>
      <c r="V76" s="740"/>
      <c r="W76" s="739" t="s">
        <v>6</v>
      </c>
      <c r="X76" s="740"/>
      <c r="Y76" s="739"/>
      <c r="Z76" s="740" t="s">
        <v>6</v>
      </c>
      <c r="AA76" s="739"/>
      <c r="AB76" s="740"/>
      <c r="AC76" s="739" t="s">
        <v>6</v>
      </c>
      <c r="AD76" s="740"/>
      <c r="AE76" s="739"/>
      <c r="AF76" s="740" t="s">
        <v>6</v>
      </c>
      <c r="AG76" s="739"/>
      <c r="AH76" s="741"/>
      <c r="AK76" s="738" t="s">
        <v>6</v>
      </c>
      <c r="AL76" s="739"/>
      <c r="AM76" s="740"/>
      <c r="AN76" s="739"/>
      <c r="AO76" s="740"/>
      <c r="AP76" s="739"/>
      <c r="AQ76" s="740"/>
      <c r="AR76" s="739"/>
      <c r="AS76" s="740"/>
      <c r="AT76" s="739"/>
      <c r="AU76" s="740"/>
      <c r="AV76" s="739"/>
      <c r="AW76" s="740"/>
      <c r="AX76" s="739"/>
      <c r="AY76" s="740"/>
      <c r="AZ76" s="739"/>
      <c r="BA76" s="740"/>
      <c r="BB76" s="739"/>
      <c r="BC76" s="740" t="s">
        <v>6</v>
      </c>
      <c r="BD76" s="739"/>
      <c r="BE76" s="740"/>
      <c r="BF76" s="739"/>
      <c r="BG76" s="740"/>
      <c r="BH76" s="739"/>
      <c r="BI76" s="740"/>
      <c r="BJ76" s="739" t="s">
        <v>6</v>
      </c>
      <c r="BK76" s="740"/>
      <c r="BL76" s="739"/>
      <c r="BM76" s="740"/>
      <c r="BN76" s="739"/>
      <c r="BO76" s="740"/>
      <c r="BP76" s="739"/>
      <c r="BQ76" s="740" t="s">
        <v>6</v>
      </c>
      <c r="BR76" s="739"/>
      <c r="BS76" s="740"/>
      <c r="BT76" s="739"/>
      <c r="BU76" s="740"/>
      <c r="BV76" s="739"/>
      <c r="BW76" s="740"/>
      <c r="BX76" s="739"/>
      <c r="BY76" s="740"/>
      <c r="BZ76" s="739"/>
      <c r="CA76" s="740"/>
      <c r="CB76" s="739"/>
      <c r="CC76" s="740"/>
      <c r="CD76" s="739"/>
      <c r="CE76" s="740"/>
      <c r="CF76" s="739"/>
      <c r="CG76" s="740"/>
      <c r="CH76" s="739"/>
      <c r="CI76" s="740"/>
      <c r="CJ76" s="739"/>
      <c r="CK76" s="740"/>
      <c r="CL76" s="748" t="s">
        <v>6</v>
      </c>
      <c r="CN76" s="713"/>
      <c r="CO76" s="726"/>
    </row>
    <row r="77" spans="2:93">
      <c r="B77" s="159"/>
      <c r="C77" s="166"/>
      <c r="D77" s="166"/>
      <c r="E77" s="166"/>
      <c r="F77" s="166"/>
      <c r="G77" s="166"/>
      <c r="H77" s="166"/>
      <c r="I77" s="166"/>
      <c r="J77" s="166"/>
      <c r="K77" s="166"/>
      <c r="L77" s="166"/>
      <c r="M77" s="166"/>
      <c r="N77" s="166"/>
      <c r="O77" s="166"/>
      <c r="P77" s="166"/>
      <c r="Q77" s="160"/>
      <c r="T77" s="738" t="s">
        <v>6</v>
      </c>
      <c r="U77" s="739"/>
      <c r="V77" s="740"/>
      <c r="W77" s="739" t="s">
        <v>6</v>
      </c>
      <c r="X77" s="740"/>
      <c r="Y77" s="739"/>
      <c r="Z77" s="740" t="s">
        <v>6</v>
      </c>
      <c r="AA77" s="739"/>
      <c r="AB77" s="740"/>
      <c r="AC77" s="739" t="s">
        <v>6</v>
      </c>
      <c r="AD77" s="740"/>
      <c r="AE77" s="739"/>
      <c r="AF77" s="740" t="s">
        <v>6</v>
      </c>
      <c r="AG77" s="739"/>
      <c r="AH77" s="741"/>
      <c r="AK77" s="738" t="s">
        <v>6</v>
      </c>
      <c r="AL77" s="739"/>
      <c r="AM77" s="740"/>
      <c r="AN77" s="739"/>
      <c r="AO77" s="740"/>
      <c r="AP77" s="739"/>
      <c r="AQ77" s="740"/>
      <c r="AR77" s="739"/>
      <c r="AS77" s="740"/>
      <c r="AT77" s="739"/>
      <c r="AU77" s="740"/>
      <c r="AV77" s="739"/>
      <c r="AW77" s="740"/>
      <c r="AX77" s="739"/>
      <c r="AY77" s="740"/>
      <c r="AZ77" s="739"/>
      <c r="BA77" s="740"/>
      <c r="BB77" s="739"/>
      <c r="BC77" s="740" t="s">
        <v>6</v>
      </c>
      <c r="BD77" s="739"/>
      <c r="BE77" s="740"/>
      <c r="BF77" s="739"/>
      <c r="BG77" s="740"/>
      <c r="BH77" s="739"/>
      <c r="BI77" s="740"/>
      <c r="BJ77" s="739" t="s">
        <v>6</v>
      </c>
      <c r="BK77" s="740"/>
      <c r="BL77" s="739"/>
      <c r="BM77" s="740"/>
      <c r="BN77" s="739"/>
      <c r="BO77" s="740"/>
      <c r="BP77" s="739"/>
      <c r="BQ77" s="740" t="s">
        <v>6</v>
      </c>
      <c r="BR77" s="739"/>
      <c r="BS77" s="740"/>
      <c r="BT77" s="739"/>
      <c r="BU77" s="740"/>
      <c r="BV77" s="739"/>
      <c r="BW77" s="740"/>
      <c r="BX77" s="739"/>
      <c r="BY77" s="740"/>
      <c r="BZ77" s="739"/>
      <c r="CA77" s="740"/>
      <c r="CB77" s="739"/>
      <c r="CC77" s="740"/>
      <c r="CD77" s="739"/>
      <c r="CE77" s="740"/>
      <c r="CF77" s="739"/>
      <c r="CG77" s="740"/>
      <c r="CH77" s="739"/>
      <c r="CI77" s="740"/>
      <c r="CJ77" s="739"/>
      <c r="CK77" s="740"/>
      <c r="CL77" s="748" t="s">
        <v>6</v>
      </c>
      <c r="CN77" s="713"/>
      <c r="CO77" s="726"/>
    </row>
    <row r="78" spans="2:93">
      <c r="B78" s="161"/>
      <c r="C78" s="26" t="s">
        <v>362</v>
      </c>
      <c r="D78" s="26"/>
      <c r="E78" s="26"/>
      <c r="F78" s="26"/>
      <c r="G78" s="26"/>
      <c r="H78" s="26"/>
      <c r="I78" s="26"/>
      <c r="J78" s="26"/>
      <c r="K78" s="26"/>
      <c r="L78" s="26"/>
      <c r="M78" s="26"/>
      <c r="N78" s="26"/>
      <c r="O78" s="26"/>
      <c r="P78" s="26"/>
      <c r="Q78" s="162"/>
      <c r="T78" s="738" t="s">
        <v>6</v>
      </c>
      <c r="U78" s="739"/>
      <c r="V78" s="740"/>
      <c r="W78" s="739" t="s">
        <v>6</v>
      </c>
      <c r="X78" s="740"/>
      <c r="Y78" s="739"/>
      <c r="Z78" s="740" t="s">
        <v>6</v>
      </c>
      <c r="AA78" s="739"/>
      <c r="AB78" s="740"/>
      <c r="AC78" s="739" t="s">
        <v>6</v>
      </c>
      <c r="AD78" s="740"/>
      <c r="AE78" s="739"/>
      <c r="AF78" s="740" t="s">
        <v>6</v>
      </c>
      <c r="AG78" s="739"/>
      <c r="AH78" s="741"/>
      <c r="AK78" s="738" t="s">
        <v>6</v>
      </c>
      <c r="AL78" s="739"/>
      <c r="AM78" s="740"/>
      <c r="AN78" s="739"/>
      <c r="AO78" s="740"/>
      <c r="AP78" s="739"/>
      <c r="AQ78" s="740"/>
      <c r="AR78" s="739"/>
      <c r="AS78" s="740"/>
      <c r="AT78" s="739"/>
      <c r="AU78" s="740"/>
      <c r="AV78" s="739"/>
      <c r="AW78" s="740"/>
      <c r="AX78" s="739"/>
      <c r="AY78" s="740"/>
      <c r="AZ78" s="739"/>
      <c r="BA78" s="740"/>
      <c r="BB78" s="739"/>
      <c r="BC78" s="740" t="s">
        <v>6</v>
      </c>
      <c r="BD78" s="739"/>
      <c r="BE78" s="740"/>
      <c r="BF78" s="739"/>
      <c r="BG78" s="740"/>
      <c r="BH78" s="739"/>
      <c r="BI78" s="740"/>
      <c r="BJ78" s="739" t="s">
        <v>6</v>
      </c>
      <c r="BK78" s="740"/>
      <c r="BL78" s="739"/>
      <c r="BM78" s="740"/>
      <c r="BN78" s="739"/>
      <c r="BO78" s="740"/>
      <c r="BP78" s="739"/>
      <c r="BQ78" s="740" t="s">
        <v>6</v>
      </c>
      <c r="BR78" s="739"/>
      <c r="BS78" s="740"/>
      <c r="BT78" s="739"/>
      <c r="BU78" s="740"/>
      <c r="BV78" s="739"/>
      <c r="BW78" s="740"/>
      <c r="BX78" s="739"/>
      <c r="BY78" s="740"/>
      <c r="BZ78" s="739"/>
      <c r="CA78" s="740"/>
      <c r="CB78" s="739"/>
      <c r="CC78" s="740"/>
      <c r="CD78" s="739"/>
      <c r="CE78" s="740"/>
      <c r="CF78" s="739"/>
      <c r="CG78" s="740"/>
      <c r="CH78" s="739"/>
      <c r="CI78" s="740"/>
      <c r="CJ78" s="739"/>
      <c r="CK78" s="740"/>
      <c r="CL78" s="748" t="s">
        <v>6</v>
      </c>
      <c r="CN78" s="713"/>
      <c r="CO78" s="726"/>
    </row>
    <row r="79" spans="2:93">
      <c r="B79" s="161"/>
      <c r="C79" s="26"/>
      <c r="D79" s="26"/>
      <c r="E79" s="26"/>
      <c r="F79" s="26"/>
      <c r="G79" s="26"/>
      <c r="H79" s="26"/>
      <c r="I79" s="26"/>
      <c r="J79" s="26"/>
      <c r="K79" s="26"/>
      <c r="L79" s="26"/>
      <c r="M79" s="26"/>
      <c r="N79" s="26"/>
      <c r="O79" s="26"/>
      <c r="P79" s="26"/>
      <c r="Q79" s="162"/>
      <c r="T79" s="738" t="s">
        <v>6</v>
      </c>
      <c r="U79" s="739"/>
      <c r="V79" s="740"/>
      <c r="W79" s="739" t="s">
        <v>6</v>
      </c>
      <c r="X79" s="740"/>
      <c r="Y79" s="739"/>
      <c r="Z79" s="740" t="s">
        <v>6</v>
      </c>
      <c r="AA79" s="739"/>
      <c r="AB79" s="740"/>
      <c r="AC79" s="739" t="s">
        <v>6</v>
      </c>
      <c r="AD79" s="740"/>
      <c r="AE79" s="739"/>
      <c r="AF79" s="740" t="s">
        <v>6</v>
      </c>
      <c r="AG79" s="739"/>
      <c r="AH79" s="741"/>
      <c r="AK79" s="738" t="s">
        <v>6</v>
      </c>
      <c r="AL79" s="739"/>
      <c r="AM79" s="740"/>
      <c r="AN79" s="739"/>
      <c r="AO79" s="740"/>
      <c r="AP79" s="739"/>
      <c r="AQ79" s="740"/>
      <c r="AR79" s="739"/>
      <c r="AS79" s="740"/>
      <c r="AT79" s="739"/>
      <c r="AU79" s="740"/>
      <c r="AV79" s="739"/>
      <c r="AW79" s="740"/>
      <c r="AX79" s="739"/>
      <c r="AY79" s="740"/>
      <c r="AZ79" s="739"/>
      <c r="BA79" s="740"/>
      <c r="BB79" s="739"/>
      <c r="BC79" s="740" t="s">
        <v>6</v>
      </c>
      <c r="BD79" s="739"/>
      <c r="BE79" s="740"/>
      <c r="BF79" s="739"/>
      <c r="BG79" s="740"/>
      <c r="BH79" s="739"/>
      <c r="BI79" s="740"/>
      <c r="BJ79" s="739" t="s">
        <v>6</v>
      </c>
      <c r="BK79" s="740"/>
      <c r="BL79" s="739"/>
      <c r="BM79" s="740"/>
      <c r="BN79" s="739"/>
      <c r="BO79" s="740"/>
      <c r="BP79" s="739"/>
      <c r="BQ79" s="740" t="s">
        <v>6</v>
      </c>
      <c r="BR79" s="739"/>
      <c r="BS79" s="740"/>
      <c r="BT79" s="739"/>
      <c r="BU79" s="740"/>
      <c r="BV79" s="739"/>
      <c r="BW79" s="740"/>
      <c r="BX79" s="739"/>
      <c r="BY79" s="740"/>
      <c r="BZ79" s="739"/>
      <c r="CA79" s="740"/>
      <c r="CB79" s="739"/>
      <c r="CC79" s="740"/>
      <c r="CD79" s="739"/>
      <c r="CE79" s="740"/>
      <c r="CF79" s="739"/>
      <c r="CG79" s="740"/>
      <c r="CH79" s="739"/>
      <c r="CI79" s="740"/>
      <c r="CJ79" s="739"/>
      <c r="CK79" s="740"/>
      <c r="CL79" s="748" t="s">
        <v>6</v>
      </c>
      <c r="CN79" s="713"/>
      <c r="CO79" s="726"/>
    </row>
    <row r="80" spans="2:93" hidden="1">
      <c r="B80" s="161"/>
      <c r="C80" s="26" t="s">
        <v>363</v>
      </c>
      <c r="D80" s="26"/>
      <c r="E80" s="26"/>
      <c r="F80" s="26"/>
      <c r="G80" s="26"/>
      <c r="H80" s="26"/>
      <c r="I80" s="26"/>
      <c r="J80" s="26"/>
      <c r="K80" s="26"/>
      <c r="L80" s="26"/>
      <c r="M80" s="26"/>
      <c r="N80" s="26"/>
      <c r="O80" s="26"/>
      <c r="P80" s="26"/>
      <c r="Q80" s="162"/>
      <c r="T80" s="738" t="s">
        <v>6</v>
      </c>
      <c r="U80" s="739"/>
      <c r="V80" s="740"/>
      <c r="W80" s="739" t="s">
        <v>5</v>
      </c>
      <c r="X80" s="740"/>
      <c r="Y80" s="739"/>
      <c r="Z80" s="740" t="s">
        <v>5</v>
      </c>
      <c r="AA80" s="739"/>
      <c r="AB80" s="740"/>
      <c r="AC80" s="739" t="s">
        <v>6</v>
      </c>
      <c r="AD80" s="740"/>
      <c r="AE80" s="739"/>
      <c r="AF80" s="740" t="s">
        <v>6</v>
      </c>
      <c r="AG80" s="739"/>
      <c r="AH80" s="741"/>
      <c r="AK80" s="738" t="s">
        <v>6</v>
      </c>
      <c r="AL80" s="739"/>
      <c r="AM80" s="740"/>
      <c r="AN80" s="739"/>
      <c r="AO80" s="740"/>
      <c r="AP80" s="739"/>
      <c r="AQ80" s="740"/>
      <c r="AR80" s="739"/>
      <c r="AS80" s="740"/>
      <c r="AT80" s="739"/>
      <c r="AU80" s="740"/>
      <c r="AV80" s="739"/>
      <c r="AW80" s="740"/>
      <c r="AX80" s="739"/>
      <c r="AY80" s="740"/>
      <c r="AZ80" s="739"/>
      <c r="BA80" s="740"/>
      <c r="BB80" s="739"/>
      <c r="BC80" s="740" t="s">
        <v>5</v>
      </c>
      <c r="BD80" s="739"/>
      <c r="BE80" s="740"/>
      <c r="BF80" s="739"/>
      <c r="BG80" s="740"/>
      <c r="BH80" s="739"/>
      <c r="BI80" s="740"/>
      <c r="BJ80" s="739" t="s">
        <v>5</v>
      </c>
      <c r="BK80" s="740"/>
      <c r="BL80" s="739"/>
      <c r="BM80" s="740"/>
      <c r="BN80" s="739"/>
      <c r="BO80" s="740"/>
      <c r="BP80" s="739"/>
      <c r="BQ80" s="740" t="s">
        <v>6</v>
      </c>
      <c r="BR80" s="739"/>
      <c r="BS80" s="740"/>
      <c r="BT80" s="739"/>
      <c r="BU80" s="740"/>
      <c r="BV80" s="739"/>
      <c r="BW80" s="740"/>
      <c r="BX80" s="739"/>
      <c r="BY80" s="740"/>
      <c r="BZ80" s="739"/>
      <c r="CA80" s="740"/>
      <c r="CB80" s="739"/>
      <c r="CC80" s="740"/>
      <c r="CD80" s="739"/>
      <c r="CE80" s="740"/>
      <c r="CF80" s="739"/>
      <c r="CG80" s="740"/>
      <c r="CH80" s="739"/>
      <c r="CI80" s="740"/>
      <c r="CJ80" s="739"/>
      <c r="CK80" s="740"/>
      <c r="CL80" s="748" t="s">
        <v>6</v>
      </c>
      <c r="CN80" s="713"/>
      <c r="CO80" s="726"/>
    </row>
    <row r="81" spans="2:93" hidden="1">
      <c r="B81" s="161"/>
      <c r="C81" s="28" t="s">
        <v>333</v>
      </c>
      <c r="D81" s="125" t="s">
        <v>135</v>
      </c>
      <c r="E81" s="96">
        <f>Open_Proportion*E8*(E13 + 'Input Data'!$U$3)</f>
        <v>0</v>
      </c>
      <c r="F81" s="96">
        <f>F8*(F13 + 'Input Data'!$U$3)</f>
        <v>0</v>
      </c>
      <c r="G81" s="96">
        <f>G8*(G13 + 'Input Data'!$U$3)</f>
        <v>0</v>
      </c>
      <c r="H81" s="96">
        <f>H8*(H13 + 'Input Data'!$U$3)</f>
        <v>0</v>
      </c>
      <c r="I81" s="96">
        <f>I8*(I13 + 'Input Data'!$U$3)</f>
        <v>0</v>
      </c>
      <c r="J81" s="96">
        <f>J8*(J13 + 'Input Data'!$U$3)</f>
        <v>0</v>
      </c>
      <c r="K81" s="96">
        <f>K8*(K13 + 'Input Data'!$U$3)</f>
        <v>0</v>
      </c>
      <c r="L81" s="96">
        <f>L8*(L13 + 'Input Data'!$U$3)</f>
        <v>0</v>
      </c>
      <c r="M81" s="28"/>
      <c r="N81" s="28"/>
      <c r="O81" s="28"/>
      <c r="P81" s="28"/>
      <c r="Q81" s="162"/>
      <c r="T81" s="738" t="s">
        <v>6</v>
      </c>
      <c r="U81" s="739"/>
      <c r="V81" s="740"/>
      <c r="W81" s="739" t="s">
        <v>5</v>
      </c>
      <c r="X81" s="740"/>
      <c r="Y81" s="739"/>
      <c r="Z81" s="740" t="s">
        <v>5</v>
      </c>
      <c r="AA81" s="739"/>
      <c r="AB81" s="740"/>
      <c r="AC81" s="739" t="s">
        <v>5</v>
      </c>
      <c r="AD81" s="740"/>
      <c r="AE81" s="739"/>
      <c r="AF81" s="740" t="s">
        <v>5</v>
      </c>
      <c r="AG81" s="739"/>
      <c r="AH81" s="741"/>
      <c r="AK81" s="738" t="s">
        <v>6</v>
      </c>
      <c r="AL81" s="739"/>
      <c r="AM81" s="740"/>
      <c r="AN81" s="739" t="s">
        <v>6</v>
      </c>
      <c r="AO81" s="740"/>
      <c r="AP81" s="739"/>
      <c r="AQ81" s="740" t="s">
        <v>5</v>
      </c>
      <c r="AR81" s="739"/>
      <c r="AS81" s="740"/>
      <c r="AT81" s="739" t="s">
        <v>5</v>
      </c>
      <c r="AU81" s="740"/>
      <c r="AV81" s="739"/>
      <c r="AW81" s="740" t="s">
        <v>6</v>
      </c>
      <c r="AX81" s="739"/>
      <c r="AY81" s="740"/>
      <c r="AZ81" s="739" t="s">
        <v>6</v>
      </c>
      <c r="BA81" s="740"/>
      <c r="BB81" s="739"/>
      <c r="BC81" s="740" t="s">
        <v>5</v>
      </c>
      <c r="BD81" s="739"/>
      <c r="BE81" s="740"/>
      <c r="BF81" s="739"/>
      <c r="BG81" s="740"/>
      <c r="BH81" s="739"/>
      <c r="BI81" s="740"/>
      <c r="BJ81" s="739" t="s">
        <v>5</v>
      </c>
      <c r="BK81" s="740"/>
      <c r="BL81" s="739"/>
      <c r="BM81" s="740"/>
      <c r="BN81" s="739"/>
      <c r="BO81" s="740"/>
      <c r="BP81" s="739"/>
      <c r="BQ81" s="740" t="s">
        <v>5</v>
      </c>
      <c r="BR81" s="739"/>
      <c r="BS81" s="740"/>
      <c r="BT81" s="739"/>
      <c r="BU81" s="740"/>
      <c r="BV81" s="739"/>
      <c r="BW81" s="740"/>
      <c r="BX81" s="739"/>
      <c r="BY81" s="740"/>
      <c r="BZ81" s="739"/>
      <c r="CA81" s="740"/>
      <c r="CB81" s="739"/>
      <c r="CC81" s="740"/>
      <c r="CD81" s="739"/>
      <c r="CE81" s="740"/>
      <c r="CF81" s="739"/>
      <c r="CG81" s="740"/>
      <c r="CH81" s="739"/>
      <c r="CI81" s="740"/>
      <c r="CJ81" s="739"/>
      <c r="CK81" s="740"/>
      <c r="CL81" s="748" t="s">
        <v>5</v>
      </c>
      <c r="CN81" s="713"/>
      <c r="CO81" s="726"/>
    </row>
    <row r="82" spans="2:93" hidden="1">
      <c r="B82" s="161"/>
      <c r="C82" s="28" t="s">
        <v>334</v>
      </c>
      <c r="D82" s="125" t="s">
        <v>135</v>
      </c>
      <c r="E82" s="96">
        <f>Open_Proportion*E9*(E14 + 'Input Data'!$U$3)</f>
        <v>0</v>
      </c>
      <c r="F82" s="96">
        <f>F9*(F14 + 'Input Data'!$U$3)</f>
        <v>0</v>
      </c>
      <c r="G82" s="96">
        <f>G9*(G14 + 'Input Data'!$U$3)</f>
        <v>0</v>
      </c>
      <c r="H82" s="96">
        <f>H9*(H14 + 'Input Data'!$U$3)</f>
        <v>0</v>
      </c>
      <c r="I82" s="96">
        <f>I9*(I14 + 'Input Data'!$U$3)</f>
        <v>0</v>
      </c>
      <c r="J82" s="96">
        <f>J9*(J14 + 'Input Data'!$U$3)</f>
        <v>0</v>
      </c>
      <c r="K82" s="96">
        <f>K9*(K14 + 'Input Data'!$U$3)</f>
        <v>0</v>
      </c>
      <c r="L82" s="96">
        <f>L9*(L14 + 'Input Data'!$U$3)</f>
        <v>0</v>
      </c>
      <c r="M82" s="28"/>
      <c r="N82" s="28"/>
      <c r="O82" s="28"/>
      <c r="P82" s="28"/>
      <c r="Q82" s="162"/>
      <c r="T82" s="738" t="s">
        <v>6</v>
      </c>
      <c r="U82" s="739"/>
      <c r="V82" s="740"/>
      <c r="W82" s="739" t="s">
        <v>5</v>
      </c>
      <c r="X82" s="740"/>
      <c r="Y82" s="739"/>
      <c r="Z82" s="740" t="s">
        <v>5</v>
      </c>
      <c r="AA82" s="739"/>
      <c r="AB82" s="740"/>
      <c r="AC82" s="739" t="s">
        <v>5</v>
      </c>
      <c r="AD82" s="740"/>
      <c r="AE82" s="739"/>
      <c r="AF82" s="740" t="s">
        <v>5</v>
      </c>
      <c r="AG82" s="739"/>
      <c r="AH82" s="741"/>
      <c r="AK82" s="738" t="s">
        <v>6</v>
      </c>
      <c r="AL82" s="739"/>
      <c r="AM82" s="740"/>
      <c r="AN82" s="739" t="s">
        <v>6</v>
      </c>
      <c r="AO82" s="740"/>
      <c r="AP82" s="739"/>
      <c r="AQ82" s="740" t="s">
        <v>5</v>
      </c>
      <c r="AR82" s="739"/>
      <c r="AS82" s="740"/>
      <c r="AT82" s="739" t="s">
        <v>5</v>
      </c>
      <c r="AU82" s="740"/>
      <c r="AV82" s="739"/>
      <c r="AW82" s="740" t="s">
        <v>6</v>
      </c>
      <c r="AX82" s="739"/>
      <c r="AY82" s="740"/>
      <c r="AZ82" s="739" t="s">
        <v>6</v>
      </c>
      <c r="BA82" s="740"/>
      <c r="BB82" s="739"/>
      <c r="BC82" s="740" t="s">
        <v>5</v>
      </c>
      <c r="BD82" s="739"/>
      <c r="BE82" s="740"/>
      <c r="BF82" s="739"/>
      <c r="BG82" s="740"/>
      <c r="BH82" s="739"/>
      <c r="BI82" s="740"/>
      <c r="BJ82" s="739" t="s">
        <v>5</v>
      </c>
      <c r="BK82" s="740"/>
      <c r="BL82" s="739"/>
      <c r="BM82" s="740"/>
      <c r="BN82" s="739"/>
      <c r="BO82" s="740"/>
      <c r="BP82" s="739"/>
      <c r="BQ82" s="740" t="s">
        <v>5</v>
      </c>
      <c r="BR82" s="739"/>
      <c r="BS82" s="740"/>
      <c r="BT82" s="739"/>
      <c r="BU82" s="740"/>
      <c r="BV82" s="739"/>
      <c r="BW82" s="740"/>
      <c r="BX82" s="739"/>
      <c r="BY82" s="740"/>
      <c r="BZ82" s="739"/>
      <c r="CA82" s="740"/>
      <c r="CB82" s="739"/>
      <c r="CC82" s="740"/>
      <c r="CD82" s="739"/>
      <c r="CE82" s="740"/>
      <c r="CF82" s="739"/>
      <c r="CG82" s="740"/>
      <c r="CH82" s="739"/>
      <c r="CI82" s="740"/>
      <c r="CJ82" s="739"/>
      <c r="CK82" s="740"/>
      <c r="CL82" s="748" t="s">
        <v>5</v>
      </c>
      <c r="CN82" s="713"/>
      <c r="CO82" s="726"/>
    </row>
    <row r="83" spans="2:93" hidden="1">
      <c r="B83" s="161"/>
      <c r="C83" s="28" t="s">
        <v>335</v>
      </c>
      <c r="D83" s="125" t="s">
        <v>135</v>
      </c>
      <c r="E83" s="96">
        <f>Open_Proportion*E10*(E15 + 'Input Data'!$U$3)</f>
        <v>0</v>
      </c>
      <c r="F83" s="96">
        <f>F10*(F15 + 'Input Data'!$U$3)</f>
        <v>0</v>
      </c>
      <c r="G83" s="96">
        <f>G10*(G15 + 'Input Data'!$U$3)</f>
        <v>0</v>
      </c>
      <c r="H83" s="96">
        <f>H10*(H15 + 'Input Data'!$U$3)</f>
        <v>0</v>
      </c>
      <c r="I83" s="96">
        <f>I10*(I15 + 'Input Data'!$U$3)</f>
        <v>0</v>
      </c>
      <c r="J83" s="96">
        <f>J10*(J15 + 'Input Data'!$U$3)</f>
        <v>0</v>
      </c>
      <c r="K83" s="96">
        <f>K10*(K15 + 'Input Data'!$U$3)</f>
        <v>0</v>
      </c>
      <c r="L83" s="96">
        <f>L10*(L15 + 'Input Data'!$U$3)</f>
        <v>0</v>
      </c>
      <c r="M83" s="28"/>
      <c r="N83" s="28"/>
      <c r="O83" s="28"/>
      <c r="P83" s="28"/>
      <c r="Q83" s="162"/>
      <c r="T83" s="738" t="s">
        <v>6</v>
      </c>
      <c r="U83" s="739"/>
      <c r="V83" s="740"/>
      <c r="W83" s="739" t="s">
        <v>5</v>
      </c>
      <c r="X83" s="740"/>
      <c r="Y83" s="739"/>
      <c r="Z83" s="740" t="s">
        <v>5</v>
      </c>
      <c r="AA83" s="739"/>
      <c r="AB83" s="740"/>
      <c r="AC83" s="739" t="s">
        <v>5</v>
      </c>
      <c r="AD83" s="740"/>
      <c r="AE83" s="739"/>
      <c r="AF83" s="740" t="s">
        <v>5</v>
      </c>
      <c r="AG83" s="739"/>
      <c r="AH83" s="741"/>
      <c r="AK83" s="738" t="s">
        <v>6</v>
      </c>
      <c r="AL83" s="739"/>
      <c r="AM83" s="740"/>
      <c r="AN83" s="739" t="s">
        <v>5</v>
      </c>
      <c r="AO83" s="740"/>
      <c r="AP83" s="739"/>
      <c r="AQ83" s="740" t="s">
        <v>6</v>
      </c>
      <c r="AR83" s="739"/>
      <c r="AS83" s="740"/>
      <c r="AT83" s="739" t="s">
        <v>6</v>
      </c>
      <c r="AU83" s="740"/>
      <c r="AV83" s="739"/>
      <c r="AW83" s="740" t="s">
        <v>6</v>
      </c>
      <c r="AX83" s="739"/>
      <c r="AY83" s="740"/>
      <c r="AZ83" s="739" t="s">
        <v>6</v>
      </c>
      <c r="BA83" s="740"/>
      <c r="BB83" s="739"/>
      <c r="BC83" s="740" t="s">
        <v>5</v>
      </c>
      <c r="BD83" s="739"/>
      <c r="BE83" s="740"/>
      <c r="BF83" s="739"/>
      <c r="BG83" s="740"/>
      <c r="BH83" s="739"/>
      <c r="BI83" s="740"/>
      <c r="BJ83" s="739" t="s">
        <v>5</v>
      </c>
      <c r="BK83" s="740"/>
      <c r="BL83" s="739"/>
      <c r="BM83" s="740"/>
      <c r="BN83" s="739"/>
      <c r="BO83" s="740"/>
      <c r="BP83" s="739"/>
      <c r="BQ83" s="740" t="s">
        <v>5</v>
      </c>
      <c r="BR83" s="739"/>
      <c r="BS83" s="740"/>
      <c r="BT83" s="739"/>
      <c r="BU83" s="740"/>
      <c r="BV83" s="739"/>
      <c r="BW83" s="740"/>
      <c r="BX83" s="739"/>
      <c r="BY83" s="740"/>
      <c r="BZ83" s="739"/>
      <c r="CA83" s="740"/>
      <c r="CB83" s="739"/>
      <c r="CC83" s="740"/>
      <c r="CD83" s="739"/>
      <c r="CE83" s="740"/>
      <c r="CF83" s="739"/>
      <c r="CG83" s="740"/>
      <c r="CH83" s="739"/>
      <c r="CI83" s="740"/>
      <c r="CJ83" s="739"/>
      <c r="CK83" s="740"/>
      <c r="CL83" s="748" t="s">
        <v>5</v>
      </c>
      <c r="CN83" s="713"/>
      <c r="CO83" s="726"/>
    </row>
    <row r="84" spans="2:93" hidden="1">
      <c r="B84" s="161"/>
      <c r="C84" s="28" t="s">
        <v>336</v>
      </c>
      <c r="D84" s="125" t="s">
        <v>135</v>
      </c>
      <c r="E84" s="96">
        <f>Open_Proportion*E11*(E16 + 'Input Data'!$U$3)</f>
        <v>0</v>
      </c>
      <c r="F84" s="96">
        <f>F11*(F16 + 'Input Data'!$U$3)</f>
        <v>0</v>
      </c>
      <c r="G84" s="96">
        <f>G11*(G16 + 'Input Data'!$U$3)</f>
        <v>0</v>
      </c>
      <c r="H84" s="96">
        <f>H11*(H16 + 'Input Data'!$U$3)</f>
        <v>0</v>
      </c>
      <c r="I84" s="96">
        <f>I11*(I16 + 'Input Data'!$U$3)</f>
        <v>0</v>
      </c>
      <c r="J84" s="96">
        <f>J11*(J16 + 'Input Data'!$U$3)</f>
        <v>0</v>
      </c>
      <c r="K84" s="96">
        <f>K11*(K16 + 'Input Data'!$U$3)</f>
        <v>0</v>
      </c>
      <c r="L84" s="96">
        <f>L11*(L16 + 'Input Data'!$U$3)</f>
        <v>0</v>
      </c>
      <c r="M84" s="28"/>
      <c r="N84" s="28"/>
      <c r="O84" s="28"/>
      <c r="P84" s="28"/>
      <c r="Q84" s="162"/>
      <c r="T84" s="738" t="s">
        <v>6</v>
      </c>
      <c r="U84" s="739"/>
      <c r="V84" s="740"/>
      <c r="W84" s="739" t="s">
        <v>5</v>
      </c>
      <c r="X84" s="740"/>
      <c r="Y84" s="739"/>
      <c r="Z84" s="740" t="s">
        <v>5</v>
      </c>
      <c r="AA84" s="739"/>
      <c r="AB84" s="740"/>
      <c r="AC84" s="739" t="s">
        <v>5</v>
      </c>
      <c r="AD84" s="740"/>
      <c r="AE84" s="739"/>
      <c r="AF84" s="740" t="s">
        <v>5</v>
      </c>
      <c r="AG84" s="739"/>
      <c r="AH84" s="741"/>
      <c r="AK84" s="738" t="s">
        <v>6</v>
      </c>
      <c r="AL84" s="739"/>
      <c r="AM84" s="740"/>
      <c r="AN84" s="739" t="s">
        <v>5</v>
      </c>
      <c r="AO84" s="740"/>
      <c r="AP84" s="739"/>
      <c r="AQ84" s="740" t="s">
        <v>6</v>
      </c>
      <c r="AR84" s="739"/>
      <c r="AS84" s="740"/>
      <c r="AT84" s="739" t="s">
        <v>6</v>
      </c>
      <c r="AU84" s="740"/>
      <c r="AV84" s="739"/>
      <c r="AW84" s="740" t="s">
        <v>6</v>
      </c>
      <c r="AX84" s="739"/>
      <c r="AY84" s="740"/>
      <c r="AZ84" s="739" t="s">
        <v>6</v>
      </c>
      <c r="BA84" s="740"/>
      <c r="BB84" s="739"/>
      <c r="BC84" s="740" t="s">
        <v>5</v>
      </c>
      <c r="BD84" s="739"/>
      <c r="BE84" s="740"/>
      <c r="BF84" s="739"/>
      <c r="BG84" s="740"/>
      <c r="BH84" s="739"/>
      <c r="BI84" s="740"/>
      <c r="BJ84" s="739" t="s">
        <v>5</v>
      </c>
      <c r="BK84" s="740"/>
      <c r="BL84" s="739"/>
      <c r="BM84" s="740"/>
      <c r="BN84" s="739"/>
      <c r="BO84" s="740"/>
      <c r="BP84" s="739"/>
      <c r="BQ84" s="740" t="s">
        <v>5</v>
      </c>
      <c r="BR84" s="739"/>
      <c r="BS84" s="740"/>
      <c r="BT84" s="739"/>
      <c r="BU84" s="740"/>
      <c r="BV84" s="739"/>
      <c r="BW84" s="740"/>
      <c r="BX84" s="739"/>
      <c r="BY84" s="740"/>
      <c r="BZ84" s="739"/>
      <c r="CA84" s="740"/>
      <c r="CB84" s="739"/>
      <c r="CC84" s="740"/>
      <c r="CD84" s="739"/>
      <c r="CE84" s="740"/>
      <c r="CF84" s="739"/>
      <c r="CG84" s="740"/>
      <c r="CH84" s="739"/>
      <c r="CI84" s="740"/>
      <c r="CJ84" s="739"/>
      <c r="CK84" s="740"/>
      <c r="CL84" s="748" t="s">
        <v>5</v>
      </c>
      <c r="CN84" s="713"/>
      <c r="CO84" s="726"/>
    </row>
    <row r="85" spans="2:93" hidden="1">
      <c r="B85" s="161"/>
      <c r="C85" s="26" t="s">
        <v>364</v>
      </c>
      <c r="D85" s="125" t="s">
        <v>135</v>
      </c>
      <c r="E85" s="156">
        <f>SUM(E81:E84)</f>
        <v>0</v>
      </c>
      <c r="F85" s="156">
        <f>SUM(F81:F84)</f>
        <v>0</v>
      </c>
      <c r="G85" s="156">
        <f>SUM(G81:G84)</f>
        <v>0</v>
      </c>
      <c r="H85" s="156">
        <f>SUM(H81:H84)</f>
        <v>0</v>
      </c>
      <c r="I85" s="156">
        <f>SUM(I81:I84)</f>
        <v>0</v>
      </c>
      <c r="J85" s="156">
        <f>SUM(J81:J84)</f>
        <v>0</v>
      </c>
      <c r="K85" s="156">
        <f>SUM(K81:K84)</f>
        <v>0</v>
      </c>
      <c r="L85" s="156">
        <f>SUM(L81:L84)</f>
        <v>0</v>
      </c>
      <c r="M85" s="26"/>
      <c r="N85" s="26"/>
      <c r="O85" s="26"/>
      <c r="P85" s="26"/>
      <c r="Q85" s="162"/>
      <c r="T85" s="738" t="s">
        <v>6</v>
      </c>
      <c r="U85" s="739"/>
      <c r="V85" s="740"/>
      <c r="W85" s="739" t="s">
        <v>5</v>
      </c>
      <c r="X85" s="740"/>
      <c r="Y85" s="739"/>
      <c r="Z85" s="740" t="s">
        <v>5</v>
      </c>
      <c r="AA85" s="739"/>
      <c r="AB85" s="740"/>
      <c r="AC85" s="739" t="s">
        <v>5</v>
      </c>
      <c r="AD85" s="740"/>
      <c r="AE85" s="739"/>
      <c r="AF85" s="740" t="s">
        <v>5</v>
      </c>
      <c r="AG85" s="739"/>
      <c r="AH85" s="741"/>
      <c r="AK85" s="738" t="s">
        <v>6</v>
      </c>
      <c r="AL85" s="739"/>
      <c r="AM85" s="740"/>
      <c r="AN85" s="739"/>
      <c r="AO85" s="740"/>
      <c r="AP85" s="739"/>
      <c r="AQ85" s="740"/>
      <c r="AR85" s="739"/>
      <c r="AS85" s="740"/>
      <c r="AT85" s="739"/>
      <c r="AU85" s="740"/>
      <c r="AV85" s="739"/>
      <c r="AW85" s="740"/>
      <c r="AX85" s="739"/>
      <c r="AY85" s="740"/>
      <c r="AZ85" s="739"/>
      <c r="BA85" s="740"/>
      <c r="BB85" s="739"/>
      <c r="BC85" s="740" t="s">
        <v>5</v>
      </c>
      <c r="BD85" s="739"/>
      <c r="BE85" s="740"/>
      <c r="BF85" s="739"/>
      <c r="BG85" s="740"/>
      <c r="BH85" s="739"/>
      <c r="BI85" s="740"/>
      <c r="BJ85" s="739" t="s">
        <v>5</v>
      </c>
      <c r="BK85" s="740"/>
      <c r="BL85" s="739"/>
      <c r="BM85" s="740"/>
      <c r="BN85" s="739"/>
      <c r="BO85" s="740"/>
      <c r="BP85" s="739"/>
      <c r="BQ85" s="740" t="s">
        <v>5</v>
      </c>
      <c r="BR85" s="739"/>
      <c r="BS85" s="740"/>
      <c r="BT85" s="739"/>
      <c r="BU85" s="740"/>
      <c r="BV85" s="739"/>
      <c r="BW85" s="740"/>
      <c r="BX85" s="739"/>
      <c r="BY85" s="740"/>
      <c r="BZ85" s="739"/>
      <c r="CA85" s="740"/>
      <c r="CB85" s="739"/>
      <c r="CC85" s="740"/>
      <c r="CD85" s="739"/>
      <c r="CE85" s="740"/>
      <c r="CF85" s="739"/>
      <c r="CG85" s="740"/>
      <c r="CH85" s="739"/>
      <c r="CI85" s="740"/>
      <c r="CJ85" s="739"/>
      <c r="CK85" s="740"/>
      <c r="CL85" s="748" t="s">
        <v>5</v>
      </c>
      <c r="CN85" s="713"/>
      <c r="CO85" s="726"/>
    </row>
    <row r="86" spans="2:93" hidden="1">
      <c r="B86" s="161"/>
      <c r="C86" s="163"/>
      <c r="D86" s="163"/>
      <c r="E86" s="163"/>
      <c r="F86" s="163"/>
      <c r="G86" s="163"/>
      <c r="H86" s="163"/>
      <c r="I86" s="163"/>
      <c r="J86" s="163"/>
      <c r="K86" s="163"/>
      <c r="L86" s="163"/>
      <c r="M86" s="163"/>
      <c r="N86" s="163"/>
      <c r="O86" s="163"/>
      <c r="P86" s="163"/>
      <c r="Q86" s="162"/>
      <c r="T86" s="738" t="s">
        <v>6</v>
      </c>
      <c r="U86" s="739"/>
      <c r="V86" s="740"/>
      <c r="W86" s="739" t="s">
        <v>5</v>
      </c>
      <c r="X86" s="740"/>
      <c r="Y86" s="739"/>
      <c r="Z86" s="740" t="s">
        <v>5</v>
      </c>
      <c r="AA86" s="739"/>
      <c r="AB86" s="740"/>
      <c r="AC86" s="739" t="s">
        <v>5</v>
      </c>
      <c r="AD86" s="740"/>
      <c r="AE86" s="739"/>
      <c r="AF86" s="740" t="s">
        <v>5</v>
      </c>
      <c r="AG86" s="739"/>
      <c r="AH86" s="741"/>
      <c r="AK86" s="738" t="s">
        <v>6</v>
      </c>
      <c r="AL86" s="739"/>
      <c r="AM86" s="740"/>
      <c r="AN86" s="739"/>
      <c r="AO86" s="740"/>
      <c r="AP86" s="739"/>
      <c r="AQ86" s="740"/>
      <c r="AR86" s="739"/>
      <c r="AS86" s="740"/>
      <c r="AT86" s="739"/>
      <c r="AU86" s="740"/>
      <c r="AV86" s="739"/>
      <c r="AW86" s="740"/>
      <c r="AX86" s="739"/>
      <c r="AY86" s="740"/>
      <c r="AZ86" s="739"/>
      <c r="BA86" s="740"/>
      <c r="BB86" s="739"/>
      <c r="BC86" s="740" t="s">
        <v>5</v>
      </c>
      <c r="BD86" s="739"/>
      <c r="BE86" s="740"/>
      <c r="BF86" s="739"/>
      <c r="BG86" s="740"/>
      <c r="BH86" s="739"/>
      <c r="BI86" s="740"/>
      <c r="BJ86" s="739" t="s">
        <v>5</v>
      </c>
      <c r="BK86" s="740"/>
      <c r="BL86" s="739"/>
      <c r="BM86" s="740"/>
      <c r="BN86" s="739"/>
      <c r="BO86" s="740"/>
      <c r="BP86" s="739"/>
      <c r="BQ86" s="740" t="s">
        <v>5</v>
      </c>
      <c r="BR86" s="739"/>
      <c r="BS86" s="740"/>
      <c r="BT86" s="739"/>
      <c r="BU86" s="740"/>
      <c r="BV86" s="739"/>
      <c r="BW86" s="740"/>
      <c r="BX86" s="739"/>
      <c r="BY86" s="740"/>
      <c r="BZ86" s="739"/>
      <c r="CA86" s="740"/>
      <c r="CB86" s="739"/>
      <c r="CC86" s="740"/>
      <c r="CD86" s="739"/>
      <c r="CE86" s="740"/>
      <c r="CF86" s="739"/>
      <c r="CG86" s="740"/>
      <c r="CH86" s="739"/>
      <c r="CI86" s="740"/>
      <c r="CJ86" s="739"/>
      <c r="CK86" s="740"/>
      <c r="CL86" s="748" t="s">
        <v>5</v>
      </c>
      <c r="CN86" s="713"/>
      <c r="CO86" s="726"/>
    </row>
    <row r="87" spans="2:93" customHeight="1" hidden="1">
      <c r="B87" s="161"/>
      <c r="C87" s="35" t="s">
        <v>365</v>
      </c>
      <c r="D87" s="125" t="s">
        <v>135</v>
      </c>
      <c r="E87" s="127">
        <f>IFERROR('Pre 16 Ready Reckoner'!$M$22,0)</f>
        <v>0</v>
      </c>
      <c r="F87" s="128">
        <f>IFERROR(SUM('Pre 16 Ready Reckoner'!Q$22:Q$27),0)</f>
        <v>0</v>
      </c>
      <c r="G87" s="128">
        <f>IFERROR(SUM('Pre 16 Ready Reckoner'!R$22:R$27),0)</f>
        <v>0</v>
      </c>
      <c r="H87" s="128">
        <f>IFERROR(SUM('Pre 16 Ready Reckoner'!S$22:S$27),0)</f>
        <v>0</v>
      </c>
      <c r="I87" s="128">
        <f>IFERROR(SUM('Pre 16 Ready Reckoner'!T$22:T$27),0)</f>
        <v>0</v>
      </c>
      <c r="J87" s="128">
        <f>IFERROR(SUM('Pre 16 Ready Reckoner'!U$22:U$27),0)</f>
        <v>0</v>
      </c>
      <c r="K87" s="128">
        <f>IFERROR(SUM('Pre 16 Ready Reckoner'!V$22:V$27),0)</f>
        <v>0</v>
      </c>
      <c r="L87" s="128">
        <f>IFERROR(SUM('Pre 16 Ready Reckoner'!W$22:W$27),0)</f>
        <v>0</v>
      </c>
      <c r="M87" s="163"/>
      <c r="N87" s="959" t="s">
        <v>1009</v>
      </c>
      <c r="O87" s="100"/>
      <c r="P87" s="962"/>
      <c r="Q87" s="162"/>
      <c r="T87" s="738" t="s">
        <v>5</v>
      </c>
      <c r="U87" s="739"/>
      <c r="V87" s="740"/>
      <c r="W87" s="739" t="s">
        <v>6</v>
      </c>
      <c r="X87" s="740"/>
      <c r="Y87" s="739"/>
      <c r="Z87" s="740" t="s">
        <v>6</v>
      </c>
      <c r="AA87" s="739"/>
      <c r="AB87" s="740"/>
      <c r="AC87" s="739" t="s">
        <v>5</v>
      </c>
      <c r="AD87" s="740"/>
      <c r="AE87" s="739"/>
      <c r="AF87" s="740" t="s">
        <v>6</v>
      </c>
      <c r="AG87" s="739"/>
      <c r="AH87" s="741"/>
      <c r="AK87" s="738" t="s">
        <v>5</v>
      </c>
      <c r="AL87" s="739"/>
      <c r="AM87" s="740"/>
      <c r="AN87" s="739"/>
      <c r="AO87" s="740"/>
      <c r="AP87" s="739"/>
      <c r="AQ87" s="740"/>
      <c r="AR87" s="739"/>
      <c r="AS87" s="740"/>
      <c r="AT87" s="739"/>
      <c r="AU87" s="740"/>
      <c r="AV87" s="739"/>
      <c r="AW87" s="740"/>
      <c r="AX87" s="739"/>
      <c r="AY87" s="740"/>
      <c r="AZ87" s="739"/>
      <c r="BA87" s="740"/>
      <c r="BB87" s="739"/>
      <c r="BC87" s="740" t="s">
        <v>6</v>
      </c>
      <c r="BD87" s="739" t="s">
        <v>6</v>
      </c>
      <c r="BE87" s="740" t="s">
        <v>6</v>
      </c>
      <c r="BF87" s="739" t="s">
        <v>6</v>
      </c>
      <c r="BG87" s="740" t="s">
        <v>6</v>
      </c>
      <c r="BH87" s="739" t="s">
        <v>6</v>
      </c>
      <c r="BI87" s="740" t="s">
        <v>5</v>
      </c>
      <c r="BJ87" s="739" t="s">
        <v>6</v>
      </c>
      <c r="BK87" s="740" t="s">
        <v>6</v>
      </c>
      <c r="BL87" s="739" t="s">
        <v>6</v>
      </c>
      <c r="BM87" s="740" t="s">
        <v>6</v>
      </c>
      <c r="BN87" s="739" t="s">
        <v>6</v>
      </c>
      <c r="BO87" s="740" t="s">
        <v>6</v>
      </c>
      <c r="BP87" s="739" t="s">
        <v>5</v>
      </c>
      <c r="BQ87" s="740" t="s">
        <v>5</v>
      </c>
      <c r="BR87" s="739"/>
      <c r="BS87" s="740"/>
      <c r="BT87" s="739"/>
      <c r="BU87" s="740"/>
      <c r="BV87" s="739"/>
      <c r="BW87" s="740"/>
      <c r="BX87" s="739"/>
      <c r="BY87" s="740"/>
      <c r="BZ87" s="739"/>
      <c r="CA87" s="740"/>
      <c r="CB87" s="739"/>
      <c r="CC87" s="740"/>
      <c r="CD87" s="739"/>
      <c r="CE87" s="740"/>
      <c r="CF87" s="739"/>
      <c r="CG87" s="740"/>
      <c r="CH87" s="739"/>
      <c r="CI87" s="740"/>
      <c r="CJ87" s="739"/>
      <c r="CK87" s="740"/>
      <c r="CL87" s="748" t="s">
        <v>6</v>
      </c>
      <c r="CN87" s="713"/>
      <c r="CO87" s="726"/>
    </row>
    <row r="88" spans="2:93" hidden="1">
      <c r="B88" s="161"/>
      <c r="C88" s="35" t="s">
        <v>366</v>
      </c>
      <c r="D88" s="125" t="s">
        <v>135</v>
      </c>
      <c r="E88" s="127">
        <f>IFERROR('Pre 16 Ready Reckoner'!$M$29,0)</f>
        <v>0</v>
      </c>
      <c r="F88" s="127">
        <f>IFERROR(SUM('Pre 16 Ready Reckoner'!Q$29:Q$36),0)</f>
        <v>0</v>
      </c>
      <c r="G88" s="127">
        <f>IFERROR(SUM('Pre 16 Ready Reckoner'!R$29:R$36),0)</f>
        <v>0</v>
      </c>
      <c r="H88" s="127">
        <f>IFERROR(SUM('Pre 16 Ready Reckoner'!S$29:S$36),0)</f>
        <v>0</v>
      </c>
      <c r="I88" s="127">
        <f>IFERROR(SUM('Pre 16 Ready Reckoner'!T$29:T$36),0)</f>
        <v>0</v>
      </c>
      <c r="J88" s="127">
        <f>IFERROR(SUM('Pre 16 Ready Reckoner'!U$29:U$36),0)</f>
        <v>0</v>
      </c>
      <c r="K88" s="127">
        <f>IFERROR(SUM('Pre 16 Ready Reckoner'!V$29:V$36),0)</f>
        <v>0</v>
      </c>
      <c r="L88" s="127">
        <f>IFERROR(SUM('Pre 16 Ready Reckoner'!W$29:W$36),0)</f>
        <v>0</v>
      </c>
      <c r="M88" s="163"/>
      <c r="N88" s="960"/>
      <c r="O88" s="100"/>
      <c r="P88" s="963"/>
      <c r="Q88" s="162"/>
      <c r="T88" s="738" t="s">
        <v>5</v>
      </c>
      <c r="U88" s="739"/>
      <c r="V88" s="740"/>
      <c r="W88" s="739" t="s">
        <v>6</v>
      </c>
      <c r="X88" s="740"/>
      <c r="Y88" s="739"/>
      <c r="Z88" s="740" t="s">
        <v>6</v>
      </c>
      <c r="AA88" s="739"/>
      <c r="AB88" s="740"/>
      <c r="AC88" s="739" t="s">
        <v>5</v>
      </c>
      <c r="AD88" s="740"/>
      <c r="AE88" s="739"/>
      <c r="AF88" s="740" t="s">
        <v>6</v>
      </c>
      <c r="AG88" s="739"/>
      <c r="AH88" s="741"/>
      <c r="AK88" s="738" t="s">
        <v>5</v>
      </c>
      <c r="AL88" s="739"/>
      <c r="AM88" s="740"/>
      <c r="AN88" s="739"/>
      <c r="AO88" s="740"/>
      <c r="AP88" s="739"/>
      <c r="AQ88" s="740"/>
      <c r="AR88" s="739"/>
      <c r="AS88" s="740"/>
      <c r="AT88" s="739"/>
      <c r="AU88" s="740"/>
      <c r="AV88" s="739"/>
      <c r="AW88" s="740"/>
      <c r="AX88" s="739"/>
      <c r="AY88" s="740"/>
      <c r="AZ88" s="739"/>
      <c r="BA88" s="740"/>
      <c r="BB88" s="739"/>
      <c r="BC88" s="740" t="s">
        <v>6</v>
      </c>
      <c r="BD88" s="739" t="s">
        <v>6</v>
      </c>
      <c r="BE88" s="740" t="s">
        <v>6</v>
      </c>
      <c r="BF88" s="739" t="s">
        <v>6</v>
      </c>
      <c r="BG88" s="740" t="s">
        <v>6</v>
      </c>
      <c r="BH88" s="739" t="s">
        <v>6</v>
      </c>
      <c r="BI88" s="740" t="s">
        <v>5</v>
      </c>
      <c r="BJ88" s="739" t="s">
        <v>6</v>
      </c>
      <c r="BK88" s="740" t="s">
        <v>6</v>
      </c>
      <c r="BL88" s="739" t="s">
        <v>6</v>
      </c>
      <c r="BM88" s="740" t="s">
        <v>6</v>
      </c>
      <c r="BN88" s="739" t="s">
        <v>6</v>
      </c>
      <c r="BO88" s="740" t="s">
        <v>6</v>
      </c>
      <c r="BP88" s="739" t="s">
        <v>5</v>
      </c>
      <c r="BQ88" s="740" t="s">
        <v>5</v>
      </c>
      <c r="BR88" s="739"/>
      <c r="BS88" s="740"/>
      <c r="BT88" s="739"/>
      <c r="BU88" s="740"/>
      <c r="BV88" s="739"/>
      <c r="BW88" s="740"/>
      <c r="BX88" s="739"/>
      <c r="BY88" s="740"/>
      <c r="BZ88" s="739"/>
      <c r="CA88" s="740"/>
      <c r="CB88" s="739"/>
      <c r="CC88" s="740"/>
      <c r="CD88" s="739"/>
      <c r="CE88" s="740"/>
      <c r="CF88" s="739"/>
      <c r="CG88" s="740"/>
      <c r="CH88" s="739"/>
      <c r="CI88" s="740"/>
      <c r="CJ88" s="739"/>
      <c r="CK88" s="740"/>
      <c r="CL88" s="748" t="s">
        <v>6</v>
      </c>
      <c r="CN88" s="713"/>
      <c r="CO88" s="726"/>
    </row>
    <row r="89" spans="2:93" hidden="1">
      <c r="B89" s="161"/>
      <c r="C89" s="579" t="s">
        <v>367</v>
      </c>
      <c r="D89" s="125" t="s">
        <v>135</v>
      </c>
      <c r="E89" s="127">
        <f>IFERROR(SUM('Pre 16 Ready Reckoner'!$M$38:$M$40,'Pre 16 Ready Reckoner'!$M$43),0)</f>
        <v>0</v>
      </c>
      <c r="F89" s="127">
        <f>IFERROR(SUM('Pre 16 Ready Reckoner'!Q$38:Q$39,'Pre 16 Ready Reckoner'!Q$43:Q$48),0)</f>
        <v>0</v>
      </c>
      <c r="G89" s="127">
        <f>IFERROR(SUM('Pre 16 Ready Reckoner'!R$38:R$39,'Pre 16 Ready Reckoner'!R$43:R$48),0)</f>
        <v>0</v>
      </c>
      <c r="H89" s="127">
        <f>IFERROR(SUM('Pre 16 Ready Reckoner'!S$38:S$39,'Pre 16 Ready Reckoner'!S$43:S$48),0)</f>
        <v>0</v>
      </c>
      <c r="I89" s="127">
        <f>IFERROR(SUM('Pre 16 Ready Reckoner'!T$38:T$39,'Pre 16 Ready Reckoner'!T$43:T$48),0)</f>
        <v>0</v>
      </c>
      <c r="J89" s="127">
        <f>IFERROR(SUM('Pre 16 Ready Reckoner'!U$38:U$39,'Pre 16 Ready Reckoner'!U$43:U$48),0)</f>
        <v>0</v>
      </c>
      <c r="K89" s="127">
        <f>IFERROR(SUM('Pre 16 Ready Reckoner'!V$38:V$39,'Pre 16 Ready Reckoner'!V$43:V$48),0)</f>
        <v>0</v>
      </c>
      <c r="L89" s="127">
        <f>IFERROR(SUM('Pre 16 Ready Reckoner'!W$38:W$39,'Pre 16 Ready Reckoner'!W$43:W$48),0)</f>
        <v>0</v>
      </c>
      <c r="M89" s="163"/>
      <c r="N89" s="961"/>
      <c r="O89" s="101"/>
      <c r="P89" s="963"/>
      <c r="Q89" s="162"/>
      <c r="T89" s="738" t="s">
        <v>5</v>
      </c>
      <c r="U89" s="739"/>
      <c r="V89" s="740"/>
      <c r="W89" s="739" t="s">
        <v>6</v>
      </c>
      <c r="X89" s="740"/>
      <c r="Y89" s="739"/>
      <c r="Z89" s="740" t="s">
        <v>6</v>
      </c>
      <c r="AA89" s="739"/>
      <c r="AB89" s="740"/>
      <c r="AC89" s="739" t="s">
        <v>5</v>
      </c>
      <c r="AD89" s="740"/>
      <c r="AE89" s="739"/>
      <c r="AF89" s="740" t="s">
        <v>6</v>
      </c>
      <c r="AG89" s="739"/>
      <c r="AH89" s="741"/>
      <c r="AK89" s="738" t="s">
        <v>5</v>
      </c>
      <c r="AL89" s="739"/>
      <c r="AM89" s="740"/>
      <c r="AN89" s="739"/>
      <c r="AO89" s="740"/>
      <c r="AP89" s="739"/>
      <c r="AQ89" s="740"/>
      <c r="AR89" s="739"/>
      <c r="AS89" s="740"/>
      <c r="AT89" s="739"/>
      <c r="AU89" s="740"/>
      <c r="AV89" s="739"/>
      <c r="AW89" s="740"/>
      <c r="AX89" s="739"/>
      <c r="AY89" s="740"/>
      <c r="AZ89" s="739"/>
      <c r="BA89" s="740"/>
      <c r="BB89" s="739"/>
      <c r="BC89" s="740" t="s">
        <v>6</v>
      </c>
      <c r="BD89" s="739" t="s">
        <v>6</v>
      </c>
      <c r="BE89" s="740" t="s">
        <v>6</v>
      </c>
      <c r="BF89" s="739" t="s">
        <v>6</v>
      </c>
      <c r="BG89" s="740" t="s">
        <v>6</v>
      </c>
      <c r="BH89" s="739" t="s">
        <v>6</v>
      </c>
      <c r="BI89" s="740" t="s">
        <v>5</v>
      </c>
      <c r="BJ89" s="739" t="s">
        <v>6</v>
      </c>
      <c r="BK89" s="740" t="s">
        <v>6</v>
      </c>
      <c r="BL89" s="739" t="s">
        <v>6</v>
      </c>
      <c r="BM89" s="740" t="s">
        <v>6</v>
      </c>
      <c r="BN89" s="739" t="s">
        <v>6</v>
      </c>
      <c r="BO89" s="740" t="s">
        <v>6</v>
      </c>
      <c r="BP89" s="739" t="s">
        <v>5</v>
      </c>
      <c r="BQ89" s="740" t="s">
        <v>5</v>
      </c>
      <c r="BR89" s="739"/>
      <c r="BS89" s="740"/>
      <c r="BT89" s="739"/>
      <c r="BU89" s="740"/>
      <c r="BV89" s="739"/>
      <c r="BW89" s="740"/>
      <c r="BX89" s="739"/>
      <c r="BY89" s="740"/>
      <c r="BZ89" s="739"/>
      <c r="CA89" s="740"/>
      <c r="CB89" s="739"/>
      <c r="CC89" s="740"/>
      <c r="CD89" s="739"/>
      <c r="CE89" s="740"/>
      <c r="CF89" s="739"/>
      <c r="CG89" s="740"/>
      <c r="CH89" s="739"/>
      <c r="CI89" s="740"/>
      <c r="CJ89" s="739"/>
      <c r="CK89" s="740"/>
      <c r="CL89" s="748" t="s">
        <v>6</v>
      </c>
      <c r="CN89" s="713"/>
      <c r="CO89" s="726"/>
    </row>
    <row r="90" spans="2:93" hidden="1">
      <c r="B90" s="161"/>
      <c r="C90" s="580" t="s">
        <v>368</v>
      </c>
      <c r="D90" s="125" t="s">
        <v>135</v>
      </c>
      <c r="E90" s="127">
        <f>IF(OR('Pre 16 Ready Reckoner'!$M$53="Please select your school phase",'Pre 16 Ready Reckoner'!$M$53="Please enter your pupil units"),0,'Pre 16 Ready Reckoner'!$M$53)</f>
        <v>0</v>
      </c>
      <c r="F90" s="127">
        <f>IFERROR('Pre 16 Ready Reckoner'!Q$53,0)</f>
        <v>0</v>
      </c>
      <c r="G90" s="127">
        <f>IFERROR('Pre 16 Ready Reckoner'!R$53,0)</f>
        <v>0</v>
      </c>
      <c r="H90" s="127">
        <f>IFERROR('Pre 16 Ready Reckoner'!S$53,0)</f>
        <v>0</v>
      </c>
      <c r="I90" s="127">
        <f>IFERROR('Pre 16 Ready Reckoner'!T$53,0)</f>
        <v>0</v>
      </c>
      <c r="J90" s="127">
        <f>IFERROR('Pre 16 Ready Reckoner'!U$53,0)</f>
        <v>0</v>
      </c>
      <c r="K90" s="127">
        <f>IFERROR('Pre 16 Ready Reckoner'!V$53,0)</f>
        <v>0</v>
      </c>
      <c r="L90" s="127">
        <f>IFERROR('Pre 16 Ready Reckoner'!W$53,0)</f>
        <v>0</v>
      </c>
      <c r="M90" s="163"/>
      <c r="N90"/>
      <c r="O90" s="102"/>
      <c r="P90" s="963"/>
      <c r="Q90" s="162"/>
      <c r="T90" s="738" t="s">
        <v>5</v>
      </c>
      <c r="U90" s="739"/>
      <c r="V90" s="740"/>
      <c r="W90" s="739" t="s">
        <v>6</v>
      </c>
      <c r="X90" s="740"/>
      <c r="Y90" s="739"/>
      <c r="Z90" s="740" t="s">
        <v>6</v>
      </c>
      <c r="AA90" s="739"/>
      <c r="AB90" s="740"/>
      <c r="AC90" s="739" t="s">
        <v>5</v>
      </c>
      <c r="AD90" s="740"/>
      <c r="AE90" s="739"/>
      <c r="AF90" s="740" t="s">
        <v>6</v>
      </c>
      <c r="AG90" s="739"/>
      <c r="AH90" s="741"/>
      <c r="AK90" s="738" t="s">
        <v>5</v>
      </c>
      <c r="AL90" s="739"/>
      <c r="AM90" s="740"/>
      <c r="AN90" s="739"/>
      <c r="AO90" s="740"/>
      <c r="AP90" s="739"/>
      <c r="AQ90" s="740"/>
      <c r="AR90" s="739"/>
      <c r="AS90" s="740"/>
      <c r="AT90" s="739"/>
      <c r="AU90" s="740"/>
      <c r="AV90" s="739"/>
      <c r="AW90" s="740"/>
      <c r="AX90" s="739"/>
      <c r="AY90" s="740"/>
      <c r="AZ90" s="739"/>
      <c r="BA90" s="740"/>
      <c r="BB90" s="739"/>
      <c r="BC90" s="740" t="s">
        <v>6</v>
      </c>
      <c r="BD90" s="739" t="s">
        <v>6</v>
      </c>
      <c r="BE90" s="740" t="s">
        <v>6</v>
      </c>
      <c r="BF90" s="739" t="s">
        <v>6</v>
      </c>
      <c r="BG90" s="740" t="s">
        <v>6</v>
      </c>
      <c r="BH90" s="739" t="s">
        <v>6</v>
      </c>
      <c r="BI90" s="740" t="s">
        <v>5</v>
      </c>
      <c r="BJ90" s="739" t="s">
        <v>6</v>
      </c>
      <c r="BK90" s="740" t="s">
        <v>6</v>
      </c>
      <c r="BL90" s="739" t="s">
        <v>6</v>
      </c>
      <c r="BM90" s="740" t="s">
        <v>6</v>
      </c>
      <c r="BN90" s="739" t="s">
        <v>6</v>
      </c>
      <c r="BO90" s="740" t="s">
        <v>6</v>
      </c>
      <c r="BP90" s="739" t="s">
        <v>5</v>
      </c>
      <c r="BQ90" s="740" t="s">
        <v>5</v>
      </c>
      <c r="BR90" s="739"/>
      <c r="BS90" s="740"/>
      <c r="BT90" s="739"/>
      <c r="BU90" s="740"/>
      <c r="BV90" s="739"/>
      <c r="BW90" s="740"/>
      <c r="BX90" s="739"/>
      <c r="BY90" s="740"/>
      <c r="BZ90" s="739"/>
      <c r="CA90" s="740"/>
      <c r="CB90" s="739"/>
      <c r="CC90" s="740"/>
      <c r="CD90" s="739"/>
      <c r="CE90" s="740"/>
      <c r="CF90" s="739"/>
      <c r="CG90" s="740"/>
      <c r="CH90" s="739"/>
      <c r="CI90" s="740"/>
      <c r="CJ90" s="739"/>
      <c r="CK90" s="740"/>
      <c r="CL90" s="748" t="s">
        <v>6</v>
      </c>
      <c r="CN90" s="713"/>
      <c r="CO90" s="726"/>
    </row>
    <row r="91" spans="2:93" hidden="1">
      <c r="B91" s="161"/>
      <c r="C91" s="35" t="s">
        <v>732</v>
      </c>
      <c r="D91" s="125" t="s">
        <v>135</v>
      </c>
      <c r="E91" s="127">
        <f>IFERROR('Pre 16 Ready Reckoner'!$M$59,0)</f>
        <v>0</v>
      </c>
      <c r="F91" s="127">
        <f>IFERROR('Pre 16 Ready Reckoner'!Q$59,0)</f>
        <v>0</v>
      </c>
      <c r="G91" s="127">
        <f>IFERROR('Pre 16 Ready Reckoner'!R$59,0)</f>
        <v>0</v>
      </c>
      <c r="H91" s="127">
        <f>IFERROR('Pre 16 Ready Reckoner'!S$59,0)</f>
        <v>0</v>
      </c>
      <c r="I91" s="127">
        <f>IFERROR('Pre 16 Ready Reckoner'!T$59,0)</f>
        <v>0</v>
      </c>
      <c r="J91" s="127">
        <f>IFERROR('Pre 16 Ready Reckoner'!U$59,0)</f>
        <v>0</v>
      </c>
      <c r="K91" s="127">
        <f>IFERROR('Pre 16 Ready Reckoner'!V$59,0)</f>
        <v>0</v>
      </c>
      <c r="L91" s="127">
        <f>IFERROR('Pre 16 Ready Reckoner'!W$59,0)</f>
        <v>0</v>
      </c>
      <c r="M91" s="163"/>
      <c r="N91"/>
      <c r="O91" s="100"/>
      <c r="P91" s="963"/>
      <c r="Q91" s="162"/>
      <c r="T91" s="738" t="s">
        <v>5</v>
      </c>
      <c r="U91" s="739"/>
      <c r="V91" s="740"/>
      <c r="W91" s="739" t="s">
        <v>6</v>
      </c>
      <c r="X91" s="740"/>
      <c r="Y91" s="739"/>
      <c r="Z91" s="740" t="s">
        <v>6</v>
      </c>
      <c r="AA91" s="739"/>
      <c r="AB91" s="740"/>
      <c r="AC91" s="739" t="s">
        <v>5</v>
      </c>
      <c r="AD91" s="740"/>
      <c r="AE91" s="739"/>
      <c r="AF91" s="740" t="s">
        <v>6</v>
      </c>
      <c r="AG91" s="739"/>
      <c r="AH91" s="741"/>
      <c r="AK91" s="738" t="s">
        <v>5</v>
      </c>
      <c r="AL91" s="739"/>
      <c r="AM91" s="740"/>
      <c r="AN91" s="739"/>
      <c r="AO91" s="740"/>
      <c r="AP91" s="739"/>
      <c r="AQ91" s="740"/>
      <c r="AR91" s="739"/>
      <c r="AS91" s="740"/>
      <c r="AT91" s="739"/>
      <c r="AU91" s="740"/>
      <c r="AV91" s="739"/>
      <c r="AW91" s="740"/>
      <c r="AX91" s="739"/>
      <c r="AY91" s="740"/>
      <c r="AZ91" s="739"/>
      <c r="BA91" s="740"/>
      <c r="BB91" s="739"/>
      <c r="BC91" s="740" t="s">
        <v>6</v>
      </c>
      <c r="BD91" s="739" t="s">
        <v>6</v>
      </c>
      <c r="BE91" s="740" t="s">
        <v>6</v>
      </c>
      <c r="BF91" s="739" t="s">
        <v>6</v>
      </c>
      <c r="BG91" s="740" t="s">
        <v>6</v>
      </c>
      <c r="BH91" s="739" t="s">
        <v>6</v>
      </c>
      <c r="BI91" s="740" t="s">
        <v>5</v>
      </c>
      <c r="BJ91" s="739" t="s">
        <v>6</v>
      </c>
      <c r="BK91" s="740" t="s">
        <v>6</v>
      </c>
      <c r="BL91" s="739" t="s">
        <v>6</v>
      </c>
      <c r="BM91" s="740" t="s">
        <v>6</v>
      </c>
      <c r="BN91" s="739" t="s">
        <v>6</v>
      </c>
      <c r="BO91" s="740" t="s">
        <v>6</v>
      </c>
      <c r="BP91" s="739" t="s">
        <v>5</v>
      </c>
      <c r="BQ91" s="740" t="s">
        <v>5</v>
      </c>
      <c r="BR91" s="739"/>
      <c r="BS91" s="740"/>
      <c r="BT91" s="739"/>
      <c r="BU91" s="740"/>
      <c r="BV91" s="739"/>
      <c r="BW91" s="740"/>
      <c r="BX91" s="739"/>
      <c r="BY91" s="740"/>
      <c r="BZ91" s="739"/>
      <c r="CA91" s="740"/>
      <c r="CB91" s="739"/>
      <c r="CC91" s="740"/>
      <c r="CD91" s="739"/>
      <c r="CE91" s="740"/>
      <c r="CF91" s="739"/>
      <c r="CG91" s="740"/>
      <c r="CH91" s="739"/>
      <c r="CI91" s="740"/>
      <c r="CJ91" s="739"/>
      <c r="CK91" s="740"/>
      <c r="CL91" s="748" t="s">
        <v>6</v>
      </c>
      <c r="CN91" s="713"/>
      <c r="CO91" s="726"/>
    </row>
    <row r="92" spans="2:93" hidden="1">
      <c r="B92" s="161"/>
      <c r="C92" s="580" t="s">
        <v>1183</v>
      </c>
      <c r="D92" s="125" t="s">
        <v>135</v>
      </c>
      <c r="E92" s="127">
        <f>IFERROR('Pre 16 Ready Reckoner'!$M$60,0)</f>
        <v>0</v>
      </c>
      <c r="F92" s="155"/>
      <c r="G92" s="155"/>
      <c r="H92" s="155"/>
      <c r="I92" s="155"/>
      <c r="J92" s="155"/>
      <c r="K92" s="155"/>
      <c r="L92" s="155"/>
      <c r="M92" s="163"/>
      <c r="N92"/>
      <c r="O92" s="102"/>
      <c r="P92" s="963"/>
      <c r="Q92" s="162"/>
      <c r="T92" s="738" t="s">
        <v>5</v>
      </c>
      <c r="U92" s="739"/>
      <c r="V92" s="740"/>
      <c r="W92" s="739" t="s">
        <v>6</v>
      </c>
      <c r="X92" s="740"/>
      <c r="Y92" s="739"/>
      <c r="Z92" s="740" t="s">
        <v>6</v>
      </c>
      <c r="AA92" s="739"/>
      <c r="AB92" s="740"/>
      <c r="AC92" s="739" t="s">
        <v>5</v>
      </c>
      <c r="AD92" s="740"/>
      <c r="AE92" s="739"/>
      <c r="AF92" s="740" t="s">
        <v>6</v>
      </c>
      <c r="AG92" s="739"/>
      <c r="AH92" s="741"/>
      <c r="AK92" s="738" t="s">
        <v>5</v>
      </c>
      <c r="AL92" s="739"/>
      <c r="AM92" s="740"/>
      <c r="AN92" s="739"/>
      <c r="AO92" s="740"/>
      <c r="AP92" s="739"/>
      <c r="AQ92" s="740"/>
      <c r="AR92" s="739"/>
      <c r="AS92" s="740"/>
      <c r="AT92" s="739"/>
      <c r="AU92" s="740"/>
      <c r="AV92" s="739"/>
      <c r="AW92" s="740"/>
      <c r="AX92" s="739"/>
      <c r="AY92" s="740"/>
      <c r="AZ92" s="739"/>
      <c r="BA92" s="740"/>
      <c r="BB92" s="739"/>
      <c r="BC92" s="740" t="s">
        <v>6</v>
      </c>
      <c r="BD92" s="739" t="s">
        <v>6</v>
      </c>
      <c r="BE92" s="740" t="s">
        <v>6</v>
      </c>
      <c r="BF92" s="739" t="s">
        <v>6</v>
      </c>
      <c r="BG92" s="740" t="s">
        <v>6</v>
      </c>
      <c r="BH92" s="739" t="s">
        <v>6</v>
      </c>
      <c r="BI92" s="740" t="s">
        <v>5</v>
      </c>
      <c r="BJ92" s="739" t="s">
        <v>6</v>
      </c>
      <c r="BK92" s="740" t="s">
        <v>6</v>
      </c>
      <c r="BL92" s="739" t="s">
        <v>6</v>
      </c>
      <c r="BM92" s="740" t="s">
        <v>6</v>
      </c>
      <c r="BN92" s="739" t="s">
        <v>6</v>
      </c>
      <c r="BO92" s="740" t="s">
        <v>6</v>
      </c>
      <c r="BP92" s="739" t="s">
        <v>5</v>
      </c>
      <c r="BQ92" s="740" t="s">
        <v>5</v>
      </c>
      <c r="BR92" s="739"/>
      <c r="BS92" s="740"/>
      <c r="BT92" s="739"/>
      <c r="BU92" s="740"/>
      <c r="BV92" s="739"/>
      <c r="BW92" s="740"/>
      <c r="BX92" s="739"/>
      <c r="BY92" s="740"/>
      <c r="BZ92" s="739"/>
      <c r="CA92" s="740"/>
      <c r="CB92" s="739"/>
      <c r="CC92" s="740"/>
      <c r="CD92" s="739"/>
      <c r="CE92" s="740"/>
      <c r="CF92" s="739"/>
      <c r="CG92" s="740"/>
      <c r="CH92" s="739"/>
      <c r="CI92" s="740"/>
      <c r="CJ92" s="739"/>
      <c r="CK92" s="740"/>
      <c r="CL92" s="748" t="s">
        <v>6</v>
      </c>
      <c r="CN92" s="713"/>
      <c r="CO92" s="726"/>
    </row>
    <row r="93" spans="2:93" hidden="1">
      <c r="B93" s="161"/>
      <c r="C93" s="87" t="s">
        <v>369</v>
      </c>
      <c r="D93" s="125" t="s">
        <v>135</v>
      </c>
      <c r="E93" s="122">
        <f>SUM(E$87:E$92)</f>
        <v>0</v>
      </c>
      <c r="F93" s="122">
        <f>SUM(F$87:F$91)</f>
        <v>0</v>
      </c>
      <c r="G93" s="122">
        <f>SUM(G$87:G$91)</f>
        <v>0</v>
      </c>
      <c r="H93" s="122">
        <f>SUM(H$87:H$91)</f>
        <v>0</v>
      </c>
      <c r="I93" s="122">
        <f>SUM(I$87:I$91)</f>
        <v>0</v>
      </c>
      <c r="J93" s="122">
        <f>SUM(J$87:J$91)</f>
        <v>0</v>
      </c>
      <c r="K93" s="122">
        <f>SUM(K$87:K$91)</f>
        <v>0</v>
      </c>
      <c r="L93" s="122">
        <f>SUM(L$87:L$91)</f>
        <v>0</v>
      </c>
      <c r="M93" s="26"/>
      <c r="N93"/>
      <c r="O93" s="26"/>
      <c r="P93" s="964"/>
      <c r="Q93" s="162"/>
      <c r="T93" s="738" t="s">
        <v>5</v>
      </c>
      <c r="U93" s="739"/>
      <c r="V93" s="740"/>
      <c r="W93" s="739" t="s">
        <v>6</v>
      </c>
      <c r="X93" s="740"/>
      <c r="Y93" s="739"/>
      <c r="Z93" s="740" t="s">
        <v>6</v>
      </c>
      <c r="AA93" s="739"/>
      <c r="AB93" s="740"/>
      <c r="AC93" s="739" t="s">
        <v>5</v>
      </c>
      <c r="AD93" s="740"/>
      <c r="AE93" s="739"/>
      <c r="AF93" s="740" t="s">
        <v>6</v>
      </c>
      <c r="AG93" s="739"/>
      <c r="AH93" s="741"/>
      <c r="AK93" s="738" t="s">
        <v>5</v>
      </c>
      <c r="AL93" s="739"/>
      <c r="AM93" s="740"/>
      <c r="AN93" s="739"/>
      <c r="AO93" s="740"/>
      <c r="AP93" s="739"/>
      <c r="AQ93" s="740"/>
      <c r="AR93" s="739"/>
      <c r="AS93" s="740"/>
      <c r="AT93" s="739"/>
      <c r="AU93" s="740"/>
      <c r="AV93" s="739"/>
      <c r="AW93" s="740"/>
      <c r="AX93" s="739"/>
      <c r="AY93" s="740"/>
      <c r="AZ93" s="739"/>
      <c r="BA93" s="740"/>
      <c r="BB93" s="739"/>
      <c r="BC93" s="740" t="s">
        <v>6</v>
      </c>
      <c r="BD93" s="739" t="s">
        <v>6</v>
      </c>
      <c r="BE93" s="740" t="s">
        <v>6</v>
      </c>
      <c r="BF93" s="739" t="s">
        <v>6</v>
      </c>
      <c r="BG93" s="740" t="s">
        <v>6</v>
      </c>
      <c r="BH93" s="739" t="s">
        <v>6</v>
      </c>
      <c r="BI93" s="740" t="s">
        <v>5</v>
      </c>
      <c r="BJ93" s="739" t="s">
        <v>6</v>
      </c>
      <c r="BK93" s="740" t="s">
        <v>6</v>
      </c>
      <c r="BL93" s="739" t="s">
        <v>6</v>
      </c>
      <c r="BM93" s="740" t="s">
        <v>6</v>
      </c>
      <c r="BN93" s="739" t="s">
        <v>6</v>
      </c>
      <c r="BO93" s="740" t="s">
        <v>6</v>
      </c>
      <c r="BP93" s="739" t="s">
        <v>5</v>
      </c>
      <c r="BQ93" s="740" t="s">
        <v>5</v>
      </c>
      <c r="BR93" s="739"/>
      <c r="BS93" s="740"/>
      <c r="BT93" s="739"/>
      <c r="BU93" s="740"/>
      <c r="BV93" s="739"/>
      <c r="BW93" s="740"/>
      <c r="BX93" s="739"/>
      <c r="BY93" s="740"/>
      <c r="BZ93" s="739"/>
      <c r="CA93" s="740"/>
      <c r="CB93" s="739"/>
      <c r="CC93" s="740"/>
      <c r="CD93" s="739"/>
      <c r="CE93" s="740"/>
      <c r="CF93" s="739"/>
      <c r="CG93" s="740"/>
      <c r="CH93" s="739"/>
      <c r="CI93" s="740"/>
      <c r="CJ93" s="739"/>
      <c r="CK93" s="740"/>
      <c r="CL93" s="748" t="s">
        <v>6</v>
      </c>
      <c r="CN93" s="713"/>
      <c r="CO93" s="726"/>
    </row>
    <row r="94" spans="2:93" hidden="1">
      <c r="B94" s="161"/>
      <c r="C94" s="163"/>
      <c r="D94" s="163"/>
      <c r="E94" s="163"/>
      <c r="F94" s="163"/>
      <c r="G94" s="163"/>
      <c r="H94" s="163"/>
      <c r="I94" s="163"/>
      <c r="J94" s="163"/>
      <c r="K94" s="163"/>
      <c r="L94" s="163"/>
      <c r="M94" s="163"/>
      <c r="N94"/>
      <c r="O94" s="163"/>
      <c r="P94" s="163"/>
      <c r="Q94" s="162"/>
      <c r="T94" s="738" t="s">
        <v>5</v>
      </c>
      <c r="U94" s="739"/>
      <c r="V94" s="740"/>
      <c r="W94" s="739" t="s">
        <v>6</v>
      </c>
      <c r="X94" s="740"/>
      <c r="Y94" s="739"/>
      <c r="Z94" s="740" t="s">
        <v>6</v>
      </c>
      <c r="AA94" s="739"/>
      <c r="AB94" s="740"/>
      <c r="AC94" s="739" t="s">
        <v>5</v>
      </c>
      <c r="AD94" s="740"/>
      <c r="AE94" s="739"/>
      <c r="AF94" s="740" t="s">
        <v>6</v>
      </c>
      <c r="AG94" s="739"/>
      <c r="AH94" s="741"/>
      <c r="AK94" s="738" t="s">
        <v>5</v>
      </c>
      <c r="AL94" s="739"/>
      <c r="AM94" s="740"/>
      <c r="AN94" s="739"/>
      <c r="AO94" s="740"/>
      <c r="AP94" s="739"/>
      <c r="AQ94" s="740"/>
      <c r="AR94" s="739"/>
      <c r="AS94" s="740"/>
      <c r="AT94" s="739"/>
      <c r="AU94" s="740"/>
      <c r="AV94" s="739"/>
      <c r="AW94" s="740"/>
      <c r="AX94" s="739"/>
      <c r="AY94" s="740"/>
      <c r="AZ94" s="739"/>
      <c r="BA94" s="740"/>
      <c r="BB94" s="739"/>
      <c r="BC94" s="740" t="s">
        <v>6</v>
      </c>
      <c r="BD94" s="739" t="s">
        <v>6</v>
      </c>
      <c r="BE94" s="740" t="s">
        <v>6</v>
      </c>
      <c r="BF94" s="739" t="s">
        <v>6</v>
      </c>
      <c r="BG94" s="740" t="s">
        <v>6</v>
      </c>
      <c r="BH94" s="739" t="s">
        <v>6</v>
      </c>
      <c r="BI94" s="740" t="s">
        <v>5</v>
      </c>
      <c r="BJ94" s="739" t="s">
        <v>6</v>
      </c>
      <c r="BK94" s="740" t="s">
        <v>6</v>
      </c>
      <c r="BL94" s="739" t="s">
        <v>6</v>
      </c>
      <c r="BM94" s="740" t="s">
        <v>6</v>
      </c>
      <c r="BN94" s="739" t="s">
        <v>6</v>
      </c>
      <c r="BO94" s="740" t="s">
        <v>6</v>
      </c>
      <c r="BP94" s="739" t="s">
        <v>5</v>
      </c>
      <c r="BQ94" s="740" t="s">
        <v>5</v>
      </c>
      <c r="BR94" s="739"/>
      <c r="BS94" s="740"/>
      <c r="BT94" s="739"/>
      <c r="BU94" s="740"/>
      <c r="BV94" s="739"/>
      <c r="BW94" s="740"/>
      <c r="BX94" s="739"/>
      <c r="BY94" s="740"/>
      <c r="BZ94" s="739"/>
      <c r="CA94" s="740"/>
      <c r="CB94" s="739"/>
      <c r="CC94" s="740"/>
      <c r="CD94" s="739"/>
      <c r="CE94" s="740"/>
      <c r="CF94" s="739"/>
      <c r="CG94" s="740"/>
      <c r="CH94" s="739"/>
      <c r="CI94" s="740"/>
      <c r="CJ94" s="739"/>
      <c r="CK94" s="740"/>
      <c r="CL94" s="748" t="s">
        <v>6</v>
      </c>
      <c r="CN94" s="713"/>
      <c r="CO94" s="726"/>
    </row>
    <row r="95" spans="2:93" hidden="1">
      <c r="B95" s="161"/>
      <c r="C95" s="26" t="s">
        <v>138</v>
      </c>
      <c r="D95" s="26"/>
      <c r="E95" s="26"/>
      <c r="F95" s="26"/>
      <c r="G95" s="26"/>
      <c r="H95" s="26"/>
      <c r="I95" s="26"/>
      <c r="J95" s="26"/>
      <c r="K95" s="26"/>
      <c r="L95" s="26"/>
      <c r="M95" s="26"/>
      <c r="N95"/>
      <c r="O95" s="26"/>
      <c r="P95" s="26"/>
      <c r="Q95" s="162"/>
      <c r="T95" s="738" t="s">
        <v>5</v>
      </c>
      <c r="U95" s="739"/>
      <c r="V95" s="740"/>
      <c r="W95" s="739" t="s">
        <v>5</v>
      </c>
      <c r="X95" s="740"/>
      <c r="Y95" s="739"/>
      <c r="Z95" s="740" t="s">
        <v>5</v>
      </c>
      <c r="AA95" s="739"/>
      <c r="AB95" s="740"/>
      <c r="AC95" s="739" t="s">
        <v>6</v>
      </c>
      <c r="AD95" s="740"/>
      <c r="AE95" s="739"/>
      <c r="AF95" s="740" t="s">
        <v>5</v>
      </c>
      <c r="AG95" s="739"/>
      <c r="AH95" s="741"/>
      <c r="AK95" s="738" t="s">
        <v>5</v>
      </c>
      <c r="AL95" s="739"/>
      <c r="AM95" s="740"/>
      <c r="AN95" s="739"/>
      <c r="AO95" s="740"/>
      <c r="AP95" s="739"/>
      <c r="AQ95" s="740"/>
      <c r="AR95" s="739"/>
      <c r="AS95" s="740"/>
      <c r="AT95" s="739"/>
      <c r="AU95" s="740"/>
      <c r="AV95" s="739"/>
      <c r="AW95" s="740"/>
      <c r="AX95" s="739"/>
      <c r="AY95" s="740"/>
      <c r="AZ95" s="739"/>
      <c r="BA95" s="740"/>
      <c r="BB95" s="739"/>
      <c r="BC95" s="740" t="s">
        <v>5</v>
      </c>
      <c r="BD95" s="739"/>
      <c r="BE95" s="740"/>
      <c r="BF95" s="739"/>
      <c r="BG95" s="740"/>
      <c r="BH95" s="739"/>
      <c r="BI95" s="740"/>
      <c r="BJ95" s="739" t="s">
        <v>5</v>
      </c>
      <c r="BK95" s="740"/>
      <c r="BL95" s="739"/>
      <c r="BM95" s="740"/>
      <c r="BN95" s="739"/>
      <c r="BO95" s="740"/>
      <c r="BP95" s="739"/>
      <c r="BQ95" s="740" t="s">
        <v>6</v>
      </c>
      <c r="BR95" s="739"/>
      <c r="BS95" s="740"/>
      <c r="BT95" s="739"/>
      <c r="BU95" s="740"/>
      <c r="BV95" s="739"/>
      <c r="BW95" s="740"/>
      <c r="BX95" s="739"/>
      <c r="BY95" s="740"/>
      <c r="BZ95" s="739"/>
      <c r="CA95" s="740"/>
      <c r="CB95" s="739"/>
      <c r="CC95" s="740"/>
      <c r="CD95" s="739"/>
      <c r="CE95" s="740"/>
      <c r="CF95" s="739"/>
      <c r="CG95" s="740"/>
      <c r="CH95" s="739"/>
      <c r="CI95" s="740"/>
      <c r="CJ95" s="739"/>
      <c r="CK95" s="740"/>
      <c r="CL95" s="748" t="s">
        <v>5</v>
      </c>
      <c r="CN95" s="713"/>
      <c r="CO95" s="726"/>
    </row>
    <row r="96" spans="2:93" customHeight="1" hidden="1">
      <c r="B96" s="161"/>
      <c r="C96" s="28" t="s">
        <v>370</v>
      </c>
      <c r="D96" s="27" t="s">
        <v>135</v>
      </c>
      <c r="E96" s="94">
        <f>Open_Proportion*E41*(E43 + 'Input Data'!$U$3)</f>
        <v>0</v>
      </c>
      <c r="F96" s="94">
        <f>F41*(F43 + 'Input Data'!$U$3)</f>
        <v>0</v>
      </c>
      <c r="G96" s="94">
        <f>G41*(G43 + 'Input Data'!$U$3)</f>
        <v>0</v>
      </c>
      <c r="H96" s="94">
        <f>H41*(H43 + 'Input Data'!$U$3)</f>
        <v>0</v>
      </c>
      <c r="I96" s="94">
        <f>I41*(I43 + 'Input Data'!$U$3)</f>
        <v>0</v>
      </c>
      <c r="J96" s="94">
        <f>J41*(J43 + 'Input Data'!$U$3)</f>
        <v>0</v>
      </c>
      <c r="K96" s="94">
        <f>K41*(K43 + 'Input Data'!$U$3)</f>
        <v>0</v>
      </c>
      <c r="L96" s="94">
        <f>L41*(L43 + 'Input Data'!$U$3)</f>
        <v>0</v>
      </c>
      <c r="M96" s="28"/>
      <c r="N96"/>
      <c r="O96" s="28"/>
      <c r="P96" s="28"/>
      <c r="Q96" s="162"/>
      <c r="T96" s="738" t="s">
        <v>5</v>
      </c>
      <c r="U96" s="739"/>
      <c r="V96" s="740"/>
      <c r="W96" s="739" t="s">
        <v>5</v>
      </c>
      <c r="X96" s="740"/>
      <c r="Y96" s="739"/>
      <c r="Z96" s="740" t="s">
        <v>5</v>
      </c>
      <c r="AA96" s="739"/>
      <c r="AB96" s="740"/>
      <c r="AC96" s="739" t="s">
        <v>6</v>
      </c>
      <c r="AD96" s="740"/>
      <c r="AE96" s="739"/>
      <c r="AF96" s="740" t="s">
        <v>5</v>
      </c>
      <c r="AG96" s="739"/>
      <c r="AH96" s="741"/>
      <c r="AK96" s="738" t="s">
        <v>5</v>
      </c>
      <c r="AL96" s="739"/>
      <c r="AM96" s="740"/>
      <c r="AN96" s="739"/>
      <c r="AO96" s="740"/>
      <c r="AP96" s="739"/>
      <c r="AQ96" s="740"/>
      <c r="AR96" s="739"/>
      <c r="AS96" s="740"/>
      <c r="AT96" s="739"/>
      <c r="AU96" s="740"/>
      <c r="AV96" s="739"/>
      <c r="AW96" s="740"/>
      <c r="AX96" s="739"/>
      <c r="AY96" s="740"/>
      <c r="AZ96" s="739"/>
      <c r="BA96" s="740"/>
      <c r="BB96" s="739"/>
      <c r="BC96" s="740" t="s">
        <v>5</v>
      </c>
      <c r="BD96" s="739"/>
      <c r="BE96" s="740"/>
      <c r="BF96" s="739"/>
      <c r="BG96" s="740"/>
      <c r="BH96" s="739"/>
      <c r="BI96" s="740"/>
      <c r="BJ96" s="739" t="s">
        <v>5</v>
      </c>
      <c r="BK96" s="740"/>
      <c r="BL96" s="739"/>
      <c r="BM96" s="740"/>
      <c r="BN96" s="739"/>
      <c r="BO96" s="740"/>
      <c r="BP96" s="739"/>
      <c r="BQ96" s="740" t="s">
        <v>6</v>
      </c>
      <c r="BR96" s="739"/>
      <c r="BS96" s="740"/>
      <c r="BT96" s="739" t="s">
        <v>6</v>
      </c>
      <c r="BU96" s="740"/>
      <c r="BV96" s="739"/>
      <c r="BW96" s="740" t="s">
        <v>5</v>
      </c>
      <c r="BX96" s="739"/>
      <c r="BY96" s="740"/>
      <c r="BZ96" s="739" t="s">
        <v>5</v>
      </c>
      <c r="CA96" s="740"/>
      <c r="CB96" s="739"/>
      <c r="CC96" s="740" t="s">
        <v>6</v>
      </c>
      <c r="CD96" s="739"/>
      <c r="CE96" s="740"/>
      <c r="CF96" s="739" t="s">
        <v>6</v>
      </c>
      <c r="CG96" s="740"/>
      <c r="CH96" s="739"/>
      <c r="CI96" s="740" t="s">
        <v>5</v>
      </c>
      <c r="CJ96" s="739"/>
      <c r="CK96" s="740"/>
      <c r="CL96" s="748" t="s">
        <v>5</v>
      </c>
      <c r="CN96" s="713"/>
      <c r="CO96" s="726"/>
    </row>
    <row r="97" spans="2:93" customHeight="1" hidden="1">
      <c r="B97" s="161"/>
      <c r="C97" s="28" t="s">
        <v>371</v>
      </c>
      <c r="D97" s="27" t="s">
        <v>135</v>
      </c>
      <c r="E97" s="94">
        <f>Open_Proportion*E42*(E44 + 'Input Data'!$U$3)</f>
        <v>0</v>
      </c>
      <c r="F97" s="94">
        <f>F42*(F44 + 'Input Data'!$U$3)</f>
        <v>0</v>
      </c>
      <c r="G97" s="94">
        <f>G42*(G44 + 'Input Data'!$U$3)</f>
        <v>0</v>
      </c>
      <c r="H97" s="94">
        <f>H42*(H44 + 'Input Data'!$U$3)</f>
        <v>0</v>
      </c>
      <c r="I97" s="94">
        <f>I42*(I44 + 'Input Data'!$U$3)</f>
        <v>0</v>
      </c>
      <c r="J97" s="94">
        <f>J42*(J44 + 'Input Data'!$U$3)</f>
        <v>0</v>
      </c>
      <c r="K97" s="94">
        <f>K42*(K44 + 'Input Data'!$U$3)</f>
        <v>0</v>
      </c>
      <c r="L97" s="94">
        <f>L42*(L44 + 'Input Data'!$U$3)</f>
        <v>0</v>
      </c>
      <c r="M97" s="28"/>
      <c r="N97"/>
      <c r="O97" s="28"/>
      <c r="P97" s="28"/>
      <c r="Q97" s="162"/>
      <c r="T97" s="738" t="s">
        <v>5</v>
      </c>
      <c r="U97" s="739"/>
      <c r="V97" s="740"/>
      <c r="W97" s="739" t="s">
        <v>5</v>
      </c>
      <c r="X97" s="740"/>
      <c r="Y97" s="739"/>
      <c r="Z97" s="740" t="s">
        <v>5</v>
      </c>
      <c r="AA97" s="739"/>
      <c r="AB97" s="740"/>
      <c r="AC97" s="739" t="s">
        <v>6</v>
      </c>
      <c r="AD97" s="740"/>
      <c r="AE97" s="739"/>
      <c r="AF97" s="740" t="s">
        <v>5</v>
      </c>
      <c r="AG97" s="739"/>
      <c r="AH97" s="741"/>
      <c r="AK97" s="738" t="s">
        <v>5</v>
      </c>
      <c r="AL97" s="739"/>
      <c r="AM97" s="740"/>
      <c r="AN97" s="739"/>
      <c r="AO97" s="740"/>
      <c r="AP97" s="739"/>
      <c r="AQ97" s="740"/>
      <c r="AR97" s="739"/>
      <c r="AS97" s="740"/>
      <c r="AT97" s="739"/>
      <c r="AU97" s="740"/>
      <c r="AV97" s="739"/>
      <c r="AW97" s="740"/>
      <c r="AX97" s="739"/>
      <c r="AY97" s="740"/>
      <c r="AZ97" s="739"/>
      <c r="BA97" s="740"/>
      <c r="BB97" s="739"/>
      <c r="BC97" s="740" t="s">
        <v>5</v>
      </c>
      <c r="BD97" s="739"/>
      <c r="BE97" s="740"/>
      <c r="BF97" s="739"/>
      <c r="BG97" s="740"/>
      <c r="BH97" s="739"/>
      <c r="BI97" s="740"/>
      <c r="BJ97" s="739" t="s">
        <v>5</v>
      </c>
      <c r="BK97" s="740"/>
      <c r="BL97" s="739"/>
      <c r="BM97" s="740"/>
      <c r="BN97" s="739"/>
      <c r="BO97" s="740"/>
      <c r="BP97" s="739"/>
      <c r="BQ97" s="740" t="s">
        <v>6</v>
      </c>
      <c r="BR97" s="739"/>
      <c r="BS97" s="740"/>
      <c r="BT97" s="739" t="s">
        <v>5</v>
      </c>
      <c r="BU97" s="740"/>
      <c r="BV97" s="739"/>
      <c r="BW97" s="740" t="s">
        <v>6</v>
      </c>
      <c r="BX97" s="739"/>
      <c r="BY97" s="740"/>
      <c r="BZ97" s="739" t="s">
        <v>6</v>
      </c>
      <c r="CA97" s="740"/>
      <c r="CB97" s="739"/>
      <c r="CC97" s="740" t="s">
        <v>6</v>
      </c>
      <c r="CD97" s="739"/>
      <c r="CE97" s="740"/>
      <c r="CF97" s="739" t="s">
        <v>6</v>
      </c>
      <c r="CG97" s="740"/>
      <c r="CH97" s="739"/>
      <c r="CI97" s="740" t="s">
        <v>6</v>
      </c>
      <c r="CJ97" s="739"/>
      <c r="CK97" s="740"/>
      <c r="CL97" s="748" t="s">
        <v>5</v>
      </c>
      <c r="CN97" s="713"/>
      <c r="CO97" s="726"/>
    </row>
    <row r="98" spans="2:93" customHeight="1" hidden="1">
      <c r="B98" s="161"/>
      <c r="C98" s="26" t="s">
        <v>139</v>
      </c>
      <c r="D98" s="26"/>
      <c r="E98" s="26"/>
      <c r="F98" s="26"/>
      <c r="G98" s="26"/>
      <c r="H98" s="26"/>
      <c r="I98" s="26"/>
      <c r="J98" s="26"/>
      <c r="K98" s="26"/>
      <c r="L98" s="26"/>
      <c r="M98" s="26"/>
      <c r="N98"/>
      <c r="O98" s="26"/>
      <c r="P98" s="26"/>
      <c r="Q98" s="162"/>
      <c r="T98" s="738" t="s">
        <v>5</v>
      </c>
      <c r="U98" s="739"/>
      <c r="V98" s="740"/>
      <c r="W98" s="739" t="s">
        <v>5</v>
      </c>
      <c r="X98" s="740"/>
      <c r="Y98" s="739"/>
      <c r="Z98" s="740" t="s">
        <v>5</v>
      </c>
      <c r="AA98" s="739"/>
      <c r="AB98" s="740"/>
      <c r="AC98" s="739" t="s">
        <v>6</v>
      </c>
      <c r="AD98" s="740"/>
      <c r="AE98" s="739"/>
      <c r="AF98" s="740" t="s">
        <v>5</v>
      </c>
      <c r="AG98" s="739"/>
      <c r="AH98" s="741"/>
      <c r="AK98" s="738" t="s">
        <v>5</v>
      </c>
      <c r="AL98" s="739"/>
      <c r="AM98" s="740"/>
      <c r="AN98" s="739"/>
      <c r="AO98" s="740"/>
      <c r="AP98" s="739"/>
      <c r="AQ98" s="740"/>
      <c r="AR98" s="739"/>
      <c r="AS98" s="740"/>
      <c r="AT98" s="739"/>
      <c r="AU98" s="740"/>
      <c r="AV98" s="739"/>
      <c r="AW98" s="740"/>
      <c r="AX98" s="739"/>
      <c r="AY98" s="740"/>
      <c r="AZ98" s="739"/>
      <c r="BA98" s="740"/>
      <c r="BB98" s="739"/>
      <c r="BC98" s="740" t="s">
        <v>5</v>
      </c>
      <c r="BD98" s="739"/>
      <c r="BE98" s="740"/>
      <c r="BF98" s="739"/>
      <c r="BG98" s="740"/>
      <c r="BH98" s="739"/>
      <c r="BI98" s="740"/>
      <c r="BJ98" s="739" t="s">
        <v>5</v>
      </c>
      <c r="BK98" s="740"/>
      <c r="BL98" s="739"/>
      <c r="BM98" s="740"/>
      <c r="BN98" s="739"/>
      <c r="BO98" s="740"/>
      <c r="BP98" s="739"/>
      <c r="BQ98" s="740" t="s">
        <v>6</v>
      </c>
      <c r="BR98" s="739"/>
      <c r="BS98" s="740"/>
      <c r="BT98" s="739"/>
      <c r="BU98" s="740"/>
      <c r="BV98" s="739"/>
      <c r="BW98" s="740"/>
      <c r="BX98" s="739"/>
      <c r="BY98" s="740"/>
      <c r="BZ98" s="739"/>
      <c r="CA98" s="740"/>
      <c r="CB98" s="739"/>
      <c r="CC98" s="740"/>
      <c r="CD98" s="739"/>
      <c r="CE98" s="740"/>
      <c r="CF98" s="739"/>
      <c r="CG98" s="740"/>
      <c r="CH98" s="739"/>
      <c r="CI98" s="740"/>
      <c r="CJ98" s="739"/>
      <c r="CK98" s="740"/>
      <c r="CL98" s="748" t="s">
        <v>5</v>
      </c>
      <c r="CN98" s="713"/>
      <c r="CO98" s="726"/>
    </row>
    <row r="99" spans="2:93" customHeight="1" hidden="1">
      <c r="B99" s="161"/>
      <c r="C99" s="28" t="s">
        <v>370</v>
      </c>
      <c r="D99" s="27" t="s">
        <v>135</v>
      </c>
      <c r="E99" s="94">
        <f>Open_Proportion*E48*(E50 + 'Input Data'!$U$3)</f>
        <v>0</v>
      </c>
      <c r="F99" s="94">
        <f>F48*(F50 + 'Input Data'!$U$3)</f>
        <v>0</v>
      </c>
      <c r="G99" s="94">
        <f>G48*(G50 + 'Input Data'!$U$3)</f>
        <v>0</v>
      </c>
      <c r="H99" s="94">
        <f>H48*(H50 + 'Input Data'!$U$3)</f>
        <v>0</v>
      </c>
      <c r="I99" s="94">
        <f>I48*(I50 + 'Input Data'!$U$3)</f>
        <v>0</v>
      </c>
      <c r="J99" s="94">
        <f>J48*(J50 + 'Input Data'!$U$3)</f>
        <v>0</v>
      </c>
      <c r="K99" s="94">
        <f>K48*(K50 + 'Input Data'!$U$3)</f>
        <v>0</v>
      </c>
      <c r="L99" s="94">
        <f>L48*(L50 + 'Input Data'!$U$3)</f>
        <v>0</v>
      </c>
      <c r="M99" s="28"/>
      <c r="N99"/>
      <c r="O99" s="28"/>
      <c r="P99" s="28"/>
      <c r="Q99" s="162"/>
      <c r="T99" s="738" t="s">
        <v>5</v>
      </c>
      <c r="U99" s="739"/>
      <c r="V99" s="740"/>
      <c r="W99" s="739" t="s">
        <v>5</v>
      </c>
      <c r="X99" s="740"/>
      <c r="Y99" s="739"/>
      <c r="Z99" s="740" t="s">
        <v>5</v>
      </c>
      <c r="AA99" s="739"/>
      <c r="AB99" s="740"/>
      <c r="AC99" s="739" t="s">
        <v>6</v>
      </c>
      <c r="AD99" s="740"/>
      <c r="AE99" s="739"/>
      <c r="AF99" s="740" t="s">
        <v>5</v>
      </c>
      <c r="AG99" s="739"/>
      <c r="AH99" s="741"/>
      <c r="AK99" s="738" t="s">
        <v>5</v>
      </c>
      <c r="AL99" s="739"/>
      <c r="AM99" s="740"/>
      <c r="AN99" s="739"/>
      <c r="AO99" s="740"/>
      <c r="AP99" s="739"/>
      <c r="AQ99" s="740"/>
      <c r="AR99" s="739"/>
      <c r="AS99" s="740"/>
      <c r="AT99" s="739"/>
      <c r="AU99" s="740"/>
      <c r="AV99" s="739"/>
      <c r="AW99" s="740"/>
      <c r="AX99" s="739"/>
      <c r="AY99" s="740"/>
      <c r="AZ99" s="739"/>
      <c r="BA99" s="740"/>
      <c r="BB99" s="739"/>
      <c r="BC99" s="740" t="s">
        <v>5</v>
      </c>
      <c r="BD99" s="739"/>
      <c r="BE99" s="740"/>
      <c r="BF99" s="739"/>
      <c r="BG99" s="740"/>
      <c r="BH99" s="739"/>
      <c r="BI99" s="740"/>
      <c r="BJ99" s="739" t="s">
        <v>5</v>
      </c>
      <c r="BK99" s="740"/>
      <c r="BL99" s="739"/>
      <c r="BM99" s="740"/>
      <c r="BN99" s="739"/>
      <c r="BO99" s="740"/>
      <c r="BP99" s="739"/>
      <c r="BQ99" s="740" t="s">
        <v>6</v>
      </c>
      <c r="BR99" s="739"/>
      <c r="BS99" s="740"/>
      <c r="BT99" s="739" t="s">
        <v>6</v>
      </c>
      <c r="BU99" s="740"/>
      <c r="BV99" s="739"/>
      <c r="BW99" s="740" t="s">
        <v>5</v>
      </c>
      <c r="BX99" s="739"/>
      <c r="BY99" s="740"/>
      <c r="BZ99" s="739" t="s">
        <v>5</v>
      </c>
      <c r="CA99" s="740"/>
      <c r="CB99" s="739"/>
      <c r="CC99" s="740" t="s">
        <v>6</v>
      </c>
      <c r="CD99" s="739"/>
      <c r="CE99" s="740"/>
      <c r="CF99" s="739" t="s">
        <v>6</v>
      </c>
      <c r="CG99" s="740"/>
      <c r="CH99" s="739"/>
      <c r="CI99" s="740" t="s">
        <v>5</v>
      </c>
      <c r="CJ99" s="739"/>
      <c r="CK99" s="740"/>
      <c r="CL99" s="748" t="s">
        <v>5</v>
      </c>
      <c r="CN99" s="713"/>
      <c r="CO99" s="726"/>
    </row>
    <row r="100" spans="2:93" customHeight="1" hidden="1">
      <c r="B100" s="161"/>
      <c r="C100" s="28" t="s">
        <v>371</v>
      </c>
      <c r="D100" s="27" t="s">
        <v>135</v>
      </c>
      <c r="E100" s="94">
        <f>Open_Proportion*E49*(E51 + 'Input Data'!$U$3)</f>
        <v>0</v>
      </c>
      <c r="F100" s="94">
        <f>F49*(F51 + 'Input Data'!$U$3)</f>
        <v>0</v>
      </c>
      <c r="G100" s="94">
        <f>G49*(G51 + 'Input Data'!$U$3)</f>
        <v>0</v>
      </c>
      <c r="H100" s="94">
        <f>H49*(H51 + 'Input Data'!$U$3)</f>
        <v>0</v>
      </c>
      <c r="I100" s="94">
        <f>I49*(I51 + 'Input Data'!$U$3)</f>
        <v>0</v>
      </c>
      <c r="J100" s="94">
        <f>J49*(J51 + 'Input Data'!$U$3)</f>
        <v>0</v>
      </c>
      <c r="K100" s="94">
        <f>K49*(K51 + 'Input Data'!$U$3)</f>
        <v>0</v>
      </c>
      <c r="L100" s="94">
        <f>L49*(L51 + 'Input Data'!$U$3)</f>
        <v>0</v>
      </c>
      <c r="M100" s="28"/>
      <c r="N100"/>
      <c r="O100" s="28"/>
      <c r="P100" s="28"/>
      <c r="Q100" s="162"/>
      <c r="T100" s="738" t="s">
        <v>5</v>
      </c>
      <c r="U100" s="739"/>
      <c r="V100" s="740"/>
      <c r="W100" s="739" t="s">
        <v>5</v>
      </c>
      <c r="X100" s="740"/>
      <c r="Y100" s="739"/>
      <c r="Z100" s="740" t="s">
        <v>5</v>
      </c>
      <c r="AA100" s="739"/>
      <c r="AB100" s="740"/>
      <c r="AC100" s="739" t="s">
        <v>6</v>
      </c>
      <c r="AD100" s="740"/>
      <c r="AE100" s="739"/>
      <c r="AF100" s="740" t="s">
        <v>5</v>
      </c>
      <c r="AG100" s="739"/>
      <c r="AH100" s="741"/>
      <c r="AK100" s="738" t="s">
        <v>5</v>
      </c>
      <c r="AL100" s="739"/>
      <c r="AM100" s="740"/>
      <c r="AN100" s="739"/>
      <c r="AO100" s="740"/>
      <c r="AP100" s="739"/>
      <c r="AQ100" s="740"/>
      <c r="AR100" s="739"/>
      <c r="AS100" s="740"/>
      <c r="AT100" s="739"/>
      <c r="AU100" s="740"/>
      <c r="AV100" s="739"/>
      <c r="AW100" s="740"/>
      <c r="AX100" s="739"/>
      <c r="AY100" s="740"/>
      <c r="AZ100" s="739"/>
      <c r="BA100" s="740"/>
      <c r="BB100" s="739"/>
      <c r="BC100" s="740" t="s">
        <v>5</v>
      </c>
      <c r="BD100" s="739"/>
      <c r="BE100" s="740"/>
      <c r="BF100" s="739"/>
      <c r="BG100" s="740"/>
      <c r="BH100" s="739"/>
      <c r="BI100" s="740"/>
      <c r="BJ100" s="739" t="s">
        <v>5</v>
      </c>
      <c r="BK100" s="740"/>
      <c r="BL100" s="739"/>
      <c r="BM100" s="740"/>
      <c r="BN100" s="739"/>
      <c r="BO100" s="740"/>
      <c r="BP100" s="739"/>
      <c r="BQ100" s="740" t="s">
        <v>6</v>
      </c>
      <c r="BR100" s="739"/>
      <c r="BS100" s="740"/>
      <c r="BT100" s="739" t="s">
        <v>5</v>
      </c>
      <c r="BU100" s="740"/>
      <c r="BV100" s="739"/>
      <c r="BW100" s="740" t="s">
        <v>6</v>
      </c>
      <c r="BX100" s="739"/>
      <c r="BY100" s="740"/>
      <c r="BZ100" s="739" t="s">
        <v>6</v>
      </c>
      <c r="CA100" s="740"/>
      <c r="CB100" s="739"/>
      <c r="CC100" s="740" t="s">
        <v>6</v>
      </c>
      <c r="CD100" s="739"/>
      <c r="CE100" s="740"/>
      <c r="CF100" s="739" t="s">
        <v>6</v>
      </c>
      <c r="CG100" s="740"/>
      <c r="CH100" s="739"/>
      <c r="CI100" s="740" t="s">
        <v>6</v>
      </c>
      <c r="CJ100" s="739"/>
      <c r="CK100" s="740"/>
      <c r="CL100" s="748" t="s">
        <v>5</v>
      </c>
      <c r="CN100" s="713"/>
      <c r="CO100" s="726"/>
    </row>
    <row r="101" spans="2:93" customHeight="1" hidden="1">
      <c r="B101" s="161"/>
      <c r="C101" s="26" t="s">
        <v>140</v>
      </c>
      <c r="D101" s="26"/>
      <c r="E101" s="26"/>
      <c r="F101" s="26"/>
      <c r="G101" s="26"/>
      <c r="H101" s="26"/>
      <c r="I101" s="26"/>
      <c r="J101" s="26"/>
      <c r="K101" s="26"/>
      <c r="L101" s="26"/>
      <c r="M101" s="26"/>
      <c r="N101"/>
      <c r="O101" s="26"/>
      <c r="P101" s="26"/>
      <c r="Q101" s="162"/>
      <c r="T101" s="738" t="s">
        <v>5</v>
      </c>
      <c r="U101" s="739"/>
      <c r="V101" s="740"/>
      <c r="W101" s="739" t="s">
        <v>5</v>
      </c>
      <c r="X101" s="740"/>
      <c r="Y101" s="739"/>
      <c r="Z101" s="740" t="s">
        <v>5</v>
      </c>
      <c r="AA101" s="739"/>
      <c r="AB101" s="740"/>
      <c r="AC101" s="739" t="s">
        <v>6</v>
      </c>
      <c r="AD101" s="740"/>
      <c r="AE101" s="739"/>
      <c r="AF101" s="740" t="s">
        <v>5</v>
      </c>
      <c r="AG101" s="739"/>
      <c r="AH101" s="741"/>
      <c r="AK101" s="738" t="s">
        <v>5</v>
      </c>
      <c r="AL101" s="739"/>
      <c r="AM101" s="740"/>
      <c r="AN101" s="739"/>
      <c r="AO101" s="740"/>
      <c r="AP101" s="739"/>
      <c r="AQ101" s="740"/>
      <c r="AR101" s="739"/>
      <c r="AS101" s="740"/>
      <c r="AT101" s="739"/>
      <c r="AU101" s="740"/>
      <c r="AV101" s="739"/>
      <c r="AW101" s="740"/>
      <c r="AX101" s="739"/>
      <c r="AY101" s="740"/>
      <c r="AZ101" s="739"/>
      <c r="BA101" s="740"/>
      <c r="BB101" s="739"/>
      <c r="BC101" s="740" t="s">
        <v>5</v>
      </c>
      <c r="BD101" s="739"/>
      <c r="BE101" s="740"/>
      <c r="BF101" s="739"/>
      <c r="BG101" s="740"/>
      <c r="BH101" s="739"/>
      <c r="BI101" s="740"/>
      <c r="BJ101" s="739" t="s">
        <v>5</v>
      </c>
      <c r="BK101" s="740"/>
      <c r="BL101" s="739"/>
      <c r="BM101" s="740"/>
      <c r="BN101" s="739"/>
      <c r="BO101" s="740"/>
      <c r="BP101" s="739"/>
      <c r="BQ101" s="740" t="s">
        <v>6</v>
      </c>
      <c r="BR101" s="739"/>
      <c r="BS101" s="740"/>
      <c r="BT101" s="739"/>
      <c r="BU101" s="740"/>
      <c r="BV101" s="739"/>
      <c r="BW101" s="740"/>
      <c r="BX101" s="739"/>
      <c r="BY101" s="740"/>
      <c r="BZ101" s="739"/>
      <c r="CA101" s="740"/>
      <c r="CB101" s="739"/>
      <c r="CC101" s="740"/>
      <c r="CD101" s="739"/>
      <c r="CE101" s="740"/>
      <c r="CF101" s="739"/>
      <c r="CG101" s="740"/>
      <c r="CH101" s="739"/>
      <c r="CI101" s="740"/>
      <c r="CJ101" s="739"/>
      <c r="CK101" s="740"/>
      <c r="CL101" s="748" t="s">
        <v>5</v>
      </c>
      <c r="CN101" s="713"/>
      <c r="CO101" s="726"/>
    </row>
    <row r="102" spans="2:93" customHeight="1" hidden="1">
      <c r="B102" s="161"/>
      <c r="C102" s="28" t="s">
        <v>370</v>
      </c>
      <c r="D102" s="27" t="s">
        <v>135</v>
      </c>
      <c r="E102" s="94">
        <f>Open_Proportion*E55*(E57 + 'Input Data'!$U$3)</f>
        <v>0</v>
      </c>
      <c r="F102" s="94">
        <f>F55*(F57 + 'Input Data'!$U$3)</f>
        <v>0</v>
      </c>
      <c r="G102" s="94">
        <f>G55*(G57 + 'Input Data'!$U$3)</f>
        <v>0</v>
      </c>
      <c r="H102" s="94">
        <f>H55*(H57 + 'Input Data'!$U$3)</f>
        <v>0</v>
      </c>
      <c r="I102" s="94">
        <f>I55*(I57 + 'Input Data'!$U$3)</f>
        <v>0</v>
      </c>
      <c r="J102" s="94">
        <f>J55*(J57 + 'Input Data'!$U$3)</f>
        <v>0</v>
      </c>
      <c r="K102" s="94">
        <f>K55*(K57 + 'Input Data'!$U$3)</f>
        <v>0</v>
      </c>
      <c r="L102" s="94">
        <f>L55*(L57 + 'Input Data'!$U$3)</f>
        <v>0</v>
      </c>
      <c r="M102" s="28"/>
      <c r="N102"/>
      <c r="O102" s="28"/>
      <c r="P102" s="28"/>
      <c r="Q102" s="162"/>
      <c r="T102" s="738" t="s">
        <v>5</v>
      </c>
      <c r="U102" s="739"/>
      <c r="V102" s="740"/>
      <c r="W102" s="739" t="s">
        <v>5</v>
      </c>
      <c r="X102" s="740"/>
      <c r="Y102" s="739"/>
      <c r="Z102" s="740" t="s">
        <v>5</v>
      </c>
      <c r="AA102" s="739"/>
      <c r="AB102" s="740"/>
      <c r="AC102" s="739" t="s">
        <v>6</v>
      </c>
      <c r="AD102" s="740"/>
      <c r="AE102" s="739"/>
      <c r="AF102" s="740" t="s">
        <v>5</v>
      </c>
      <c r="AG102" s="739"/>
      <c r="AH102" s="741"/>
      <c r="AK102" s="738" t="s">
        <v>5</v>
      </c>
      <c r="AL102" s="739"/>
      <c r="AM102" s="740"/>
      <c r="AN102" s="739"/>
      <c r="AO102" s="740"/>
      <c r="AP102" s="739"/>
      <c r="AQ102" s="740"/>
      <c r="AR102" s="739"/>
      <c r="AS102" s="740"/>
      <c r="AT102" s="739"/>
      <c r="AU102" s="740"/>
      <c r="AV102" s="739"/>
      <c r="AW102" s="740"/>
      <c r="AX102" s="739"/>
      <c r="AY102" s="740"/>
      <c r="AZ102" s="739"/>
      <c r="BA102" s="740"/>
      <c r="BB102" s="739"/>
      <c r="BC102" s="740" t="s">
        <v>5</v>
      </c>
      <c r="BD102" s="739"/>
      <c r="BE102" s="740"/>
      <c r="BF102" s="739"/>
      <c r="BG102" s="740"/>
      <c r="BH102" s="739"/>
      <c r="BI102" s="740"/>
      <c r="BJ102" s="739" t="s">
        <v>5</v>
      </c>
      <c r="BK102" s="740"/>
      <c r="BL102" s="739"/>
      <c r="BM102" s="740"/>
      <c r="BN102" s="739"/>
      <c r="BO102" s="740"/>
      <c r="BP102" s="739"/>
      <c r="BQ102" s="740" t="s">
        <v>6</v>
      </c>
      <c r="BR102" s="739"/>
      <c r="BS102" s="740"/>
      <c r="BT102" s="739" t="s">
        <v>6</v>
      </c>
      <c r="BU102" s="740"/>
      <c r="BV102" s="739"/>
      <c r="BW102" s="740" t="s">
        <v>5</v>
      </c>
      <c r="BX102" s="739"/>
      <c r="BY102" s="740"/>
      <c r="BZ102" s="739" t="s">
        <v>5</v>
      </c>
      <c r="CA102" s="740"/>
      <c r="CB102" s="739"/>
      <c r="CC102" s="740" t="s">
        <v>6</v>
      </c>
      <c r="CD102" s="739"/>
      <c r="CE102" s="740"/>
      <c r="CF102" s="739" t="s">
        <v>6</v>
      </c>
      <c r="CG102" s="740"/>
      <c r="CH102" s="739"/>
      <c r="CI102" s="740" t="s">
        <v>5</v>
      </c>
      <c r="CJ102" s="739"/>
      <c r="CK102" s="740"/>
      <c r="CL102" s="748" t="s">
        <v>5</v>
      </c>
      <c r="CN102" s="713"/>
      <c r="CO102" s="726"/>
    </row>
    <row r="103" spans="2:93" customHeight="1" hidden="1">
      <c r="B103" s="161"/>
      <c r="C103" s="28" t="s">
        <v>371</v>
      </c>
      <c r="D103" s="27" t="s">
        <v>135</v>
      </c>
      <c r="E103" s="94">
        <f>Open_Proportion*E56*(E58 + 'Input Data'!$U$3)</f>
        <v>0</v>
      </c>
      <c r="F103" s="94">
        <f>F56*(F58 + 'Input Data'!$U$3)</f>
        <v>0</v>
      </c>
      <c r="G103" s="94">
        <f>G56*(G58 + 'Input Data'!$U$3)</f>
        <v>0</v>
      </c>
      <c r="H103" s="94">
        <f>H56*(H58 + 'Input Data'!$U$3)</f>
        <v>0</v>
      </c>
      <c r="I103" s="94">
        <f>I56*(I58 + 'Input Data'!$U$3)</f>
        <v>0</v>
      </c>
      <c r="J103" s="94">
        <f>J56*(J58 + 'Input Data'!$U$3)</f>
        <v>0</v>
      </c>
      <c r="K103" s="94">
        <f>K56*(K58 + 'Input Data'!$U$3)</f>
        <v>0</v>
      </c>
      <c r="L103" s="94">
        <f>L56*(L58 + 'Input Data'!$U$3)</f>
        <v>0</v>
      </c>
      <c r="M103" s="28"/>
      <c r="N103"/>
      <c r="O103" s="28"/>
      <c r="P103" s="28"/>
      <c r="Q103" s="162"/>
      <c r="T103" s="738" t="s">
        <v>5</v>
      </c>
      <c r="U103" s="739"/>
      <c r="V103" s="740"/>
      <c r="W103" s="739" t="s">
        <v>5</v>
      </c>
      <c r="X103" s="740"/>
      <c r="Y103" s="739"/>
      <c r="Z103" s="740" t="s">
        <v>5</v>
      </c>
      <c r="AA103" s="739"/>
      <c r="AB103" s="740"/>
      <c r="AC103" s="739" t="s">
        <v>6</v>
      </c>
      <c r="AD103" s="740"/>
      <c r="AE103" s="739"/>
      <c r="AF103" s="740" t="s">
        <v>5</v>
      </c>
      <c r="AG103" s="739"/>
      <c r="AH103" s="741"/>
      <c r="AK103" s="738" t="s">
        <v>5</v>
      </c>
      <c r="AL103" s="739"/>
      <c r="AM103" s="740"/>
      <c r="AN103" s="739"/>
      <c r="AO103" s="740"/>
      <c r="AP103" s="739"/>
      <c r="AQ103" s="740"/>
      <c r="AR103" s="739"/>
      <c r="AS103" s="740"/>
      <c r="AT103" s="739"/>
      <c r="AU103" s="740"/>
      <c r="AV103" s="739"/>
      <c r="AW103" s="740"/>
      <c r="AX103" s="739"/>
      <c r="AY103" s="740"/>
      <c r="AZ103" s="739"/>
      <c r="BA103" s="740"/>
      <c r="BB103" s="739"/>
      <c r="BC103" s="740" t="s">
        <v>5</v>
      </c>
      <c r="BD103" s="739"/>
      <c r="BE103" s="740"/>
      <c r="BF103" s="739"/>
      <c r="BG103" s="740"/>
      <c r="BH103" s="739"/>
      <c r="BI103" s="740"/>
      <c r="BJ103" s="739" t="s">
        <v>5</v>
      </c>
      <c r="BK103" s="740"/>
      <c r="BL103" s="739"/>
      <c r="BM103" s="740"/>
      <c r="BN103" s="739"/>
      <c r="BO103" s="740"/>
      <c r="BP103" s="739"/>
      <c r="BQ103" s="740" t="s">
        <v>6</v>
      </c>
      <c r="BR103" s="739"/>
      <c r="BS103" s="740"/>
      <c r="BT103" s="739" t="s">
        <v>5</v>
      </c>
      <c r="BU103" s="740"/>
      <c r="BV103" s="739"/>
      <c r="BW103" s="740" t="s">
        <v>6</v>
      </c>
      <c r="BX103" s="739"/>
      <c r="BY103" s="740"/>
      <c r="BZ103" s="739" t="s">
        <v>6</v>
      </c>
      <c r="CA103" s="740"/>
      <c r="CB103" s="739"/>
      <c r="CC103" s="740" t="s">
        <v>6</v>
      </c>
      <c r="CD103" s="739"/>
      <c r="CE103" s="740"/>
      <c r="CF103" s="739" t="s">
        <v>6</v>
      </c>
      <c r="CG103" s="740"/>
      <c r="CH103" s="739"/>
      <c r="CI103" s="740" t="s">
        <v>6</v>
      </c>
      <c r="CJ103" s="739"/>
      <c r="CK103" s="740"/>
      <c r="CL103" s="748" t="s">
        <v>5</v>
      </c>
      <c r="CN103" s="713"/>
      <c r="CO103" s="726"/>
    </row>
    <row r="104" spans="2:93" customHeight="1" hidden="1">
      <c r="B104" s="161"/>
      <c r="C104" s="26" t="s">
        <v>141</v>
      </c>
      <c r="D104" s="26"/>
      <c r="E104" s="26"/>
      <c r="F104" s="26"/>
      <c r="G104" s="26"/>
      <c r="H104" s="26"/>
      <c r="I104" s="26"/>
      <c r="J104" s="26"/>
      <c r="K104" s="26"/>
      <c r="L104" s="26"/>
      <c r="M104" s="26"/>
      <c r="N104"/>
      <c r="O104" s="26"/>
      <c r="P104" s="26"/>
      <c r="Q104" s="162"/>
      <c r="T104" s="738" t="s">
        <v>5</v>
      </c>
      <c r="U104" s="739"/>
      <c r="V104" s="740"/>
      <c r="W104" s="739" t="s">
        <v>5</v>
      </c>
      <c r="X104" s="740"/>
      <c r="Y104" s="739"/>
      <c r="Z104" s="740" t="s">
        <v>5</v>
      </c>
      <c r="AA104" s="739"/>
      <c r="AB104" s="740"/>
      <c r="AC104" s="739" t="s">
        <v>6</v>
      </c>
      <c r="AD104" s="740"/>
      <c r="AE104" s="739"/>
      <c r="AF104" s="740" t="s">
        <v>5</v>
      </c>
      <c r="AG104" s="739"/>
      <c r="AH104" s="741"/>
      <c r="AK104" s="738" t="s">
        <v>5</v>
      </c>
      <c r="AL104" s="739"/>
      <c r="AM104" s="740"/>
      <c r="AN104" s="739"/>
      <c r="AO104" s="740"/>
      <c r="AP104" s="739"/>
      <c r="AQ104" s="740"/>
      <c r="AR104" s="739"/>
      <c r="AS104" s="740"/>
      <c r="AT104" s="739"/>
      <c r="AU104" s="740"/>
      <c r="AV104" s="739"/>
      <c r="AW104" s="740"/>
      <c r="AX104" s="739"/>
      <c r="AY104" s="740"/>
      <c r="AZ104" s="739"/>
      <c r="BA104" s="740"/>
      <c r="BB104" s="739"/>
      <c r="BC104" s="740" t="s">
        <v>5</v>
      </c>
      <c r="BD104" s="739"/>
      <c r="BE104" s="740"/>
      <c r="BF104" s="739"/>
      <c r="BG104" s="740"/>
      <c r="BH104" s="739"/>
      <c r="BI104" s="740"/>
      <c r="BJ104" s="739" t="s">
        <v>5</v>
      </c>
      <c r="BK104" s="740"/>
      <c r="BL104" s="739"/>
      <c r="BM104" s="740"/>
      <c r="BN104" s="739"/>
      <c r="BO104" s="740"/>
      <c r="BP104" s="739"/>
      <c r="BQ104" s="740" t="s">
        <v>6</v>
      </c>
      <c r="BR104" s="739"/>
      <c r="BS104" s="740"/>
      <c r="BT104" s="739"/>
      <c r="BU104" s="740"/>
      <c r="BV104" s="739"/>
      <c r="BW104" s="740"/>
      <c r="BX104" s="739"/>
      <c r="BY104" s="740"/>
      <c r="BZ104" s="739"/>
      <c r="CA104" s="740"/>
      <c r="CB104" s="739"/>
      <c r="CC104" s="740"/>
      <c r="CD104" s="739"/>
      <c r="CE104" s="740"/>
      <c r="CF104" s="739"/>
      <c r="CG104" s="740"/>
      <c r="CH104" s="739"/>
      <c r="CI104" s="740"/>
      <c r="CJ104" s="739"/>
      <c r="CK104" s="740"/>
      <c r="CL104" s="748" t="s">
        <v>5</v>
      </c>
      <c r="CN104" s="713"/>
      <c r="CO104" s="726"/>
    </row>
    <row r="105" spans="2:93" customHeight="1" hidden="1">
      <c r="B105" s="161"/>
      <c r="C105" s="28" t="s">
        <v>370</v>
      </c>
      <c r="D105" s="27" t="s">
        <v>135</v>
      </c>
      <c r="E105" s="94">
        <f>Open_Proportion*E62*(E64 + 'Input Data'!$U$3)</f>
        <v>0</v>
      </c>
      <c r="F105" s="94">
        <f>F62*(F64 + 'Input Data'!$U$3)</f>
        <v>0</v>
      </c>
      <c r="G105" s="94">
        <f>G62*(G64 + 'Input Data'!$U$3)</f>
        <v>0</v>
      </c>
      <c r="H105" s="94">
        <f>H62*(H64 + 'Input Data'!$U$3)</f>
        <v>0</v>
      </c>
      <c r="I105" s="94">
        <f>I62*(I64 + 'Input Data'!$U$3)</f>
        <v>0</v>
      </c>
      <c r="J105" s="94">
        <f>J62*(J64 + 'Input Data'!$U$3)</f>
        <v>0</v>
      </c>
      <c r="K105" s="94">
        <f>K62*(K64 + 'Input Data'!$U$3)</f>
        <v>0</v>
      </c>
      <c r="L105" s="94">
        <f>L62*(L64 + 'Input Data'!$U$3)</f>
        <v>0</v>
      </c>
      <c r="M105" s="28"/>
      <c r="N105"/>
      <c r="O105" s="28"/>
      <c r="P105" s="28"/>
      <c r="Q105" s="162"/>
      <c r="T105" s="738" t="s">
        <v>5</v>
      </c>
      <c r="U105" s="739"/>
      <c r="V105" s="740"/>
      <c r="W105" s="739" t="s">
        <v>5</v>
      </c>
      <c r="X105" s="740"/>
      <c r="Y105" s="739"/>
      <c r="Z105" s="740" t="s">
        <v>5</v>
      </c>
      <c r="AA105" s="739"/>
      <c r="AB105" s="740"/>
      <c r="AC105" s="739" t="s">
        <v>6</v>
      </c>
      <c r="AD105" s="740"/>
      <c r="AE105" s="739"/>
      <c r="AF105" s="740" t="s">
        <v>5</v>
      </c>
      <c r="AG105" s="739"/>
      <c r="AH105" s="741"/>
      <c r="AK105" s="738" t="s">
        <v>5</v>
      </c>
      <c r="AL105" s="739"/>
      <c r="AM105" s="740"/>
      <c r="AN105" s="739"/>
      <c r="AO105" s="740"/>
      <c r="AP105" s="739"/>
      <c r="AQ105" s="740"/>
      <c r="AR105" s="739"/>
      <c r="AS105" s="740"/>
      <c r="AT105" s="739"/>
      <c r="AU105" s="740"/>
      <c r="AV105" s="739"/>
      <c r="AW105" s="740"/>
      <c r="AX105" s="739"/>
      <c r="AY105" s="740"/>
      <c r="AZ105" s="739"/>
      <c r="BA105" s="740"/>
      <c r="BB105" s="739"/>
      <c r="BC105" s="740" t="s">
        <v>5</v>
      </c>
      <c r="BD105" s="739"/>
      <c r="BE105" s="740"/>
      <c r="BF105" s="739"/>
      <c r="BG105" s="740"/>
      <c r="BH105" s="739"/>
      <c r="BI105" s="740"/>
      <c r="BJ105" s="739" t="s">
        <v>5</v>
      </c>
      <c r="BK105" s="740"/>
      <c r="BL105" s="739"/>
      <c r="BM105" s="740"/>
      <c r="BN105" s="739"/>
      <c r="BO105" s="740"/>
      <c r="BP105" s="739"/>
      <c r="BQ105" s="740" t="s">
        <v>6</v>
      </c>
      <c r="BR105" s="739"/>
      <c r="BS105" s="740"/>
      <c r="BT105" s="739" t="s">
        <v>6</v>
      </c>
      <c r="BU105" s="740"/>
      <c r="BV105" s="739"/>
      <c r="BW105" s="740" t="s">
        <v>5</v>
      </c>
      <c r="BX105" s="739"/>
      <c r="BY105" s="740"/>
      <c r="BZ105" s="739" t="s">
        <v>5</v>
      </c>
      <c r="CA105" s="740"/>
      <c r="CB105" s="739"/>
      <c r="CC105" s="740" t="s">
        <v>6</v>
      </c>
      <c r="CD105" s="739"/>
      <c r="CE105" s="740"/>
      <c r="CF105" s="739" t="s">
        <v>6</v>
      </c>
      <c r="CG105" s="740"/>
      <c r="CH105" s="739"/>
      <c r="CI105" s="740" t="s">
        <v>5</v>
      </c>
      <c r="CJ105" s="739"/>
      <c r="CK105" s="740"/>
      <c r="CL105" s="748" t="s">
        <v>5</v>
      </c>
      <c r="CN105" s="713"/>
      <c r="CO105" s="726"/>
    </row>
    <row r="106" spans="2:93" customHeight="1" hidden="1">
      <c r="B106" s="161"/>
      <c r="C106" s="28" t="s">
        <v>371</v>
      </c>
      <c r="D106" s="27" t="s">
        <v>135</v>
      </c>
      <c r="E106" s="94">
        <f>Open_Proportion*E63*(E65 + 'Input Data'!$U$3)</f>
        <v>0</v>
      </c>
      <c r="F106" s="94">
        <f>F63*(F65 + 'Input Data'!$U$3)</f>
        <v>0</v>
      </c>
      <c r="G106" s="94">
        <f>G63*(G65 + 'Input Data'!$U$3)</f>
        <v>0</v>
      </c>
      <c r="H106" s="94">
        <f>H63*(H65 + 'Input Data'!$U$3)</f>
        <v>0</v>
      </c>
      <c r="I106" s="94">
        <f>I63*(I65 + 'Input Data'!$U$3)</f>
        <v>0</v>
      </c>
      <c r="J106" s="94">
        <f>J63*(J65 + 'Input Data'!$U$3)</f>
        <v>0</v>
      </c>
      <c r="K106" s="94">
        <f>K63*(K65 + 'Input Data'!$U$3)</f>
        <v>0</v>
      </c>
      <c r="L106" s="94">
        <f>L63*(L65 + 'Input Data'!$U$3)</f>
        <v>0</v>
      </c>
      <c r="M106" s="28"/>
      <c r="N106"/>
      <c r="O106" s="28"/>
      <c r="P106" s="28"/>
      <c r="Q106" s="162"/>
      <c r="T106" s="738" t="s">
        <v>5</v>
      </c>
      <c r="U106" s="739"/>
      <c r="V106" s="740"/>
      <c r="W106" s="739" t="s">
        <v>5</v>
      </c>
      <c r="X106" s="740"/>
      <c r="Y106" s="739"/>
      <c r="Z106" s="740" t="s">
        <v>5</v>
      </c>
      <c r="AA106" s="739"/>
      <c r="AB106" s="740"/>
      <c r="AC106" s="739" t="s">
        <v>6</v>
      </c>
      <c r="AD106" s="740"/>
      <c r="AE106" s="739"/>
      <c r="AF106" s="740" t="s">
        <v>5</v>
      </c>
      <c r="AG106" s="739"/>
      <c r="AH106" s="741"/>
      <c r="AK106" s="738" t="s">
        <v>5</v>
      </c>
      <c r="AL106" s="739"/>
      <c r="AM106" s="740"/>
      <c r="AN106" s="739"/>
      <c r="AO106" s="740"/>
      <c r="AP106" s="739"/>
      <c r="AQ106" s="740"/>
      <c r="AR106" s="739"/>
      <c r="AS106" s="740"/>
      <c r="AT106" s="739"/>
      <c r="AU106" s="740"/>
      <c r="AV106" s="739"/>
      <c r="AW106" s="740"/>
      <c r="AX106" s="739"/>
      <c r="AY106" s="740"/>
      <c r="AZ106" s="739"/>
      <c r="BA106" s="740"/>
      <c r="BB106" s="739"/>
      <c r="BC106" s="740" t="s">
        <v>5</v>
      </c>
      <c r="BD106" s="739"/>
      <c r="BE106" s="740"/>
      <c r="BF106" s="739"/>
      <c r="BG106" s="740"/>
      <c r="BH106" s="739"/>
      <c r="BI106" s="740"/>
      <c r="BJ106" s="739" t="s">
        <v>5</v>
      </c>
      <c r="BK106" s="740"/>
      <c r="BL106" s="739"/>
      <c r="BM106" s="740"/>
      <c r="BN106" s="739"/>
      <c r="BO106" s="740"/>
      <c r="BP106" s="739"/>
      <c r="BQ106" s="740" t="s">
        <v>6</v>
      </c>
      <c r="BR106" s="739"/>
      <c r="BS106" s="740"/>
      <c r="BT106" s="739" t="s">
        <v>5</v>
      </c>
      <c r="BU106" s="740"/>
      <c r="BV106" s="739"/>
      <c r="BW106" s="740" t="s">
        <v>6</v>
      </c>
      <c r="BX106" s="739"/>
      <c r="BY106" s="740"/>
      <c r="BZ106" s="739" t="s">
        <v>6</v>
      </c>
      <c r="CA106" s="740"/>
      <c r="CB106" s="739"/>
      <c r="CC106" s="740" t="s">
        <v>6</v>
      </c>
      <c r="CD106" s="739"/>
      <c r="CE106" s="740"/>
      <c r="CF106" s="739" t="s">
        <v>6</v>
      </c>
      <c r="CG106" s="740"/>
      <c r="CH106" s="739"/>
      <c r="CI106" s="740" t="s">
        <v>6</v>
      </c>
      <c r="CJ106" s="739"/>
      <c r="CK106" s="740"/>
      <c r="CL106" s="748" t="s">
        <v>5</v>
      </c>
      <c r="CN106" s="713"/>
      <c r="CO106" s="726"/>
    </row>
    <row r="107" spans="2:93" customHeight="1" hidden="1">
      <c r="B107" s="161"/>
      <c r="C107" s="26" t="s">
        <v>131</v>
      </c>
      <c r="D107" s="27" t="s">
        <v>135</v>
      </c>
      <c r="E107" s="408">
        <f>SUM(E96:E97,E99:E100,E102:E103,E105:E106)</f>
        <v>0</v>
      </c>
      <c r="F107" s="408">
        <f>SUM(F96:F97,F99:F100,F102:F103,F105:F106)</f>
        <v>0</v>
      </c>
      <c r="G107" s="408">
        <f>SUM(G96:G97,G99:G100,G102:G103,G105:G106)</f>
        <v>0</v>
      </c>
      <c r="H107" s="408">
        <f>SUM(H96:H97,H99:H100,H102:H103,H105:H106)</f>
        <v>0</v>
      </c>
      <c r="I107" s="408">
        <f>SUM(I96:I97,I99:I100,I102:I103,I105:I106)</f>
        <v>0</v>
      </c>
      <c r="J107" s="408">
        <f>SUM(J96:J97,J99:J100,J102:J103,J105:J106)</f>
        <v>0</v>
      </c>
      <c r="K107" s="408">
        <f>SUM(K96:K97,K99:K100,K102:K103,K105:K106)</f>
        <v>0</v>
      </c>
      <c r="L107" s="408">
        <f>SUM(L96:L97,L99:L100,L102:L103,L105:L106)</f>
        <v>0</v>
      </c>
      <c r="M107" s="26"/>
      <c r="N107"/>
      <c r="O107" s="26"/>
      <c r="P107" s="26"/>
      <c r="Q107" s="162"/>
      <c r="T107" s="738" t="s">
        <v>5</v>
      </c>
      <c r="U107" s="739"/>
      <c r="V107" s="740"/>
      <c r="W107" s="739" t="s">
        <v>5</v>
      </c>
      <c r="X107" s="740"/>
      <c r="Y107" s="739"/>
      <c r="Z107" s="740" t="s">
        <v>5</v>
      </c>
      <c r="AA107" s="739"/>
      <c r="AB107" s="740"/>
      <c r="AC107" s="739" t="s">
        <v>6</v>
      </c>
      <c r="AD107" s="740"/>
      <c r="AE107" s="739"/>
      <c r="AF107" s="740" t="s">
        <v>5</v>
      </c>
      <c r="AG107" s="739"/>
      <c r="AH107" s="741"/>
      <c r="AK107" s="738" t="s">
        <v>5</v>
      </c>
      <c r="AL107" s="739"/>
      <c r="AM107" s="740"/>
      <c r="AN107" s="739"/>
      <c r="AO107" s="740"/>
      <c r="AP107" s="739"/>
      <c r="AQ107" s="740"/>
      <c r="AR107" s="739"/>
      <c r="AS107" s="740"/>
      <c r="AT107" s="739"/>
      <c r="AU107" s="740"/>
      <c r="AV107" s="739"/>
      <c r="AW107" s="740"/>
      <c r="AX107" s="739"/>
      <c r="AY107" s="740"/>
      <c r="AZ107" s="739"/>
      <c r="BA107" s="740"/>
      <c r="BB107" s="739"/>
      <c r="BC107" s="740" t="s">
        <v>5</v>
      </c>
      <c r="BD107" s="739"/>
      <c r="BE107" s="740"/>
      <c r="BF107" s="739"/>
      <c r="BG107" s="740"/>
      <c r="BH107" s="739"/>
      <c r="BI107" s="740"/>
      <c r="BJ107" s="739" t="s">
        <v>5</v>
      </c>
      <c r="BK107" s="740"/>
      <c r="BL107" s="739"/>
      <c r="BM107" s="740"/>
      <c r="BN107" s="739"/>
      <c r="BO107" s="740"/>
      <c r="BP107" s="739"/>
      <c r="BQ107" s="740" t="s">
        <v>6</v>
      </c>
      <c r="BR107" s="739"/>
      <c r="BS107" s="740"/>
      <c r="BT107" s="739"/>
      <c r="BU107" s="740"/>
      <c r="BV107" s="739"/>
      <c r="BW107" s="740"/>
      <c r="BX107" s="739"/>
      <c r="BY107" s="740"/>
      <c r="BZ107" s="739"/>
      <c r="CA107" s="740"/>
      <c r="CB107" s="739"/>
      <c r="CC107" s="740"/>
      <c r="CD107" s="739"/>
      <c r="CE107" s="740"/>
      <c r="CF107" s="739"/>
      <c r="CG107" s="740"/>
      <c r="CH107" s="739"/>
      <c r="CI107" s="740"/>
      <c r="CJ107" s="739"/>
      <c r="CK107" s="740"/>
      <c r="CL107" s="748" t="s">
        <v>5</v>
      </c>
      <c r="CN107" s="713"/>
      <c r="CO107" s="726"/>
    </row>
    <row r="108" spans="2:93" customHeight="1">
      <c r="B108" s="161"/>
      <c r="C108" s="163"/>
      <c r="D108" s="27"/>
      <c r="E108" s="163"/>
      <c r="F108" s="163"/>
      <c r="G108" s="163"/>
      <c r="H108" s="163"/>
      <c r="I108" s="163"/>
      <c r="J108" s="163"/>
      <c r="K108" s="163"/>
      <c r="L108" s="163"/>
      <c r="M108" s="163"/>
      <c r="N108"/>
      <c r="O108" s="163"/>
      <c r="P108" s="163"/>
      <c r="Q108" s="162"/>
      <c r="T108" s="738" t="s">
        <v>6</v>
      </c>
      <c r="U108" s="739"/>
      <c r="V108" s="740"/>
      <c r="W108" s="739" t="s">
        <v>6</v>
      </c>
      <c r="X108" s="740"/>
      <c r="Y108" s="739"/>
      <c r="Z108" s="740" t="s">
        <v>6</v>
      </c>
      <c r="AA108" s="739"/>
      <c r="AB108" s="740"/>
      <c r="AC108" s="739" t="s">
        <v>6</v>
      </c>
      <c r="AD108" s="740"/>
      <c r="AE108" s="739"/>
      <c r="AF108" s="740" t="s">
        <v>6</v>
      </c>
      <c r="AG108" s="739"/>
      <c r="AH108" s="741"/>
      <c r="AK108" s="738" t="s">
        <v>6</v>
      </c>
      <c r="AL108" s="739"/>
      <c r="AM108" s="740"/>
      <c r="AN108" s="739"/>
      <c r="AO108" s="740"/>
      <c r="AP108" s="739"/>
      <c r="AQ108" s="740"/>
      <c r="AR108" s="739"/>
      <c r="AS108" s="740"/>
      <c r="AT108" s="739"/>
      <c r="AU108" s="740"/>
      <c r="AV108" s="739"/>
      <c r="AW108" s="740"/>
      <c r="AX108" s="739"/>
      <c r="AY108" s="740"/>
      <c r="AZ108" s="739"/>
      <c r="BA108" s="740"/>
      <c r="BB108" s="739"/>
      <c r="BC108" s="740" t="s">
        <v>6</v>
      </c>
      <c r="BD108" s="739"/>
      <c r="BE108" s="740"/>
      <c r="BF108" s="739"/>
      <c r="BG108" s="740"/>
      <c r="BH108" s="739"/>
      <c r="BI108" s="740"/>
      <c r="BJ108" s="739" t="s">
        <v>6</v>
      </c>
      <c r="BK108" s="740"/>
      <c r="BL108" s="739"/>
      <c r="BM108" s="740"/>
      <c r="BN108" s="739"/>
      <c r="BO108" s="740"/>
      <c r="BP108" s="739"/>
      <c r="BQ108" s="740" t="s">
        <v>6</v>
      </c>
      <c r="BR108" s="739"/>
      <c r="BS108" s="740"/>
      <c r="BT108" s="739"/>
      <c r="BU108" s="740"/>
      <c r="BV108" s="739"/>
      <c r="BW108" s="740"/>
      <c r="BX108" s="739"/>
      <c r="BY108" s="740"/>
      <c r="BZ108" s="739"/>
      <c r="CA108" s="740"/>
      <c r="CB108" s="739"/>
      <c r="CC108" s="740"/>
      <c r="CD108" s="739"/>
      <c r="CE108" s="740"/>
      <c r="CF108" s="739"/>
      <c r="CG108" s="740"/>
      <c r="CH108" s="739"/>
      <c r="CI108" s="740"/>
      <c r="CJ108" s="739"/>
      <c r="CK108" s="740"/>
      <c r="CL108" s="748" t="s">
        <v>6</v>
      </c>
      <c r="CN108" s="713"/>
      <c r="CO108" s="726"/>
    </row>
    <row r="109" spans="2:93" hidden="1">
      <c r="B109" s="161"/>
      <c r="C109" s="28" t="s">
        <v>342</v>
      </c>
      <c r="D109" s="125" t="s">
        <v>135</v>
      </c>
      <c r="E109" s="94">
        <f>IFERROR('Post 16 Ready Reckoner'!FormulaFundingTotal,0)</f>
        <v>0</v>
      </c>
      <c r="F109" s="94">
        <f>IFERROR('Post 16 Ready Reckoner'!AF14,0)</f>
        <v>0</v>
      </c>
      <c r="G109" s="94">
        <f>IFERROR('Post 16 Ready Reckoner'!AG14,0)</f>
        <v>0</v>
      </c>
      <c r="H109" s="94">
        <f>IFERROR('Post 16 Ready Reckoner'!AH14,0)</f>
        <v>0</v>
      </c>
      <c r="I109" s="94">
        <f>IFERROR('Post 16 Ready Reckoner'!AI14,0)</f>
        <v>0</v>
      </c>
      <c r="J109" s="94">
        <f>IFERROR('Post 16 Ready Reckoner'!AJ14,0)</f>
        <v>0</v>
      </c>
      <c r="K109" s="94">
        <f>IFERROR('Post 16 Ready Reckoner'!AK14,0)</f>
        <v>0</v>
      </c>
      <c r="L109" s="94">
        <f>IFERROR('Post 16 Ready Reckoner'!AL14,0)</f>
        <v>0</v>
      </c>
      <c r="M109" s="28"/>
      <c r="N109"/>
      <c r="O109" s="28"/>
      <c r="P109" s="28"/>
      <c r="Q109" s="162"/>
      <c r="T109" s="738" t="s">
        <v>6</v>
      </c>
      <c r="U109" s="739"/>
      <c r="V109" s="740"/>
      <c r="W109" s="739" t="s">
        <v>5</v>
      </c>
      <c r="X109" s="740"/>
      <c r="Y109" s="739"/>
      <c r="Z109" s="740" t="s">
        <v>5</v>
      </c>
      <c r="AA109" s="739"/>
      <c r="AB109" s="740"/>
      <c r="AC109" s="739" t="s">
        <v>5</v>
      </c>
      <c r="AD109" s="740"/>
      <c r="AE109" s="739"/>
      <c r="AF109" s="740" t="s">
        <v>5</v>
      </c>
      <c r="AG109" s="739"/>
      <c r="AH109" s="741"/>
      <c r="AK109" s="738" t="s">
        <v>6</v>
      </c>
      <c r="AL109" s="739"/>
      <c r="AM109" s="740"/>
      <c r="AN109" s="739" t="s">
        <v>5</v>
      </c>
      <c r="AO109" s="740"/>
      <c r="AP109" s="739"/>
      <c r="AQ109" s="740" t="s">
        <v>5</v>
      </c>
      <c r="AR109" s="739"/>
      <c r="AS109" s="740"/>
      <c r="AT109" s="739" t="s">
        <v>6</v>
      </c>
      <c r="AU109" s="740"/>
      <c r="AV109" s="739"/>
      <c r="AW109" s="740" t="s">
        <v>5</v>
      </c>
      <c r="AX109" s="739"/>
      <c r="AY109" s="740"/>
      <c r="AZ109" s="739" t="s">
        <v>6</v>
      </c>
      <c r="BA109" s="740"/>
      <c r="BB109" s="739"/>
      <c r="BC109" s="740" t="s">
        <v>5</v>
      </c>
      <c r="BD109" s="739"/>
      <c r="BE109" s="740"/>
      <c r="BF109" s="739"/>
      <c r="BG109" s="740"/>
      <c r="BH109" s="739"/>
      <c r="BI109" s="740"/>
      <c r="BJ109" s="739" t="s">
        <v>5</v>
      </c>
      <c r="BK109" s="740"/>
      <c r="BL109" s="739"/>
      <c r="BM109" s="740"/>
      <c r="BN109" s="739"/>
      <c r="BO109" s="740"/>
      <c r="BP109" s="739"/>
      <c r="BQ109" s="740" t="s">
        <v>5</v>
      </c>
      <c r="BR109" s="739"/>
      <c r="BS109" s="740"/>
      <c r="BT109" s="739"/>
      <c r="BU109" s="740"/>
      <c r="BV109" s="739"/>
      <c r="BW109" s="740"/>
      <c r="BX109" s="739"/>
      <c r="BY109" s="740"/>
      <c r="BZ109" s="739"/>
      <c r="CA109" s="740"/>
      <c r="CB109" s="739"/>
      <c r="CC109" s="740"/>
      <c r="CD109" s="739"/>
      <c r="CE109" s="740"/>
      <c r="CF109" s="739"/>
      <c r="CG109" s="740"/>
      <c r="CH109" s="739"/>
      <c r="CI109" s="740"/>
      <c r="CJ109" s="739"/>
      <c r="CK109" s="740"/>
      <c r="CL109" s="748" t="s">
        <v>5</v>
      </c>
      <c r="CN109" s="713"/>
      <c r="CO109" s="726"/>
    </row>
    <row r="110" spans="2:93" customHeight="1" hidden="1">
      <c r="B110" s="161"/>
      <c r="C110" s="28" t="s">
        <v>372</v>
      </c>
      <c r="D110" s="125" t="s">
        <v>135</v>
      </c>
      <c r="E110" s="603">
        <f>Open_Proportion*E20*'Input Data'!$V$3</f>
        <v>0</v>
      </c>
      <c r="F110" s="603">
        <f>F20*'Input Data'!$V$3</f>
        <v>0</v>
      </c>
      <c r="G110" s="603">
        <f>G20*'Input Data'!$V$3</f>
        <v>0</v>
      </c>
      <c r="H110" s="603">
        <f>H20*'Input Data'!$V$3</f>
        <v>0</v>
      </c>
      <c r="I110" s="603">
        <f>I20*'Input Data'!$V$3</f>
        <v>0</v>
      </c>
      <c r="J110" s="603">
        <f>J20*'Input Data'!$V$3</f>
        <v>0</v>
      </c>
      <c r="K110" s="603">
        <f>K20*'Input Data'!$V$3</f>
        <v>0</v>
      </c>
      <c r="L110" s="603">
        <f>L20*'Input Data'!$V$3</f>
        <v>0</v>
      </c>
      <c r="M110" s="28"/>
      <c r="N110"/>
      <c r="O110" s="28"/>
      <c r="P110" s="28"/>
      <c r="Q110" s="162"/>
      <c r="T110" s="738" t="s">
        <v>6</v>
      </c>
      <c r="U110" s="739"/>
      <c r="V110" s="740"/>
      <c r="W110" s="739" t="s">
        <v>5</v>
      </c>
      <c r="X110" s="740"/>
      <c r="Y110" s="739"/>
      <c r="Z110" s="740" t="s">
        <v>5</v>
      </c>
      <c r="AA110" s="739"/>
      <c r="AB110" s="740"/>
      <c r="AC110" s="739" t="s">
        <v>5</v>
      </c>
      <c r="AD110" s="740"/>
      <c r="AE110" s="739"/>
      <c r="AF110" s="740" t="s">
        <v>5</v>
      </c>
      <c r="AG110" s="739"/>
      <c r="AH110" s="741"/>
      <c r="AK110" s="738" t="s">
        <v>6</v>
      </c>
      <c r="AL110" s="739"/>
      <c r="AM110" s="740"/>
      <c r="AN110" s="739" t="s">
        <v>5</v>
      </c>
      <c r="AO110" s="740"/>
      <c r="AP110" s="739"/>
      <c r="AQ110" s="740" t="s">
        <v>5</v>
      </c>
      <c r="AR110" s="739"/>
      <c r="AS110" s="740"/>
      <c r="AT110" s="739" t="s">
        <v>6</v>
      </c>
      <c r="AU110" s="740"/>
      <c r="AV110" s="739"/>
      <c r="AW110" s="740" t="s">
        <v>5</v>
      </c>
      <c r="AX110" s="739"/>
      <c r="AY110" s="740"/>
      <c r="AZ110" s="739" t="s">
        <v>6</v>
      </c>
      <c r="BA110" s="740"/>
      <c r="BB110" s="739"/>
      <c r="BC110" s="740" t="s">
        <v>5</v>
      </c>
      <c r="BD110" s="739"/>
      <c r="BE110" s="740"/>
      <c r="BF110" s="739"/>
      <c r="BG110" s="740"/>
      <c r="BH110" s="739"/>
      <c r="BI110" s="740"/>
      <c r="BJ110" s="739" t="s">
        <v>5</v>
      </c>
      <c r="BK110" s="740"/>
      <c r="BL110" s="739"/>
      <c r="BM110" s="740"/>
      <c r="BN110" s="739"/>
      <c r="BO110" s="740"/>
      <c r="BP110" s="739"/>
      <c r="BQ110" s="740" t="s">
        <v>5</v>
      </c>
      <c r="BR110" s="739"/>
      <c r="BS110" s="740"/>
      <c r="BT110" s="739"/>
      <c r="BU110" s="740"/>
      <c r="BV110" s="739"/>
      <c r="BW110" s="740"/>
      <c r="BX110" s="739"/>
      <c r="BY110" s="740"/>
      <c r="BZ110" s="739"/>
      <c r="CA110" s="740"/>
      <c r="CB110" s="739"/>
      <c r="CC110" s="740"/>
      <c r="CD110" s="739"/>
      <c r="CE110" s="740"/>
      <c r="CF110" s="739"/>
      <c r="CG110" s="740"/>
      <c r="CH110" s="739"/>
      <c r="CI110" s="740"/>
      <c r="CJ110" s="739"/>
      <c r="CK110" s="740"/>
      <c r="CL110" s="748" t="s">
        <v>5</v>
      </c>
      <c r="CN110" s="713"/>
      <c r="CO110" s="726"/>
    </row>
    <row r="111" spans="2:93" customHeight="1" hidden="1">
      <c r="B111" s="161"/>
      <c r="C111" s="28" t="s">
        <v>373</v>
      </c>
      <c r="D111" s="125" t="s">
        <v>135</v>
      </c>
      <c r="E111" s="603">
        <f>Open_Proportion*E21*E22</f>
        <v>0</v>
      </c>
      <c r="F111" s="603">
        <f>F21*F22</f>
        <v>0</v>
      </c>
      <c r="G111" s="603">
        <f>G21*G22</f>
        <v>0</v>
      </c>
      <c r="H111" s="603">
        <f>H21*H22</f>
        <v>0</v>
      </c>
      <c r="I111" s="603">
        <f>I21*I22</f>
        <v>0</v>
      </c>
      <c r="J111" s="603">
        <f>J21*J22</f>
        <v>0</v>
      </c>
      <c r="K111" s="603">
        <f>K21*K22</f>
        <v>0</v>
      </c>
      <c r="L111" s="603">
        <f>L21*L22</f>
        <v>0</v>
      </c>
      <c r="M111" s="28"/>
      <c r="N111"/>
      <c r="O111" s="28"/>
      <c r="P111" s="28"/>
      <c r="Q111" s="162"/>
      <c r="T111" s="738" t="s">
        <v>6</v>
      </c>
      <c r="U111" s="739"/>
      <c r="V111" s="740"/>
      <c r="W111" s="739" t="s">
        <v>5</v>
      </c>
      <c r="X111" s="740"/>
      <c r="Y111" s="739"/>
      <c r="Z111" s="740" t="s">
        <v>5</v>
      </c>
      <c r="AA111" s="739"/>
      <c r="AB111" s="740"/>
      <c r="AC111" s="739" t="s">
        <v>5</v>
      </c>
      <c r="AD111" s="740"/>
      <c r="AE111" s="739"/>
      <c r="AF111" s="740" t="s">
        <v>5</v>
      </c>
      <c r="AG111" s="739"/>
      <c r="AH111" s="741"/>
      <c r="AK111" s="738" t="s">
        <v>6</v>
      </c>
      <c r="AL111" s="739"/>
      <c r="AM111" s="740"/>
      <c r="AN111" s="739" t="s">
        <v>5</v>
      </c>
      <c r="AO111" s="740"/>
      <c r="AP111" s="739"/>
      <c r="AQ111" s="740" t="s">
        <v>5</v>
      </c>
      <c r="AR111" s="739"/>
      <c r="AS111" s="740"/>
      <c r="AT111" s="739" t="s">
        <v>6</v>
      </c>
      <c r="AU111" s="740"/>
      <c r="AV111" s="739"/>
      <c r="AW111" s="740" t="s">
        <v>5</v>
      </c>
      <c r="AX111" s="739"/>
      <c r="AY111" s="740"/>
      <c r="AZ111" s="739" t="s">
        <v>6</v>
      </c>
      <c r="BA111" s="740"/>
      <c r="BB111" s="739"/>
      <c r="BC111" s="740" t="s">
        <v>5</v>
      </c>
      <c r="BD111" s="739"/>
      <c r="BE111" s="740"/>
      <c r="BF111" s="739"/>
      <c r="BG111" s="740"/>
      <c r="BH111" s="739"/>
      <c r="BI111" s="740"/>
      <c r="BJ111" s="739" t="s">
        <v>5</v>
      </c>
      <c r="BK111" s="740"/>
      <c r="BL111" s="739"/>
      <c r="BM111" s="740"/>
      <c r="BN111" s="739"/>
      <c r="BO111" s="740"/>
      <c r="BP111" s="739"/>
      <c r="BQ111" s="740" t="s">
        <v>5</v>
      </c>
      <c r="BR111" s="739"/>
      <c r="BS111" s="740"/>
      <c r="BT111" s="739"/>
      <c r="BU111" s="740"/>
      <c r="BV111" s="739"/>
      <c r="BW111" s="740"/>
      <c r="BX111" s="739"/>
      <c r="BY111" s="740"/>
      <c r="BZ111" s="739"/>
      <c r="CA111" s="740"/>
      <c r="CB111" s="739"/>
      <c r="CC111" s="740"/>
      <c r="CD111" s="739"/>
      <c r="CE111" s="740"/>
      <c r="CF111" s="739"/>
      <c r="CG111" s="740"/>
      <c r="CH111" s="739"/>
      <c r="CI111" s="740"/>
      <c r="CJ111" s="739"/>
      <c r="CK111" s="740"/>
      <c r="CL111" s="748" t="s">
        <v>5</v>
      </c>
      <c r="CN111" s="713"/>
      <c r="CO111" s="726"/>
    </row>
    <row r="112" spans="2:93" customHeight="1">
      <c r="B112" s="161"/>
      <c r="C112" s="87" t="s">
        <v>374</v>
      </c>
      <c r="D112" s="125" t="s">
        <v>135</v>
      </c>
      <c r="E112" s="378">
        <f>SUM(E109:E111)</f>
        <v>0</v>
      </c>
      <c r="F112" s="378">
        <f>SUM(F109:F111)</f>
        <v>0</v>
      </c>
      <c r="G112" s="378">
        <f>SUM(G109:G111)</f>
        <v>0</v>
      </c>
      <c r="H112" s="378">
        <f>SUM(H109:H111)</f>
        <v>0</v>
      </c>
      <c r="I112" s="378">
        <f>SUM(I109:I111)</f>
        <v>0</v>
      </c>
      <c r="J112" s="378">
        <f>SUM(J109:J111)</f>
        <v>0</v>
      </c>
      <c r="K112" s="378">
        <f>SUM(K109:K111)</f>
        <v>0</v>
      </c>
      <c r="L112" s="378">
        <f>SUM(L109:L111)</f>
        <v>0</v>
      </c>
      <c r="M112" s="26"/>
      <c r="N112" s="959" t="s">
        <v>1008</v>
      </c>
      <c r="O112" s="26"/>
      <c r="P112" s="962"/>
      <c r="Q112" s="162"/>
      <c r="T112" s="738" t="s">
        <v>6</v>
      </c>
      <c r="U112" s="739"/>
      <c r="V112" s="740"/>
      <c r="W112" s="739" t="s">
        <v>6</v>
      </c>
      <c r="X112" s="740"/>
      <c r="Y112" s="739"/>
      <c r="Z112" s="740" t="s">
        <v>6</v>
      </c>
      <c r="AA112" s="739"/>
      <c r="AB112" s="740"/>
      <c r="AC112" s="739" t="s">
        <v>5</v>
      </c>
      <c r="AD112" s="740"/>
      <c r="AE112" s="739"/>
      <c r="AF112" s="740" t="s">
        <v>6</v>
      </c>
      <c r="AG112" s="739"/>
      <c r="AH112" s="741"/>
      <c r="AK112" s="738" t="s">
        <v>6</v>
      </c>
      <c r="AL112" s="739"/>
      <c r="AM112" s="740"/>
      <c r="AN112" s="739" t="s">
        <v>5</v>
      </c>
      <c r="AO112" s="740"/>
      <c r="AP112" s="739"/>
      <c r="AQ112" s="740" t="s">
        <v>5</v>
      </c>
      <c r="AR112" s="739"/>
      <c r="AS112" s="740"/>
      <c r="AT112" s="739" t="s">
        <v>6</v>
      </c>
      <c r="AU112" s="740"/>
      <c r="AV112" s="739"/>
      <c r="AW112" s="740" t="s">
        <v>5</v>
      </c>
      <c r="AX112" s="739"/>
      <c r="AY112" s="740"/>
      <c r="AZ112" s="739" t="s">
        <v>6</v>
      </c>
      <c r="BA112" s="740"/>
      <c r="BB112" s="739"/>
      <c r="BC112" s="740" t="s">
        <v>6</v>
      </c>
      <c r="BD112" s="739" t="s">
        <v>5</v>
      </c>
      <c r="BE112" s="740" t="s">
        <v>5</v>
      </c>
      <c r="BF112" s="739" t="s">
        <v>6</v>
      </c>
      <c r="BG112" s="740" t="s">
        <v>5</v>
      </c>
      <c r="BH112" s="739" t="s">
        <v>6</v>
      </c>
      <c r="BI112" s="740" t="s">
        <v>6</v>
      </c>
      <c r="BJ112" s="739" t="s">
        <v>6</v>
      </c>
      <c r="BK112" s="740" t="s">
        <v>5</v>
      </c>
      <c r="BL112" s="739" t="s">
        <v>5</v>
      </c>
      <c r="BM112" s="740" t="s">
        <v>6</v>
      </c>
      <c r="BN112" s="739" t="s">
        <v>5</v>
      </c>
      <c r="BO112" s="740" t="s">
        <v>6</v>
      </c>
      <c r="BP112" s="739" t="s">
        <v>6</v>
      </c>
      <c r="BQ112" s="740" t="s">
        <v>5</v>
      </c>
      <c r="BR112" s="739"/>
      <c r="BS112" s="740"/>
      <c r="BT112" s="739"/>
      <c r="BU112" s="740"/>
      <c r="BV112" s="739"/>
      <c r="BW112" s="740"/>
      <c r="BX112" s="739"/>
      <c r="BY112" s="740"/>
      <c r="BZ112" s="739"/>
      <c r="CA112" s="740"/>
      <c r="CB112" s="739"/>
      <c r="CC112" s="740"/>
      <c r="CD112" s="739"/>
      <c r="CE112" s="740"/>
      <c r="CF112" s="739"/>
      <c r="CG112" s="740"/>
      <c r="CH112" s="739"/>
      <c r="CI112" s="740"/>
      <c r="CJ112" s="739"/>
      <c r="CK112" s="740"/>
      <c r="CL112" s="748" t="s">
        <v>6</v>
      </c>
      <c r="CN112" s="713"/>
      <c r="CO112" s="726"/>
    </row>
    <row r="113" spans="2:93" customHeight="1">
      <c r="B113" s="161"/>
      <c r="C113"/>
      <c r="D113"/>
      <c r="E113"/>
      <c r="F113"/>
      <c r="G113"/>
      <c r="H113"/>
      <c r="I113"/>
      <c r="J113"/>
      <c r="K113"/>
      <c r="L113"/>
      <c r="M113" s="26"/>
      <c r="N113" s="960"/>
      <c r="O113" s="26"/>
      <c r="P113" s="963"/>
      <c r="Q113" s="162"/>
      <c r="T113" s="738" t="s">
        <v>6</v>
      </c>
      <c r="U113" s="739"/>
      <c r="V113" s="740"/>
      <c r="W113" s="739" t="s">
        <v>6</v>
      </c>
      <c r="X113" s="740"/>
      <c r="Y113" s="739"/>
      <c r="Z113" s="740" t="s">
        <v>6</v>
      </c>
      <c r="AA113" s="739"/>
      <c r="AB113" s="740"/>
      <c r="AC113" s="739" t="s">
        <v>5</v>
      </c>
      <c r="AD113" s="740"/>
      <c r="AE113" s="739"/>
      <c r="AF113" s="740" t="s">
        <v>6</v>
      </c>
      <c r="AG113" s="739"/>
      <c r="AH113" s="741"/>
      <c r="AK113" s="738" t="s">
        <v>6</v>
      </c>
      <c r="AL113" s="739"/>
      <c r="AM113" s="740"/>
      <c r="AN113" s="739" t="s">
        <v>5</v>
      </c>
      <c r="AO113" s="740"/>
      <c r="AP113" s="739"/>
      <c r="AQ113" s="740" t="s">
        <v>5</v>
      </c>
      <c r="AR113" s="739"/>
      <c r="AS113" s="740"/>
      <c r="AT113" s="739" t="s">
        <v>6</v>
      </c>
      <c r="AU113" s="740"/>
      <c r="AV113" s="739"/>
      <c r="AW113" s="740" t="s">
        <v>5</v>
      </c>
      <c r="AX113" s="739"/>
      <c r="AY113" s="740"/>
      <c r="AZ113" s="739" t="s">
        <v>6</v>
      </c>
      <c r="BA113" s="740"/>
      <c r="BB113" s="739"/>
      <c r="BC113" s="740" t="s">
        <v>6</v>
      </c>
      <c r="BD113" s="739" t="s">
        <v>5</v>
      </c>
      <c r="BE113" s="740" t="s">
        <v>5</v>
      </c>
      <c r="BF113" s="739" t="s">
        <v>6</v>
      </c>
      <c r="BG113" s="740" t="s">
        <v>5</v>
      </c>
      <c r="BH113" s="739" t="s">
        <v>6</v>
      </c>
      <c r="BI113" s="740" t="s">
        <v>6</v>
      </c>
      <c r="BJ113" s="739" t="s">
        <v>6</v>
      </c>
      <c r="BK113" s="740" t="s">
        <v>5</v>
      </c>
      <c r="BL113" s="739" t="s">
        <v>5</v>
      </c>
      <c r="BM113" s="740" t="s">
        <v>6</v>
      </c>
      <c r="BN113" s="739" t="s">
        <v>5</v>
      </c>
      <c r="BO113" s="740" t="s">
        <v>6</v>
      </c>
      <c r="BP113" s="739" t="s">
        <v>6</v>
      </c>
      <c r="BQ113" s="740" t="s">
        <v>5</v>
      </c>
      <c r="BR113" s="739"/>
      <c r="BS113" s="740"/>
      <c r="BT113" s="739"/>
      <c r="BU113" s="740"/>
      <c r="BV113" s="739"/>
      <c r="BW113" s="740"/>
      <c r="BX113" s="739"/>
      <c r="BY113" s="740"/>
      <c r="BZ113" s="739"/>
      <c r="CA113" s="740"/>
      <c r="CB113" s="739"/>
      <c r="CC113" s="740"/>
      <c r="CD113" s="739"/>
      <c r="CE113" s="740"/>
      <c r="CF113" s="739"/>
      <c r="CG113" s="740"/>
      <c r="CH113" s="739"/>
      <c r="CI113" s="740"/>
      <c r="CJ113" s="739"/>
      <c r="CK113" s="740"/>
      <c r="CL113" s="748" t="s">
        <v>6</v>
      </c>
      <c r="CN113" s="713"/>
      <c r="CO113" s="726"/>
    </row>
    <row r="114" spans="2:93">
      <c r="B114" s="161"/>
      <c r="C114" s="163"/>
      <c r="D114" s="163"/>
      <c r="E114" s="163"/>
      <c r="F114" s="163"/>
      <c r="G114" s="163"/>
      <c r="H114" s="163"/>
      <c r="I114" s="163"/>
      <c r="J114" s="163"/>
      <c r="K114" s="163"/>
      <c r="L114" s="163"/>
      <c r="M114" s="163"/>
      <c r="N114" s="961"/>
      <c r="O114" s="163"/>
      <c r="P114" s="964"/>
      <c r="Q114" s="162"/>
      <c r="T114" s="738" t="s">
        <v>6</v>
      </c>
      <c r="U114" s="739"/>
      <c r="V114" s="740"/>
      <c r="W114" s="739" t="s">
        <v>6</v>
      </c>
      <c r="X114" s="740"/>
      <c r="Y114" s="739"/>
      <c r="Z114" s="740" t="s">
        <v>6</v>
      </c>
      <c r="AA114" s="739"/>
      <c r="AB114" s="740"/>
      <c r="AC114" s="739" t="s">
        <v>5</v>
      </c>
      <c r="AD114" s="740"/>
      <c r="AE114" s="739"/>
      <c r="AF114" s="740" t="s">
        <v>6</v>
      </c>
      <c r="AG114" s="739"/>
      <c r="AH114" s="741"/>
      <c r="AK114" s="738" t="s">
        <v>6</v>
      </c>
      <c r="AL114" s="739"/>
      <c r="AM114" s="740"/>
      <c r="AN114" s="739" t="s">
        <v>5</v>
      </c>
      <c r="AO114" s="740"/>
      <c r="AP114" s="739"/>
      <c r="AQ114" s="740" t="s">
        <v>5</v>
      </c>
      <c r="AR114" s="739"/>
      <c r="AS114" s="740"/>
      <c r="AT114" s="739" t="s">
        <v>6</v>
      </c>
      <c r="AU114" s="740"/>
      <c r="AV114" s="739"/>
      <c r="AW114" s="740" t="s">
        <v>5</v>
      </c>
      <c r="AX114" s="739"/>
      <c r="AY114" s="740"/>
      <c r="AZ114" s="739" t="s">
        <v>6</v>
      </c>
      <c r="BA114" s="740"/>
      <c r="BB114" s="739"/>
      <c r="BC114" s="740" t="s">
        <v>6</v>
      </c>
      <c r="BD114" s="739" t="s">
        <v>5</v>
      </c>
      <c r="BE114" s="740" t="s">
        <v>5</v>
      </c>
      <c r="BF114" s="739" t="s">
        <v>6</v>
      </c>
      <c r="BG114" s="740" t="s">
        <v>5</v>
      </c>
      <c r="BH114" s="739" t="s">
        <v>6</v>
      </c>
      <c r="BI114" s="740" t="s">
        <v>6</v>
      </c>
      <c r="BJ114" s="739" t="s">
        <v>6</v>
      </c>
      <c r="BK114" s="740" t="s">
        <v>5</v>
      </c>
      <c r="BL114" s="739" t="s">
        <v>5</v>
      </c>
      <c r="BM114" s="740" t="s">
        <v>6</v>
      </c>
      <c r="BN114" s="739" t="s">
        <v>5</v>
      </c>
      <c r="BO114" s="740" t="s">
        <v>6</v>
      </c>
      <c r="BP114" s="739" t="s">
        <v>6</v>
      </c>
      <c r="BQ114" s="740" t="s">
        <v>5</v>
      </c>
      <c r="BR114" s="739"/>
      <c r="BS114" s="740"/>
      <c r="BT114" s="739"/>
      <c r="BU114" s="740"/>
      <c r="BV114" s="739"/>
      <c r="BW114" s="740"/>
      <c r="BX114" s="739"/>
      <c r="BY114" s="740"/>
      <c r="BZ114" s="739"/>
      <c r="CA114" s="740"/>
      <c r="CB114" s="739"/>
      <c r="CC114" s="740"/>
      <c r="CD114" s="739"/>
      <c r="CE114" s="740"/>
      <c r="CF114" s="739"/>
      <c r="CG114" s="740"/>
      <c r="CH114" s="739"/>
      <c r="CI114" s="740"/>
      <c r="CJ114" s="739"/>
      <c r="CK114" s="740"/>
      <c r="CL114" s="748" t="s">
        <v>6</v>
      </c>
      <c r="CN114" s="713"/>
      <c r="CO114" s="726"/>
    </row>
    <row r="115" spans="2:93">
      <c r="B115" s="161"/>
      <c r="C115" s="67" t="s">
        <v>375</v>
      </c>
      <c r="D115" s="135" t="s">
        <v>135</v>
      </c>
      <c r="E115" s="379">
        <f>SUM(E85,E93,E107,E112)</f>
        <v>0</v>
      </c>
      <c r="F115" s="379">
        <f>SUM(F85,F93,F107,F112)</f>
        <v>0</v>
      </c>
      <c r="G115" s="379">
        <f>SUM(G85,G93,G107,G112)</f>
        <v>0</v>
      </c>
      <c r="H115" s="379">
        <f>SUM(H85,H93,H107,H112)</f>
        <v>0</v>
      </c>
      <c r="I115" s="379">
        <f>SUM(I85,I93,I107,I112)</f>
        <v>0</v>
      </c>
      <c r="J115" s="379">
        <f>SUM(J85,J93,J107,J112)</f>
        <v>0</v>
      </c>
      <c r="K115" s="379">
        <f>SUM(K85,K93,K107,K112)</f>
        <v>0</v>
      </c>
      <c r="L115" s="379">
        <f>SUM(L85,L93,L107,L112)</f>
        <v>0</v>
      </c>
      <c r="M115" s="98"/>
      <c r="N115"/>
      <c r="O115" s="98"/>
      <c r="P115" s="98"/>
      <c r="Q115" s="162"/>
      <c r="T115" s="738" t="s">
        <v>6</v>
      </c>
      <c r="U115" s="739"/>
      <c r="V115" s="740"/>
      <c r="W115" s="739" t="s">
        <v>6</v>
      </c>
      <c r="X115" s="740"/>
      <c r="Y115" s="739"/>
      <c r="Z115" s="740" t="s">
        <v>6</v>
      </c>
      <c r="AA115" s="739"/>
      <c r="AB115" s="740"/>
      <c r="AC115" s="739" t="s">
        <v>5</v>
      </c>
      <c r="AD115" s="740"/>
      <c r="AE115" s="739"/>
      <c r="AF115" s="740" t="s">
        <v>6</v>
      </c>
      <c r="AG115" s="739"/>
      <c r="AH115" s="741"/>
      <c r="AK115" s="738" t="s">
        <v>6</v>
      </c>
      <c r="AL115" s="739"/>
      <c r="AM115" s="740"/>
      <c r="AN115" s="739"/>
      <c r="AO115" s="740"/>
      <c r="AP115" s="739"/>
      <c r="AQ115" s="740"/>
      <c r="AR115" s="739"/>
      <c r="AS115" s="740"/>
      <c r="AT115" s="739"/>
      <c r="AU115" s="740"/>
      <c r="AV115" s="739"/>
      <c r="AW115" s="740"/>
      <c r="AX115" s="739"/>
      <c r="AY115" s="740"/>
      <c r="AZ115" s="739"/>
      <c r="BA115" s="740"/>
      <c r="BB115" s="739"/>
      <c r="BC115" s="740" t="s">
        <v>6</v>
      </c>
      <c r="BD115" s="739"/>
      <c r="BE115" s="740"/>
      <c r="BF115" s="739"/>
      <c r="BG115" s="740"/>
      <c r="BH115" s="739"/>
      <c r="BI115" s="740"/>
      <c r="BJ115" s="739" t="s">
        <v>6</v>
      </c>
      <c r="BK115" s="740"/>
      <c r="BL115" s="739"/>
      <c r="BM115" s="740"/>
      <c r="BN115" s="739"/>
      <c r="BO115" s="740"/>
      <c r="BP115" s="739"/>
      <c r="BQ115" s="740" t="s">
        <v>5</v>
      </c>
      <c r="BR115" s="739"/>
      <c r="BS115" s="740"/>
      <c r="BT115" s="739"/>
      <c r="BU115" s="740"/>
      <c r="BV115" s="739"/>
      <c r="BW115" s="740"/>
      <c r="BX115" s="739"/>
      <c r="BY115" s="740"/>
      <c r="BZ115" s="739"/>
      <c r="CA115" s="740"/>
      <c r="CB115" s="739"/>
      <c r="CC115" s="740"/>
      <c r="CD115" s="739"/>
      <c r="CE115" s="740"/>
      <c r="CF115" s="739"/>
      <c r="CG115" s="740"/>
      <c r="CH115" s="739"/>
      <c r="CI115" s="740"/>
      <c r="CJ115" s="739"/>
      <c r="CK115" s="740"/>
      <c r="CL115" s="748" t="s">
        <v>6</v>
      </c>
      <c r="CN115" s="713"/>
      <c r="CO115" s="726"/>
    </row>
    <row r="116" spans="2:93">
      <c r="B116" s="161"/>
      <c r="C116" s="26"/>
      <c r="D116" s="26"/>
      <c r="E116" s="26"/>
      <c r="F116" s="26"/>
      <c r="G116" s="26"/>
      <c r="H116" s="26"/>
      <c r="I116" s="26"/>
      <c r="J116" s="26"/>
      <c r="K116" s="26"/>
      <c r="L116" s="26"/>
      <c r="M116" s="26"/>
      <c r="N116" s="26"/>
      <c r="O116" s="26"/>
      <c r="P116" s="26"/>
      <c r="Q116" s="162"/>
      <c r="T116" s="738" t="s">
        <v>5</v>
      </c>
      <c r="U116" s="739"/>
      <c r="V116" s="740"/>
      <c r="W116" s="739" t="s">
        <v>6</v>
      </c>
      <c r="X116" s="740"/>
      <c r="Y116" s="739"/>
      <c r="Z116" s="740" t="s">
        <v>6</v>
      </c>
      <c r="AA116" s="739"/>
      <c r="AB116" s="740"/>
      <c r="AC116" s="739" t="s">
        <v>5</v>
      </c>
      <c r="AD116" s="740"/>
      <c r="AE116" s="739"/>
      <c r="AF116" s="740" t="s">
        <v>6</v>
      </c>
      <c r="AG116" s="739"/>
      <c r="AH116" s="741"/>
      <c r="AK116" s="738" t="s">
        <v>5</v>
      </c>
      <c r="AL116" s="739"/>
      <c r="AM116" s="740"/>
      <c r="AN116" s="739"/>
      <c r="AO116" s="740"/>
      <c r="AP116" s="739"/>
      <c r="AQ116" s="740"/>
      <c r="AR116" s="739"/>
      <c r="AS116" s="740"/>
      <c r="AT116" s="739"/>
      <c r="AU116" s="740"/>
      <c r="AV116" s="739"/>
      <c r="AW116" s="740"/>
      <c r="AX116" s="739"/>
      <c r="AY116" s="740"/>
      <c r="AZ116" s="739"/>
      <c r="BA116" s="740"/>
      <c r="BB116" s="739"/>
      <c r="BC116" s="740" t="s">
        <v>6</v>
      </c>
      <c r="BD116" s="739"/>
      <c r="BE116" s="740"/>
      <c r="BF116" s="739"/>
      <c r="BG116" s="740"/>
      <c r="BH116" s="739"/>
      <c r="BI116" s="740"/>
      <c r="BJ116" s="739" t="s">
        <v>6</v>
      </c>
      <c r="BK116" s="740"/>
      <c r="BL116" s="739"/>
      <c r="BM116" s="740"/>
      <c r="BN116" s="739"/>
      <c r="BO116" s="740"/>
      <c r="BP116" s="739"/>
      <c r="BQ116" s="740" t="s">
        <v>5</v>
      </c>
      <c r="BR116" s="739"/>
      <c r="BS116" s="740"/>
      <c r="BT116" s="739"/>
      <c r="BU116" s="740"/>
      <c r="BV116" s="739"/>
      <c r="BW116" s="740"/>
      <c r="BX116" s="739"/>
      <c r="BY116" s="740"/>
      <c r="BZ116" s="739"/>
      <c r="CA116" s="740"/>
      <c r="CB116" s="739"/>
      <c r="CC116" s="740"/>
      <c r="CD116" s="739"/>
      <c r="CE116" s="740"/>
      <c r="CF116" s="739"/>
      <c r="CG116" s="740"/>
      <c r="CH116" s="739"/>
      <c r="CI116" s="740"/>
      <c r="CJ116" s="739"/>
      <c r="CK116" s="740"/>
      <c r="CL116" s="748" t="s">
        <v>6</v>
      </c>
      <c r="CN116" s="713"/>
      <c r="CO116" s="726"/>
    </row>
    <row r="117" spans="2:93" ht="25.5" hidden="1">
      <c r="B117" s="161"/>
      <c r="C117" s="87" t="s">
        <v>376</v>
      </c>
      <c r="D117" s="125" t="s">
        <v>135</v>
      </c>
      <c r="E117" s="378">
        <f>IFERROR('Pre 16 Ready Reckoner'!$M$68,0)</f>
        <v>0</v>
      </c>
      <c r="F117" s="378">
        <f>IFERROR(SUM('Pre 16 Ready Reckoner'!Q$68:Q$70),0)</f>
        <v>0</v>
      </c>
      <c r="G117" s="378">
        <f>IFERROR(SUM('Pre 16 Ready Reckoner'!R$68:R$70),0)</f>
        <v>0</v>
      </c>
      <c r="H117" s="378">
        <f>IFERROR(SUM('Pre 16 Ready Reckoner'!S$68:S$70),0)</f>
        <v>0</v>
      </c>
      <c r="I117" s="378">
        <f>IFERROR(SUM('Pre 16 Ready Reckoner'!T$68:T$70),0)</f>
        <v>0</v>
      </c>
      <c r="J117" s="378">
        <f>IFERROR(SUM('Pre 16 Ready Reckoner'!U$68:U$70),0)</f>
        <v>0</v>
      </c>
      <c r="K117" s="378">
        <f>IFERROR(SUM('Pre 16 Ready Reckoner'!V$68:V$70),0)</f>
        <v>0</v>
      </c>
      <c r="L117" s="378">
        <f>IFERROR(SUM('Pre 16 Ready Reckoner'!W$68:W$70),0)</f>
        <v>0</v>
      </c>
      <c r="M117" s="26"/>
      <c r="N117" s="571" t="s">
        <v>810</v>
      </c>
      <c r="O117" s="26"/>
      <c r="P117" s="26"/>
      <c r="Q117" s="162"/>
      <c r="T117" s="738" t="s">
        <v>5</v>
      </c>
      <c r="U117" s="739"/>
      <c r="V117" s="740"/>
      <c r="W117" s="739" t="s">
        <v>6</v>
      </c>
      <c r="X117" s="740"/>
      <c r="Y117" s="739"/>
      <c r="Z117" s="740" t="s">
        <v>6</v>
      </c>
      <c r="AA117" s="739"/>
      <c r="AB117" s="740"/>
      <c r="AC117" s="739" t="s">
        <v>5</v>
      </c>
      <c r="AD117" s="740"/>
      <c r="AE117" s="739"/>
      <c r="AF117" s="740" t="s">
        <v>6</v>
      </c>
      <c r="AG117" s="739"/>
      <c r="AH117" s="741"/>
      <c r="AK117" s="738" t="s">
        <v>5</v>
      </c>
      <c r="AL117" s="739"/>
      <c r="AM117" s="740"/>
      <c r="AN117" s="739"/>
      <c r="AO117" s="740"/>
      <c r="AP117" s="739"/>
      <c r="AQ117" s="740"/>
      <c r="AR117" s="739"/>
      <c r="AS117" s="740"/>
      <c r="AT117" s="739"/>
      <c r="AU117" s="740"/>
      <c r="AV117" s="739"/>
      <c r="AW117" s="740"/>
      <c r="AX117" s="739"/>
      <c r="AY117" s="740"/>
      <c r="AZ117" s="739"/>
      <c r="BA117" s="740"/>
      <c r="BB117" s="739"/>
      <c r="BC117" s="740" t="s">
        <v>6</v>
      </c>
      <c r="BD117" s="739" t="s">
        <v>6</v>
      </c>
      <c r="BE117" s="740" t="s">
        <v>6</v>
      </c>
      <c r="BF117" s="739" t="s">
        <v>6</v>
      </c>
      <c r="BG117" s="740" t="s">
        <v>6</v>
      </c>
      <c r="BH117" s="739" t="s">
        <v>6</v>
      </c>
      <c r="BI117" s="740" t="s">
        <v>5</v>
      </c>
      <c r="BJ117" s="739" t="s">
        <v>6</v>
      </c>
      <c r="BK117" s="740" t="s">
        <v>6</v>
      </c>
      <c r="BL117" s="739" t="s">
        <v>6</v>
      </c>
      <c r="BM117" s="740" t="s">
        <v>6</v>
      </c>
      <c r="BN117" s="739" t="s">
        <v>6</v>
      </c>
      <c r="BO117" s="740" t="s">
        <v>6</v>
      </c>
      <c r="BP117" s="739" t="s">
        <v>5</v>
      </c>
      <c r="BQ117" s="740" t="s">
        <v>5</v>
      </c>
      <c r="BR117" s="739"/>
      <c r="BS117" s="740"/>
      <c r="BT117" s="739"/>
      <c r="BU117" s="740"/>
      <c r="BV117" s="739"/>
      <c r="BW117" s="740"/>
      <c r="BX117" s="739"/>
      <c r="BY117" s="740"/>
      <c r="BZ117" s="739"/>
      <c r="CA117" s="740"/>
      <c r="CB117" s="739"/>
      <c r="CC117" s="740"/>
      <c r="CD117" s="739"/>
      <c r="CE117" s="740"/>
      <c r="CF117" s="739"/>
      <c r="CG117" s="740"/>
      <c r="CH117" s="739"/>
      <c r="CI117" s="740"/>
      <c r="CJ117" s="739"/>
      <c r="CK117" s="740"/>
      <c r="CL117" s="748" t="s">
        <v>6</v>
      </c>
      <c r="CN117" s="713"/>
      <c r="CO117" s="726"/>
    </row>
    <row r="118" spans="2:93">
      <c r="B118" s="161"/>
      <c r="C118" s="28"/>
      <c r="D118" s="28"/>
      <c r="E118" s="28"/>
      <c r="F118" s="28"/>
      <c r="G118" s="28"/>
      <c r="H118" s="28"/>
      <c r="I118" s="28"/>
      <c r="J118" s="28"/>
      <c r="K118" s="28"/>
      <c r="L118" s="28"/>
      <c r="M118" s="28"/>
      <c r="N118" s="28"/>
      <c r="O118" s="28"/>
      <c r="P118" s="28"/>
      <c r="Q118" s="162"/>
      <c r="T118" s="738" t="s">
        <v>6</v>
      </c>
      <c r="U118" s="739"/>
      <c r="V118" s="740"/>
      <c r="W118" s="739" t="s">
        <v>6</v>
      </c>
      <c r="X118" s="740"/>
      <c r="Y118" s="739"/>
      <c r="Z118" s="740" t="s">
        <v>6</v>
      </c>
      <c r="AA118" s="739"/>
      <c r="AB118" s="740"/>
      <c r="AC118" s="739" t="s">
        <v>5</v>
      </c>
      <c r="AD118" s="740"/>
      <c r="AE118" s="739"/>
      <c r="AF118" s="740" t="s">
        <v>6</v>
      </c>
      <c r="AG118" s="739"/>
      <c r="AH118" s="741"/>
      <c r="AK118" s="738" t="s">
        <v>6</v>
      </c>
      <c r="AL118" s="739"/>
      <c r="AM118" s="740"/>
      <c r="AN118" s="739"/>
      <c r="AO118" s="740"/>
      <c r="AP118" s="739"/>
      <c r="AQ118" s="740"/>
      <c r="AR118" s="739"/>
      <c r="AS118" s="740"/>
      <c r="AT118" s="739"/>
      <c r="AU118" s="740"/>
      <c r="AV118" s="739"/>
      <c r="AW118" s="740"/>
      <c r="AX118" s="739"/>
      <c r="AY118" s="740"/>
      <c r="AZ118" s="739"/>
      <c r="BA118" s="740"/>
      <c r="BB118" s="739"/>
      <c r="BC118" s="740" t="s">
        <v>6</v>
      </c>
      <c r="BD118" s="739"/>
      <c r="BE118" s="740"/>
      <c r="BF118" s="739"/>
      <c r="BG118" s="740"/>
      <c r="BH118" s="739"/>
      <c r="BI118" s="740"/>
      <c r="BJ118" s="739" t="s">
        <v>6</v>
      </c>
      <c r="BK118" s="740"/>
      <c r="BL118" s="739"/>
      <c r="BM118" s="740"/>
      <c r="BN118" s="739"/>
      <c r="BO118" s="740"/>
      <c r="BP118" s="739"/>
      <c r="BQ118" s="740" t="s">
        <v>5</v>
      </c>
      <c r="BR118" s="739"/>
      <c r="BS118" s="740"/>
      <c r="BT118" s="739"/>
      <c r="BU118" s="740"/>
      <c r="BV118" s="739"/>
      <c r="BW118" s="740"/>
      <c r="BX118" s="739"/>
      <c r="BY118" s="740"/>
      <c r="BZ118" s="739"/>
      <c r="CA118" s="740"/>
      <c r="CB118" s="739"/>
      <c r="CC118" s="740"/>
      <c r="CD118" s="739"/>
      <c r="CE118" s="740"/>
      <c r="CF118" s="739"/>
      <c r="CG118" s="740"/>
      <c r="CH118" s="739"/>
      <c r="CI118" s="740"/>
      <c r="CJ118" s="739"/>
      <c r="CK118" s="740"/>
      <c r="CL118" s="748" t="s">
        <v>6</v>
      </c>
      <c r="CN118" s="713"/>
      <c r="CO118" s="726"/>
    </row>
    <row r="119" spans="2:93">
      <c r="B119" s="161"/>
      <c r="C119" s="26" t="s">
        <v>1067</v>
      </c>
      <c r="D119" s="26"/>
      <c r="E119" s="26"/>
      <c r="F119" s="26"/>
      <c r="G119" s="26"/>
      <c r="H119" s="26"/>
      <c r="I119" s="26"/>
      <c r="J119" s="26"/>
      <c r="K119" s="26"/>
      <c r="L119" s="26"/>
      <c r="M119" s="26"/>
      <c r="N119" s="26"/>
      <c r="O119" s="26"/>
      <c r="P119" s="26"/>
      <c r="Q119" s="162"/>
      <c r="T119" s="738" t="s">
        <v>6</v>
      </c>
      <c r="U119" s="739"/>
      <c r="V119" s="740"/>
      <c r="W119" s="739" t="s">
        <v>6</v>
      </c>
      <c r="X119" s="740"/>
      <c r="Y119" s="739"/>
      <c r="Z119" s="740" t="s">
        <v>6</v>
      </c>
      <c r="AA119" s="739"/>
      <c r="AB119" s="740"/>
      <c r="AC119" s="739" t="s">
        <v>6</v>
      </c>
      <c r="AD119" s="740"/>
      <c r="AE119" s="739"/>
      <c r="AF119" s="740" t="s">
        <v>6</v>
      </c>
      <c r="AG119" s="739"/>
      <c r="AH119" s="741"/>
      <c r="AK119" s="738" t="s">
        <v>6</v>
      </c>
      <c r="AL119" s="739"/>
      <c r="AM119" s="740"/>
      <c r="AN119" s="739"/>
      <c r="AO119" s="740"/>
      <c r="AP119" s="739"/>
      <c r="AQ119" s="740"/>
      <c r="AR119" s="739"/>
      <c r="AS119" s="740"/>
      <c r="AT119" s="739"/>
      <c r="AU119" s="740"/>
      <c r="AV119" s="739"/>
      <c r="AW119" s="740"/>
      <c r="AX119" s="739"/>
      <c r="AY119" s="740"/>
      <c r="AZ119" s="739"/>
      <c r="BA119" s="740"/>
      <c r="BB119" s="739"/>
      <c r="BC119" s="740" t="s">
        <v>6</v>
      </c>
      <c r="BD119" s="739"/>
      <c r="BE119" s="740"/>
      <c r="BF119" s="739"/>
      <c r="BG119" s="740"/>
      <c r="BH119" s="739"/>
      <c r="BI119" s="740"/>
      <c r="BJ119" s="739" t="s">
        <v>6</v>
      </c>
      <c r="BK119" s="740"/>
      <c r="BL119" s="739"/>
      <c r="BM119" s="740"/>
      <c r="BN119" s="739"/>
      <c r="BO119" s="740"/>
      <c r="BP119" s="739"/>
      <c r="BQ119" s="740" t="s">
        <v>6</v>
      </c>
      <c r="BR119" s="739"/>
      <c r="BS119" s="740"/>
      <c r="BT119" s="739"/>
      <c r="BU119" s="740"/>
      <c r="BV119" s="739"/>
      <c r="BW119" s="740"/>
      <c r="BX119" s="739"/>
      <c r="BY119" s="740"/>
      <c r="BZ119" s="739"/>
      <c r="CA119" s="740"/>
      <c r="CB119" s="739"/>
      <c r="CC119" s="740"/>
      <c r="CD119" s="739"/>
      <c r="CE119" s="740"/>
      <c r="CF119" s="739"/>
      <c r="CG119" s="740"/>
      <c r="CH119" s="739"/>
      <c r="CI119" s="740"/>
      <c r="CJ119" s="739"/>
      <c r="CK119" s="740"/>
      <c r="CL119" s="748" t="s">
        <v>6</v>
      </c>
      <c r="CN119" s="713"/>
      <c r="CO119" s="726"/>
    </row>
    <row r="120" spans="2:93">
      <c r="B120" s="161"/>
      <c r="C120" s="28" t="s">
        <v>1068</v>
      </c>
      <c r="D120" s="125" t="s">
        <v>135</v>
      </c>
      <c r="E120" s="94">
        <f>E193</f>
        <v>0</v>
      </c>
      <c r="F120" s="94">
        <f>F193</f>
        <v>0</v>
      </c>
      <c r="G120" s="94">
        <f>G193</f>
        <v>0</v>
      </c>
      <c r="H120" s="94">
        <f>H193</f>
        <v>0</v>
      </c>
      <c r="I120" s="94">
        <f>I193</f>
        <v>0</v>
      </c>
      <c r="J120" s="94">
        <f>J193</f>
        <v>0</v>
      </c>
      <c r="K120" s="94">
        <f>K193</f>
        <v>0</v>
      </c>
      <c r="L120" s="94">
        <f>L193</f>
        <v>0</v>
      </c>
      <c r="M120" s="28"/>
      <c r="N120"/>
      <c r="O120" s="28"/>
      <c r="P120" s="28"/>
      <c r="Q120" s="162"/>
      <c r="T120" s="738" t="s">
        <v>6</v>
      </c>
      <c r="U120" s="739"/>
      <c r="V120" s="740"/>
      <c r="W120" s="739" t="s">
        <v>6</v>
      </c>
      <c r="X120" s="740"/>
      <c r="Y120" s="739"/>
      <c r="Z120" s="740" t="s">
        <v>6</v>
      </c>
      <c r="AA120" s="739"/>
      <c r="AB120" s="740"/>
      <c r="AC120" s="739" t="s">
        <v>6</v>
      </c>
      <c r="AD120" s="740"/>
      <c r="AE120" s="739"/>
      <c r="AF120" s="740" t="s">
        <v>6</v>
      </c>
      <c r="AG120" s="739"/>
      <c r="AH120" s="741"/>
      <c r="AK120" s="738" t="s">
        <v>6</v>
      </c>
      <c r="AL120" s="739"/>
      <c r="AM120" s="740"/>
      <c r="AN120" s="739"/>
      <c r="AO120" s="740"/>
      <c r="AP120" s="739"/>
      <c r="AQ120" s="740"/>
      <c r="AR120" s="739"/>
      <c r="AS120" s="740"/>
      <c r="AT120" s="739"/>
      <c r="AU120" s="740"/>
      <c r="AV120" s="739"/>
      <c r="AW120" s="740"/>
      <c r="AX120" s="739"/>
      <c r="AY120" s="740"/>
      <c r="AZ120" s="739"/>
      <c r="BA120" s="740"/>
      <c r="BB120" s="739"/>
      <c r="BC120" s="740" t="s">
        <v>6</v>
      </c>
      <c r="BD120" s="739"/>
      <c r="BE120" s="740"/>
      <c r="BF120" s="739"/>
      <c r="BG120" s="740"/>
      <c r="BH120" s="739"/>
      <c r="BI120" s="740"/>
      <c r="BJ120" s="739" t="s">
        <v>6</v>
      </c>
      <c r="BK120" s="740"/>
      <c r="BL120" s="739"/>
      <c r="BM120" s="740"/>
      <c r="BN120" s="739"/>
      <c r="BO120" s="740"/>
      <c r="BP120" s="739"/>
      <c r="BQ120" s="740" t="s">
        <v>6</v>
      </c>
      <c r="BR120" s="739"/>
      <c r="BS120" s="740"/>
      <c r="BT120" s="739"/>
      <c r="BU120" s="740"/>
      <c r="BV120" s="739"/>
      <c r="BW120" s="740"/>
      <c r="BX120" s="739"/>
      <c r="BY120" s="740"/>
      <c r="BZ120" s="739"/>
      <c r="CA120" s="740"/>
      <c r="CB120" s="739"/>
      <c r="CC120" s="740"/>
      <c r="CD120" s="739"/>
      <c r="CE120" s="740"/>
      <c r="CF120" s="739"/>
      <c r="CG120" s="740"/>
      <c r="CH120" s="739"/>
      <c r="CI120" s="740"/>
      <c r="CJ120" s="739"/>
      <c r="CK120" s="740"/>
      <c r="CL120" s="748" t="s">
        <v>6</v>
      </c>
      <c r="CN120" s="713"/>
      <c r="CO120" s="726"/>
    </row>
    <row r="121" spans="2:93">
      <c r="B121" s="161"/>
      <c r="C121" s="57" t="s">
        <v>1069</v>
      </c>
      <c r="D121" s="125" t="s">
        <v>135</v>
      </c>
      <c r="E121" s="575"/>
      <c r="F121" s="575"/>
      <c r="G121" s="575"/>
      <c r="H121" s="575"/>
      <c r="I121" s="575"/>
      <c r="J121" s="575"/>
      <c r="K121" s="575"/>
      <c r="L121" s="575"/>
      <c r="M121" s="28"/>
      <c r="N121"/>
      <c r="O121" s="28"/>
      <c r="P121" s="57"/>
      <c r="Q121" s="162"/>
      <c r="T121" s="738" t="s">
        <v>6</v>
      </c>
      <c r="U121" s="739"/>
      <c r="V121" s="740"/>
      <c r="W121" s="739" t="s">
        <v>6</v>
      </c>
      <c r="X121" s="740"/>
      <c r="Y121" s="739"/>
      <c r="Z121" s="740" t="s">
        <v>6</v>
      </c>
      <c r="AA121" s="739"/>
      <c r="AB121" s="740"/>
      <c r="AC121" s="739" t="s">
        <v>6</v>
      </c>
      <c r="AD121" s="740"/>
      <c r="AE121" s="739"/>
      <c r="AF121" s="740" t="s">
        <v>6</v>
      </c>
      <c r="AG121" s="739"/>
      <c r="AH121" s="741"/>
      <c r="AK121" s="738" t="s">
        <v>6</v>
      </c>
      <c r="AL121" s="739"/>
      <c r="AM121" s="740"/>
      <c r="AN121" s="739"/>
      <c r="AO121" s="740"/>
      <c r="AP121" s="739"/>
      <c r="AQ121" s="740"/>
      <c r="AR121" s="739"/>
      <c r="AS121" s="740"/>
      <c r="AT121" s="739"/>
      <c r="AU121" s="740"/>
      <c r="AV121" s="739"/>
      <c r="AW121" s="740"/>
      <c r="AX121" s="739"/>
      <c r="AY121" s="740"/>
      <c r="AZ121" s="739"/>
      <c r="BA121" s="740"/>
      <c r="BB121" s="739"/>
      <c r="BC121" s="740" t="s">
        <v>6</v>
      </c>
      <c r="BD121" s="739"/>
      <c r="BE121" s="740"/>
      <c r="BF121" s="739"/>
      <c r="BG121" s="740"/>
      <c r="BH121" s="739"/>
      <c r="BI121" s="740"/>
      <c r="BJ121" s="739" t="s">
        <v>6</v>
      </c>
      <c r="BK121" s="740"/>
      <c r="BL121" s="739"/>
      <c r="BM121" s="740"/>
      <c r="BN121" s="739"/>
      <c r="BO121" s="740"/>
      <c r="BP121" s="739"/>
      <c r="BQ121" s="740" t="s">
        <v>6</v>
      </c>
      <c r="BR121" s="739"/>
      <c r="BS121" s="740"/>
      <c r="BT121" s="739"/>
      <c r="BU121" s="740"/>
      <c r="BV121" s="739"/>
      <c r="BW121" s="740"/>
      <c r="BX121" s="739"/>
      <c r="BY121" s="740"/>
      <c r="BZ121" s="739"/>
      <c r="CA121" s="740"/>
      <c r="CB121" s="739"/>
      <c r="CC121" s="740"/>
      <c r="CD121" s="739"/>
      <c r="CE121" s="740"/>
      <c r="CF121" s="739"/>
      <c r="CG121" s="740"/>
      <c r="CH121" s="739"/>
      <c r="CI121" s="740"/>
      <c r="CJ121" s="739"/>
      <c r="CK121" s="740"/>
      <c r="CL121" s="748" t="s">
        <v>6</v>
      </c>
      <c r="CN121" s="713"/>
      <c r="CO121" s="726"/>
    </row>
    <row r="122" spans="2:93">
      <c r="B122" s="161"/>
      <c r="C122" s="57" t="s">
        <v>1070</v>
      </c>
      <c r="D122" s="125" t="s">
        <v>135</v>
      </c>
      <c r="E122" s="575"/>
      <c r="F122" s="575"/>
      <c r="G122" s="575"/>
      <c r="H122" s="575"/>
      <c r="I122" s="575"/>
      <c r="J122" s="575"/>
      <c r="K122" s="575"/>
      <c r="L122" s="575"/>
      <c r="M122" s="28"/>
      <c r="N122"/>
      <c r="O122" s="28"/>
      <c r="P122" s="57"/>
      <c r="Q122" s="162"/>
      <c r="T122" s="738" t="s">
        <v>6</v>
      </c>
      <c r="U122" s="739"/>
      <c r="V122" s="740"/>
      <c r="W122" s="739" t="s">
        <v>6</v>
      </c>
      <c r="X122" s="740"/>
      <c r="Y122" s="739"/>
      <c r="Z122" s="740" t="s">
        <v>6</v>
      </c>
      <c r="AA122" s="739"/>
      <c r="AB122" s="740"/>
      <c r="AC122" s="739" t="s">
        <v>6</v>
      </c>
      <c r="AD122" s="740"/>
      <c r="AE122" s="739"/>
      <c r="AF122" s="740" t="s">
        <v>6</v>
      </c>
      <c r="AG122" s="739"/>
      <c r="AH122" s="741"/>
      <c r="AK122" s="738" t="s">
        <v>6</v>
      </c>
      <c r="AL122" s="739"/>
      <c r="AM122" s="740"/>
      <c r="AN122" s="739"/>
      <c r="AO122" s="740"/>
      <c r="AP122" s="739"/>
      <c r="AQ122" s="740"/>
      <c r="AR122" s="739"/>
      <c r="AS122" s="740"/>
      <c r="AT122" s="739"/>
      <c r="AU122" s="740"/>
      <c r="AV122" s="739"/>
      <c r="AW122" s="740"/>
      <c r="AX122" s="739"/>
      <c r="AY122" s="740"/>
      <c r="AZ122" s="739"/>
      <c r="BA122" s="740"/>
      <c r="BB122" s="739"/>
      <c r="BC122" s="740" t="s">
        <v>6</v>
      </c>
      <c r="BD122" s="739"/>
      <c r="BE122" s="740"/>
      <c r="BF122" s="739"/>
      <c r="BG122" s="740"/>
      <c r="BH122" s="739"/>
      <c r="BI122" s="740"/>
      <c r="BJ122" s="739" t="s">
        <v>6</v>
      </c>
      <c r="BK122" s="740"/>
      <c r="BL122" s="739"/>
      <c r="BM122" s="740"/>
      <c r="BN122" s="739"/>
      <c r="BO122" s="740"/>
      <c r="BP122" s="739"/>
      <c r="BQ122" s="740" t="s">
        <v>6</v>
      </c>
      <c r="BR122" s="739"/>
      <c r="BS122" s="740"/>
      <c r="BT122" s="739"/>
      <c r="BU122" s="740"/>
      <c r="BV122" s="739"/>
      <c r="BW122" s="740"/>
      <c r="BX122" s="739"/>
      <c r="BY122" s="740"/>
      <c r="BZ122" s="739"/>
      <c r="CA122" s="740"/>
      <c r="CB122" s="739"/>
      <c r="CC122" s="740"/>
      <c r="CD122" s="739"/>
      <c r="CE122" s="740"/>
      <c r="CF122" s="739"/>
      <c r="CG122" s="740"/>
      <c r="CH122" s="739"/>
      <c r="CI122" s="740"/>
      <c r="CJ122" s="739"/>
      <c r="CK122" s="740"/>
      <c r="CL122" s="748" t="s">
        <v>6</v>
      </c>
      <c r="CN122" s="713"/>
      <c r="CO122" s="726"/>
    </row>
    <row r="123" spans="2:93">
      <c r="B123" s="161"/>
      <c r="C123" s="57" t="s">
        <v>1071</v>
      </c>
      <c r="D123" s="125" t="s">
        <v>135</v>
      </c>
      <c r="E123" s="575"/>
      <c r="F123" s="575"/>
      <c r="G123" s="575"/>
      <c r="H123" s="575"/>
      <c r="I123" s="575"/>
      <c r="J123" s="575"/>
      <c r="K123" s="575"/>
      <c r="L123" s="575"/>
      <c r="M123" s="28"/>
      <c r="N123"/>
      <c r="O123" s="28"/>
      <c r="P123" s="57"/>
      <c r="Q123" s="162"/>
      <c r="T123" s="738" t="s">
        <v>6</v>
      </c>
      <c r="U123" s="739"/>
      <c r="V123" s="740"/>
      <c r="W123" s="739" t="s">
        <v>6</v>
      </c>
      <c r="X123" s="740"/>
      <c r="Y123" s="739"/>
      <c r="Z123" s="740" t="s">
        <v>6</v>
      </c>
      <c r="AA123" s="739"/>
      <c r="AB123" s="740"/>
      <c r="AC123" s="739" t="s">
        <v>6</v>
      </c>
      <c r="AD123" s="740"/>
      <c r="AE123" s="739"/>
      <c r="AF123" s="740" t="s">
        <v>6</v>
      </c>
      <c r="AG123" s="739"/>
      <c r="AH123" s="741"/>
      <c r="AK123" s="738" t="s">
        <v>6</v>
      </c>
      <c r="AL123" s="739"/>
      <c r="AM123" s="740"/>
      <c r="AN123" s="739"/>
      <c r="AO123" s="740"/>
      <c r="AP123" s="739"/>
      <c r="AQ123" s="740"/>
      <c r="AR123" s="739"/>
      <c r="AS123" s="740"/>
      <c r="AT123" s="739"/>
      <c r="AU123" s="740"/>
      <c r="AV123" s="739"/>
      <c r="AW123" s="740"/>
      <c r="AX123" s="739"/>
      <c r="AY123" s="740"/>
      <c r="AZ123" s="739"/>
      <c r="BA123" s="740"/>
      <c r="BB123" s="739"/>
      <c r="BC123" s="740" t="s">
        <v>6</v>
      </c>
      <c r="BD123" s="739"/>
      <c r="BE123" s="740"/>
      <c r="BF123" s="739"/>
      <c r="BG123" s="740"/>
      <c r="BH123" s="739"/>
      <c r="BI123" s="740"/>
      <c r="BJ123" s="739" t="s">
        <v>6</v>
      </c>
      <c r="BK123" s="740"/>
      <c r="BL123" s="739"/>
      <c r="BM123" s="740"/>
      <c r="BN123" s="739"/>
      <c r="BO123" s="740"/>
      <c r="BP123" s="739"/>
      <c r="BQ123" s="740" t="s">
        <v>6</v>
      </c>
      <c r="BR123" s="739"/>
      <c r="BS123" s="740"/>
      <c r="BT123" s="739"/>
      <c r="BU123" s="740"/>
      <c r="BV123" s="739"/>
      <c r="BW123" s="740"/>
      <c r="BX123" s="739"/>
      <c r="BY123" s="740"/>
      <c r="BZ123" s="739"/>
      <c r="CA123" s="740"/>
      <c r="CB123" s="739"/>
      <c r="CC123" s="740"/>
      <c r="CD123" s="739"/>
      <c r="CE123" s="740"/>
      <c r="CF123" s="739"/>
      <c r="CG123" s="740"/>
      <c r="CH123" s="739"/>
      <c r="CI123" s="740"/>
      <c r="CJ123" s="739"/>
      <c r="CK123" s="740"/>
      <c r="CL123" s="748" t="s">
        <v>6</v>
      </c>
      <c r="CN123" s="713"/>
      <c r="CO123" s="726"/>
    </row>
    <row r="124" spans="2:93">
      <c r="B124" s="161"/>
      <c r="C124" s="57" t="s">
        <v>1072</v>
      </c>
      <c r="D124" s="125" t="s">
        <v>135</v>
      </c>
      <c r="E124" s="575"/>
      <c r="F124" s="575"/>
      <c r="G124" s="575"/>
      <c r="H124" s="575"/>
      <c r="I124" s="575"/>
      <c r="J124" s="575"/>
      <c r="K124" s="575"/>
      <c r="L124" s="575"/>
      <c r="M124" s="28"/>
      <c r="N124"/>
      <c r="O124" s="28"/>
      <c r="P124" s="57"/>
      <c r="Q124" s="162"/>
      <c r="T124" s="738" t="s">
        <v>6</v>
      </c>
      <c r="U124" s="739"/>
      <c r="V124" s="740"/>
      <c r="W124" s="739" t="s">
        <v>6</v>
      </c>
      <c r="X124" s="740"/>
      <c r="Y124" s="739"/>
      <c r="Z124" s="740" t="s">
        <v>6</v>
      </c>
      <c r="AA124" s="739"/>
      <c r="AB124" s="740"/>
      <c r="AC124" s="739" t="s">
        <v>6</v>
      </c>
      <c r="AD124" s="740"/>
      <c r="AE124" s="739"/>
      <c r="AF124" s="740" t="s">
        <v>6</v>
      </c>
      <c r="AG124" s="739"/>
      <c r="AH124" s="741"/>
      <c r="AK124" s="738" t="s">
        <v>6</v>
      </c>
      <c r="AL124" s="739"/>
      <c r="AM124" s="740"/>
      <c r="AN124" s="739"/>
      <c r="AO124" s="740"/>
      <c r="AP124" s="739"/>
      <c r="AQ124" s="740"/>
      <c r="AR124" s="739"/>
      <c r="AS124" s="740"/>
      <c r="AT124" s="739"/>
      <c r="AU124" s="740"/>
      <c r="AV124" s="739"/>
      <c r="AW124" s="740"/>
      <c r="AX124" s="739"/>
      <c r="AY124" s="740"/>
      <c r="AZ124" s="739"/>
      <c r="BA124" s="740"/>
      <c r="BB124" s="739"/>
      <c r="BC124" s="740" t="s">
        <v>6</v>
      </c>
      <c r="BD124" s="739"/>
      <c r="BE124" s="740"/>
      <c r="BF124" s="739"/>
      <c r="BG124" s="740"/>
      <c r="BH124" s="739"/>
      <c r="BI124" s="740"/>
      <c r="BJ124" s="739" t="s">
        <v>6</v>
      </c>
      <c r="BK124" s="740"/>
      <c r="BL124" s="739"/>
      <c r="BM124" s="740"/>
      <c r="BN124" s="739"/>
      <c r="BO124" s="740"/>
      <c r="BP124" s="739"/>
      <c r="BQ124" s="740" t="s">
        <v>6</v>
      </c>
      <c r="BR124" s="739"/>
      <c r="BS124" s="740"/>
      <c r="BT124" s="739"/>
      <c r="BU124" s="740"/>
      <c r="BV124" s="739"/>
      <c r="BW124" s="740"/>
      <c r="BX124" s="739"/>
      <c r="BY124" s="740"/>
      <c r="BZ124" s="739"/>
      <c r="CA124" s="740"/>
      <c r="CB124" s="739"/>
      <c r="CC124" s="740"/>
      <c r="CD124" s="739"/>
      <c r="CE124" s="740"/>
      <c r="CF124" s="739"/>
      <c r="CG124" s="740"/>
      <c r="CH124" s="739"/>
      <c r="CI124" s="740"/>
      <c r="CJ124" s="739"/>
      <c r="CK124" s="740"/>
      <c r="CL124" s="748" t="s">
        <v>6</v>
      </c>
      <c r="CN124" s="713"/>
      <c r="CO124" s="726"/>
    </row>
    <row r="125" spans="2:93">
      <c r="B125" s="161"/>
      <c r="C125" s="26"/>
      <c r="D125" s="26"/>
      <c r="E125" s="26"/>
      <c r="F125" s="26"/>
      <c r="G125" s="26"/>
      <c r="H125" s="26"/>
      <c r="I125" s="26"/>
      <c r="J125" s="26"/>
      <c r="K125" s="26"/>
      <c r="L125" s="26"/>
      <c r="M125" s="26"/>
      <c r="N125" s="26"/>
      <c r="O125" s="26"/>
      <c r="P125" s="26"/>
      <c r="Q125" s="162"/>
      <c r="T125" s="738" t="s">
        <v>6</v>
      </c>
      <c r="U125" s="739"/>
      <c r="V125" s="740"/>
      <c r="W125" s="739" t="s">
        <v>6</v>
      </c>
      <c r="X125" s="740"/>
      <c r="Y125" s="739"/>
      <c r="Z125" s="740" t="s">
        <v>6</v>
      </c>
      <c r="AA125" s="739"/>
      <c r="AB125" s="740"/>
      <c r="AC125" s="739" t="s">
        <v>6</v>
      </c>
      <c r="AD125" s="740"/>
      <c r="AE125" s="739"/>
      <c r="AF125" s="740" t="s">
        <v>6</v>
      </c>
      <c r="AG125" s="739"/>
      <c r="AH125" s="741"/>
      <c r="AK125" s="738" t="s">
        <v>6</v>
      </c>
      <c r="AL125" s="739"/>
      <c r="AM125" s="740"/>
      <c r="AN125" s="739"/>
      <c r="AO125" s="740"/>
      <c r="AP125" s="739"/>
      <c r="AQ125" s="740"/>
      <c r="AR125" s="739"/>
      <c r="AS125" s="740"/>
      <c r="AT125" s="739"/>
      <c r="AU125" s="740"/>
      <c r="AV125" s="739"/>
      <c r="AW125" s="740"/>
      <c r="AX125" s="739"/>
      <c r="AY125" s="740"/>
      <c r="AZ125" s="739"/>
      <c r="BA125" s="740"/>
      <c r="BB125" s="739"/>
      <c r="BC125" s="740" t="s">
        <v>6</v>
      </c>
      <c r="BD125" s="739"/>
      <c r="BE125" s="740"/>
      <c r="BF125" s="739"/>
      <c r="BG125" s="740"/>
      <c r="BH125" s="739"/>
      <c r="BI125" s="740"/>
      <c r="BJ125" s="739" t="s">
        <v>6</v>
      </c>
      <c r="BK125" s="740"/>
      <c r="BL125" s="739"/>
      <c r="BM125" s="740"/>
      <c r="BN125" s="739"/>
      <c r="BO125" s="740"/>
      <c r="BP125" s="739"/>
      <c r="BQ125" s="740" t="s">
        <v>6</v>
      </c>
      <c r="BR125" s="739"/>
      <c r="BS125" s="740"/>
      <c r="BT125" s="739"/>
      <c r="BU125" s="740"/>
      <c r="BV125" s="739"/>
      <c r="BW125" s="740"/>
      <c r="BX125" s="739"/>
      <c r="BY125" s="740"/>
      <c r="BZ125" s="739"/>
      <c r="CA125" s="740"/>
      <c r="CB125" s="739"/>
      <c r="CC125" s="740"/>
      <c r="CD125" s="739"/>
      <c r="CE125" s="740"/>
      <c r="CF125" s="739"/>
      <c r="CG125" s="740"/>
      <c r="CH125" s="739"/>
      <c r="CI125" s="740"/>
      <c r="CJ125" s="739"/>
      <c r="CK125" s="740"/>
      <c r="CL125" s="748" t="s">
        <v>6</v>
      </c>
      <c r="CN125" s="713"/>
      <c r="CO125" s="726"/>
    </row>
    <row r="126" spans="2:93">
      <c r="B126" s="161"/>
      <c r="C126" s="26" t="s">
        <v>1131</v>
      </c>
      <c r="D126" s="26"/>
      <c r="E126" s="26"/>
      <c r="F126" s="26"/>
      <c r="G126" s="26"/>
      <c r="H126" s="26"/>
      <c r="I126" s="26"/>
      <c r="J126" s="26"/>
      <c r="K126" s="26"/>
      <c r="L126" s="26"/>
      <c r="M126" s="26"/>
      <c r="N126" s="26"/>
      <c r="O126" s="26"/>
      <c r="P126" s="26"/>
      <c r="Q126" s="162"/>
      <c r="T126" s="738" t="s">
        <v>6</v>
      </c>
      <c r="U126" s="739"/>
      <c r="V126" s="740"/>
      <c r="W126" s="739" t="s">
        <v>6</v>
      </c>
      <c r="X126" s="740"/>
      <c r="Y126" s="739"/>
      <c r="Z126" s="740" t="s">
        <v>6</v>
      </c>
      <c r="AA126" s="739"/>
      <c r="AB126" s="740"/>
      <c r="AC126" s="739" t="s">
        <v>6</v>
      </c>
      <c r="AD126" s="740"/>
      <c r="AE126" s="739"/>
      <c r="AF126" s="740" t="s">
        <v>6</v>
      </c>
      <c r="AG126" s="739"/>
      <c r="AH126" s="741"/>
      <c r="AK126" s="738" t="s">
        <v>6</v>
      </c>
      <c r="AL126" s="739"/>
      <c r="AM126" s="740"/>
      <c r="AN126" s="739"/>
      <c r="AO126" s="740"/>
      <c r="AP126" s="739"/>
      <c r="AQ126" s="740"/>
      <c r="AR126" s="739"/>
      <c r="AS126" s="740"/>
      <c r="AT126" s="739"/>
      <c r="AU126" s="740"/>
      <c r="AV126" s="739"/>
      <c r="AW126" s="740"/>
      <c r="AX126" s="739"/>
      <c r="AY126" s="740"/>
      <c r="AZ126" s="739"/>
      <c r="BA126" s="740"/>
      <c r="BB126" s="739"/>
      <c r="BC126" s="740" t="s">
        <v>6</v>
      </c>
      <c r="BD126" s="739"/>
      <c r="BE126" s="740"/>
      <c r="BF126" s="739"/>
      <c r="BG126" s="740"/>
      <c r="BH126" s="739"/>
      <c r="BI126" s="740"/>
      <c r="BJ126" s="739" t="s">
        <v>6</v>
      </c>
      <c r="BK126" s="740"/>
      <c r="BL126" s="739"/>
      <c r="BM126" s="740"/>
      <c r="BN126" s="739"/>
      <c r="BO126" s="740"/>
      <c r="BP126" s="739"/>
      <c r="BQ126" s="740" t="s">
        <v>6</v>
      </c>
      <c r="BR126" s="739"/>
      <c r="BS126" s="740"/>
      <c r="BT126" s="739"/>
      <c r="BU126" s="740"/>
      <c r="BV126" s="739"/>
      <c r="BW126" s="740"/>
      <c r="BX126" s="739"/>
      <c r="BY126" s="740"/>
      <c r="BZ126" s="739"/>
      <c r="CA126" s="740"/>
      <c r="CB126" s="739"/>
      <c r="CC126" s="740"/>
      <c r="CD126" s="739"/>
      <c r="CE126" s="740"/>
      <c r="CF126" s="739"/>
      <c r="CG126" s="740"/>
      <c r="CH126" s="739"/>
      <c r="CI126" s="740"/>
      <c r="CJ126" s="739"/>
      <c r="CK126" s="740"/>
      <c r="CL126" s="748" t="s">
        <v>6</v>
      </c>
      <c r="CN126" s="713"/>
      <c r="CO126" s="726"/>
    </row>
    <row r="127" spans="2:93" hidden="1">
      <c r="B127" s="161"/>
      <c r="C127" s="28" t="s">
        <v>377</v>
      </c>
      <c r="D127" s="125" t="s">
        <v>135</v>
      </c>
      <c r="E127" s="575"/>
      <c r="F127" s="575"/>
      <c r="G127" s="575"/>
      <c r="H127" s="575"/>
      <c r="I127" s="575"/>
      <c r="J127" s="575"/>
      <c r="K127" s="575"/>
      <c r="L127" s="575"/>
      <c r="M127" s="28"/>
      <c r="N127" s="28"/>
      <c r="O127" s="28"/>
      <c r="P127" s="28"/>
      <c r="Q127" s="162"/>
      <c r="T127" s="738" t="s">
        <v>5</v>
      </c>
      <c r="U127" s="739"/>
      <c r="V127" s="740"/>
      <c r="W127" s="739" t="s">
        <v>5</v>
      </c>
      <c r="X127" s="740"/>
      <c r="Y127" s="739"/>
      <c r="Z127" s="740" t="s">
        <v>5</v>
      </c>
      <c r="AA127" s="739"/>
      <c r="AB127" s="740"/>
      <c r="AC127" s="739" t="s">
        <v>5</v>
      </c>
      <c r="AD127" s="740"/>
      <c r="AE127" s="739"/>
      <c r="AF127" s="740" t="s">
        <v>6</v>
      </c>
      <c r="AG127" s="739"/>
      <c r="AH127" s="741"/>
      <c r="AK127" s="738" t="s">
        <v>5</v>
      </c>
      <c r="AL127" s="739"/>
      <c r="AM127" s="740"/>
      <c r="AN127" s="739"/>
      <c r="AO127" s="740"/>
      <c r="AP127" s="739"/>
      <c r="AQ127" s="740"/>
      <c r="AR127" s="739"/>
      <c r="AS127" s="740"/>
      <c r="AT127" s="739"/>
      <c r="AU127" s="740"/>
      <c r="AV127" s="739"/>
      <c r="AW127" s="740"/>
      <c r="AX127" s="739"/>
      <c r="AY127" s="740"/>
      <c r="AZ127" s="739"/>
      <c r="BA127" s="740"/>
      <c r="BB127" s="739"/>
      <c r="BC127" s="740" t="s">
        <v>5</v>
      </c>
      <c r="BD127" s="739"/>
      <c r="BE127" s="740"/>
      <c r="BF127" s="739"/>
      <c r="BG127" s="740"/>
      <c r="BH127" s="739"/>
      <c r="BI127" s="740"/>
      <c r="BJ127" s="739" t="s">
        <v>5</v>
      </c>
      <c r="BK127" s="740"/>
      <c r="BL127" s="739"/>
      <c r="BM127" s="740"/>
      <c r="BN127" s="739"/>
      <c r="BO127" s="740"/>
      <c r="BP127" s="739"/>
      <c r="BQ127" s="740" t="s">
        <v>5</v>
      </c>
      <c r="BR127" s="739"/>
      <c r="BS127" s="740"/>
      <c r="BT127" s="739"/>
      <c r="BU127" s="740"/>
      <c r="BV127" s="739"/>
      <c r="BW127" s="740"/>
      <c r="BX127" s="739"/>
      <c r="BY127" s="740"/>
      <c r="BZ127" s="739"/>
      <c r="CA127" s="740"/>
      <c r="CB127" s="739"/>
      <c r="CC127" s="740"/>
      <c r="CD127" s="739"/>
      <c r="CE127" s="740"/>
      <c r="CF127" s="739"/>
      <c r="CG127" s="740"/>
      <c r="CH127" s="739"/>
      <c r="CI127" s="740"/>
      <c r="CJ127" s="739"/>
      <c r="CK127" s="740"/>
      <c r="CL127" s="748" t="s">
        <v>6</v>
      </c>
      <c r="CN127" s="713"/>
      <c r="CO127" s="726"/>
    </row>
    <row r="128" spans="2:93" hidden="1">
      <c r="B128" s="161"/>
      <c r="C128" s="28" t="s">
        <v>378</v>
      </c>
      <c r="D128" s="125" t="s">
        <v>135</v>
      </c>
      <c r="E128" s="575"/>
      <c r="F128" s="575"/>
      <c r="G128" s="575"/>
      <c r="H128" s="575"/>
      <c r="I128" s="575"/>
      <c r="J128" s="575"/>
      <c r="K128" s="575"/>
      <c r="L128" s="575"/>
      <c r="M128" s="28"/>
      <c r="N128" s="28"/>
      <c r="O128" s="28"/>
      <c r="P128" s="28"/>
      <c r="Q128" s="162"/>
      <c r="T128" s="738" t="s">
        <v>5</v>
      </c>
      <c r="U128" s="739"/>
      <c r="V128" s="740"/>
      <c r="W128" s="739" t="s">
        <v>5</v>
      </c>
      <c r="X128" s="740"/>
      <c r="Y128" s="739"/>
      <c r="Z128" s="740" t="s">
        <v>5</v>
      </c>
      <c r="AA128" s="739"/>
      <c r="AB128" s="740"/>
      <c r="AC128" s="739" t="s">
        <v>5</v>
      </c>
      <c r="AD128" s="740"/>
      <c r="AE128" s="739"/>
      <c r="AF128" s="740" t="s">
        <v>6</v>
      </c>
      <c r="AG128" s="739"/>
      <c r="AH128" s="741"/>
      <c r="AK128" s="738" t="s">
        <v>5</v>
      </c>
      <c r="AL128" s="739"/>
      <c r="AM128" s="740"/>
      <c r="AN128" s="739"/>
      <c r="AO128" s="740"/>
      <c r="AP128" s="739"/>
      <c r="AQ128" s="740"/>
      <c r="AR128" s="739"/>
      <c r="AS128" s="740"/>
      <c r="AT128" s="739"/>
      <c r="AU128" s="740"/>
      <c r="AV128" s="739"/>
      <c r="AW128" s="740"/>
      <c r="AX128" s="739"/>
      <c r="AY128" s="740"/>
      <c r="AZ128" s="739"/>
      <c r="BA128" s="740"/>
      <c r="BB128" s="739"/>
      <c r="BC128" s="740" t="s">
        <v>5</v>
      </c>
      <c r="BD128" s="739"/>
      <c r="BE128" s="740"/>
      <c r="BF128" s="739"/>
      <c r="BG128" s="740"/>
      <c r="BH128" s="739"/>
      <c r="BI128" s="740"/>
      <c r="BJ128" s="739" t="s">
        <v>5</v>
      </c>
      <c r="BK128" s="740"/>
      <c r="BL128" s="739"/>
      <c r="BM128" s="740"/>
      <c r="BN128" s="739"/>
      <c r="BO128" s="740"/>
      <c r="BP128" s="739"/>
      <c r="BQ128" s="740" t="s">
        <v>5</v>
      </c>
      <c r="BR128" s="739"/>
      <c r="BS128" s="740"/>
      <c r="BT128" s="739"/>
      <c r="BU128" s="740"/>
      <c r="BV128" s="739"/>
      <c r="BW128" s="740"/>
      <c r="BX128" s="739"/>
      <c r="BY128" s="740"/>
      <c r="BZ128" s="739"/>
      <c r="CA128" s="740"/>
      <c r="CB128" s="739"/>
      <c r="CC128" s="740"/>
      <c r="CD128" s="739"/>
      <c r="CE128" s="740"/>
      <c r="CF128" s="739"/>
      <c r="CG128" s="740"/>
      <c r="CH128" s="739"/>
      <c r="CI128" s="740"/>
      <c r="CJ128" s="739"/>
      <c r="CK128" s="740"/>
      <c r="CL128" s="748" t="s">
        <v>6</v>
      </c>
      <c r="CN128" s="713"/>
      <c r="CO128" s="726"/>
    </row>
    <row r="129" spans="2:93" hidden="1">
      <c r="B129" s="161"/>
      <c r="C129" s="28" t="s">
        <v>359</v>
      </c>
      <c r="D129" s="125" t="s">
        <v>135</v>
      </c>
      <c r="E129" s="575"/>
      <c r="F129" s="575"/>
      <c r="G129" s="575"/>
      <c r="H129" s="575"/>
      <c r="I129" s="575"/>
      <c r="J129" s="575"/>
      <c r="K129" s="575"/>
      <c r="L129" s="575"/>
      <c r="M129" s="28"/>
      <c r="N129" s="28"/>
      <c r="O129" s="28"/>
      <c r="P129" s="28"/>
      <c r="Q129" s="162"/>
      <c r="T129" s="738" t="s">
        <v>5</v>
      </c>
      <c r="U129" s="739"/>
      <c r="V129" s="740"/>
      <c r="W129" s="739" t="s">
        <v>5</v>
      </c>
      <c r="X129" s="740"/>
      <c r="Y129" s="739"/>
      <c r="Z129" s="740" t="s">
        <v>5</v>
      </c>
      <c r="AA129" s="739"/>
      <c r="AB129" s="740"/>
      <c r="AC129" s="739" t="s">
        <v>5</v>
      </c>
      <c r="AD129" s="740"/>
      <c r="AE129" s="739"/>
      <c r="AF129" s="740" t="s">
        <v>6</v>
      </c>
      <c r="AG129" s="739"/>
      <c r="AH129" s="741"/>
      <c r="AK129" s="738" t="s">
        <v>5</v>
      </c>
      <c r="AL129" s="739"/>
      <c r="AM129" s="740"/>
      <c r="AN129" s="739"/>
      <c r="AO129" s="740"/>
      <c r="AP129" s="739"/>
      <c r="AQ129" s="740"/>
      <c r="AR129" s="739"/>
      <c r="AS129" s="740"/>
      <c r="AT129" s="739"/>
      <c r="AU129" s="740"/>
      <c r="AV129" s="739"/>
      <c r="AW129" s="740"/>
      <c r="AX129" s="739"/>
      <c r="AY129" s="740"/>
      <c r="AZ129" s="739"/>
      <c r="BA129" s="740"/>
      <c r="BB129" s="739"/>
      <c r="BC129" s="740" t="s">
        <v>5</v>
      </c>
      <c r="BD129" s="739"/>
      <c r="BE129" s="740"/>
      <c r="BF129" s="739"/>
      <c r="BG129" s="740"/>
      <c r="BH129" s="739"/>
      <c r="BI129" s="740"/>
      <c r="BJ129" s="739" t="s">
        <v>5</v>
      </c>
      <c r="BK129" s="740"/>
      <c r="BL129" s="739"/>
      <c r="BM129" s="740"/>
      <c r="BN129" s="739"/>
      <c r="BO129" s="740"/>
      <c r="BP129" s="739"/>
      <c r="BQ129" s="740" t="s">
        <v>5</v>
      </c>
      <c r="BR129" s="739"/>
      <c r="BS129" s="740"/>
      <c r="BT129" s="739"/>
      <c r="BU129" s="740"/>
      <c r="BV129" s="739"/>
      <c r="BW129" s="740"/>
      <c r="BX129" s="739"/>
      <c r="BY129" s="740"/>
      <c r="BZ129" s="739"/>
      <c r="CA129" s="740"/>
      <c r="CB129" s="739"/>
      <c r="CC129" s="740"/>
      <c r="CD129" s="739"/>
      <c r="CE129" s="740"/>
      <c r="CF129" s="739"/>
      <c r="CG129" s="740"/>
      <c r="CH129" s="739"/>
      <c r="CI129" s="740"/>
      <c r="CJ129" s="739"/>
      <c r="CK129" s="740"/>
      <c r="CL129" s="748" t="s">
        <v>6</v>
      </c>
      <c r="CN129" s="713"/>
      <c r="CO129" s="726"/>
    </row>
    <row r="130" spans="2:93" hidden="1">
      <c r="B130" s="161"/>
      <c r="C130" s="28" t="s">
        <v>379</v>
      </c>
      <c r="D130" s="125" t="s">
        <v>135</v>
      </c>
      <c r="E130" s="575"/>
      <c r="F130" s="575"/>
      <c r="G130" s="575"/>
      <c r="H130" s="575"/>
      <c r="I130" s="575"/>
      <c r="J130" s="575"/>
      <c r="K130" s="575"/>
      <c r="L130" s="575"/>
      <c r="M130" s="28"/>
      <c r="N130" s="28"/>
      <c r="O130" s="28"/>
      <c r="P130" s="28"/>
      <c r="Q130" s="162"/>
      <c r="T130" s="738" t="s">
        <v>5</v>
      </c>
      <c r="U130" s="739"/>
      <c r="V130" s="740"/>
      <c r="W130" s="739" t="s">
        <v>5</v>
      </c>
      <c r="X130" s="740"/>
      <c r="Y130" s="739"/>
      <c r="Z130" s="740" t="s">
        <v>5</v>
      </c>
      <c r="AA130" s="739"/>
      <c r="AB130" s="740"/>
      <c r="AC130" s="739" t="s">
        <v>5</v>
      </c>
      <c r="AD130" s="740"/>
      <c r="AE130" s="739"/>
      <c r="AF130" s="740" t="s">
        <v>6</v>
      </c>
      <c r="AG130" s="739"/>
      <c r="AH130" s="741"/>
      <c r="AK130" s="738" t="s">
        <v>5</v>
      </c>
      <c r="AL130" s="739"/>
      <c r="AM130" s="740"/>
      <c r="AN130" s="739"/>
      <c r="AO130" s="740"/>
      <c r="AP130" s="739"/>
      <c r="AQ130" s="740"/>
      <c r="AR130" s="739"/>
      <c r="AS130" s="740"/>
      <c r="AT130" s="739"/>
      <c r="AU130" s="740"/>
      <c r="AV130" s="739"/>
      <c r="AW130" s="740"/>
      <c r="AX130" s="739"/>
      <c r="AY130" s="740"/>
      <c r="AZ130" s="739"/>
      <c r="BA130" s="740"/>
      <c r="BB130" s="739"/>
      <c r="BC130" s="740" t="s">
        <v>5</v>
      </c>
      <c r="BD130" s="739"/>
      <c r="BE130" s="740"/>
      <c r="BF130" s="739"/>
      <c r="BG130" s="740"/>
      <c r="BH130" s="739"/>
      <c r="BI130" s="740"/>
      <c r="BJ130" s="739" t="s">
        <v>5</v>
      </c>
      <c r="BK130" s="740"/>
      <c r="BL130" s="739"/>
      <c r="BM130" s="740"/>
      <c r="BN130" s="739"/>
      <c r="BO130" s="740"/>
      <c r="BP130" s="739"/>
      <c r="BQ130" s="740" t="s">
        <v>5</v>
      </c>
      <c r="BR130" s="739"/>
      <c r="BS130" s="740"/>
      <c r="BT130" s="739"/>
      <c r="BU130" s="740"/>
      <c r="BV130" s="739"/>
      <c r="BW130" s="740"/>
      <c r="BX130" s="739"/>
      <c r="BY130" s="740"/>
      <c r="BZ130" s="739"/>
      <c r="CA130" s="740"/>
      <c r="CB130" s="739"/>
      <c r="CC130" s="740"/>
      <c r="CD130" s="739"/>
      <c r="CE130" s="740"/>
      <c r="CF130" s="739"/>
      <c r="CG130" s="740"/>
      <c r="CH130" s="739"/>
      <c r="CI130" s="740"/>
      <c r="CJ130" s="739"/>
      <c r="CK130" s="740"/>
      <c r="CL130" s="748" t="s">
        <v>6</v>
      </c>
      <c r="CN130" s="713"/>
      <c r="CO130" s="726"/>
    </row>
    <row r="131" spans="2:93">
      <c r="B131" s="161"/>
      <c r="C131" s="28" t="s">
        <v>380</v>
      </c>
      <c r="D131" s="125" t="s">
        <v>135</v>
      </c>
      <c r="E131" s="575"/>
      <c r="F131" s="109"/>
      <c r="G131" s="109"/>
      <c r="H131" s="109"/>
      <c r="I131" s="109"/>
      <c r="J131" s="109"/>
      <c r="K131" s="109"/>
      <c r="L131" s="573"/>
      <c r="M131" s="28"/>
      <c r="N131" s="28"/>
      <c r="O131" s="28"/>
      <c r="P131" s="57"/>
      <c r="Q131" s="162"/>
      <c r="T131" s="738" t="s">
        <v>5</v>
      </c>
      <c r="U131" s="739" t="s">
        <v>5</v>
      </c>
      <c r="V131" s="740" t="s">
        <v>6</v>
      </c>
      <c r="W131" s="739" t="s">
        <v>5</v>
      </c>
      <c r="X131" s="740" t="s">
        <v>5</v>
      </c>
      <c r="Y131" s="739" t="s">
        <v>6</v>
      </c>
      <c r="Z131" s="740" t="s">
        <v>5</v>
      </c>
      <c r="AA131" s="739"/>
      <c r="AB131" s="740"/>
      <c r="AC131" s="739" t="s">
        <v>5</v>
      </c>
      <c r="AD131" s="740" t="s">
        <v>5</v>
      </c>
      <c r="AE131" s="739" t="s">
        <v>6</v>
      </c>
      <c r="AF131" s="740" t="s">
        <v>6</v>
      </c>
      <c r="AG131" s="739" t="s">
        <v>5</v>
      </c>
      <c r="AH131" s="741" t="s">
        <v>6</v>
      </c>
      <c r="AK131" s="738" t="s">
        <v>5</v>
      </c>
      <c r="AL131" s="739"/>
      <c r="AM131" s="740"/>
      <c r="AN131" s="739"/>
      <c r="AO131" s="740"/>
      <c r="AP131" s="739"/>
      <c r="AQ131" s="740"/>
      <c r="AR131" s="739"/>
      <c r="AS131" s="740"/>
      <c r="AT131" s="739"/>
      <c r="AU131" s="740"/>
      <c r="AV131" s="739"/>
      <c r="AW131" s="740"/>
      <c r="AX131" s="739"/>
      <c r="AY131" s="740"/>
      <c r="AZ131" s="739"/>
      <c r="BA131" s="740"/>
      <c r="BB131" s="739"/>
      <c r="BC131" s="740" t="s">
        <v>5</v>
      </c>
      <c r="BD131" s="739"/>
      <c r="BE131" s="740"/>
      <c r="BF131" s="739"/>
      <c r="BG131" s="740"/>
      <c r="BH131" s="739"/>
      <c r="BI131" s="740"/>
      <c r="BJ131" s="739" t="s">
        <v>5</v>
      </c>
      <c r="BK131" s="740"/>
      <c r="BL131" s="739"/>
      <c r="BM131" s="740"/>
      <c r="BN131" s="739"/>
      <c r="BO131" s="740"/>
      <c r="BP131" s="739"/>
      <c r="BQ131" s="740" t="s">
        <v>5</v>
      </c>
      <c r="BR131" s="739"/>
      <c r="BS131" s="740"/>
      <c r="BT131" s="739"/>
      <c r="BU131" s="740"/>
      <c r="BV131" s="739"/>
      <c r="BW131" s="740"/>
      <c r="BX131" s="739"/>
      <c r="BY131" s="740"/>
      <c r="BZ131" s="739"/>
      <c r="CA131" s="740"/>
      <c r="CB131" s="739"/>
      <c r="CC131" s="740"/>
      <c r="CD131" s="739"/>
      <c r="CE131" s="740"/>
      <c r="CF131" s="739"/>
      <c r="CG131" s="740"/>
      <c r="CH131" s="739"/>
      <c r="CI131" s="740"/>
      <c r="CJ131" s="739"/>
      <c r="CK131" s="740"/>
      <c r="CL131" s="748" t="s">
        <v>6</v>
      </c>
      <c r="CN131" s="713"/>
      <c r="CO131" s="726"/>
    </row>
    <row r="132" spans="2:93">
      <c r="B132" s="161"/>
      <c r="C132" s="57" t="s">
        <v>1034</v>
      </c>
      <c r="D132" s="125" t="s">
        <v>135</v>
      </c>
      <c r="E132" s="575"/>
      <c r="F132" s="575"/>
      <c r="G132" s="575"/>
      <c r="H132" s="575"/>
      <c r="I132" s="575"/>
      <c r="J132" s="575"/>
      <c r="K132" s="575"/>
      <c r="L132" s="575"/>
      <c r="M132" s="101"/>
      <c r="N132" s="101"/>
      <c r="O132" s="101"/>
      <c r="P132" s="57"/>
      <c r="Q132" s="162"/>
      <c r="T132" s="738" t="s">
        <v>6</v>
      </c>
      <c r="U132" s="739"/>
      <c r="V132" s="740"/>
      <c r="W132" s="739" t="s">
        <v>6</v>
      </c>
      <c r="X132" s="740"/>
      <c r="Y132" s="739"/>
      <c r="Z132" s="740" t="s">
        <v>6</v>
      </c>
      <c r="AA132" s="739"/>
      <c r="AB132" s="740"/>
      <c r="AC132" s="739" t="s">
        <v>6</v>
      </c>
      <c r="AD132" s="740"/>
      <c r="AE132" s="739"/>
      <c r="AF132" s="740" t="s">
        <v>6</v>
      </c>
      <c r="AG132" s="739"/>
      <c r="AH132" s="741"/>
      <c r="AK132" s="738" t="s">
        <v>6</v>
      </c>
      <c r="AL132" s="739"/>
      <c r="AM132" s="740"/>
      <c r="AN132" s="739"/>
      <c r="AO132" s="740"/>
      <c r="AP132" s="739"/>
      <c r="AQ132" s="740"/>
      <c r="AR132" s="739"/>
      <c r="AS132" s="740"/>
      <c r="AT132" s="739"/>
      <c r="AU132" s="740"/>
      <c r="AV132" s="739"/>
      <c r="AW132" s="740"/>
      <c r="AX132" s="739"/>
      <c r="AY132" s="740"/>
      <c r="AZ132" s="739"/>
      <c r="BA132" s="740"/>
      <c r="BB132" s="739"/>
      <c r="BC132" s="740" t="s">
        <v>6</v>
      </c>
      <c r="BD132" s="739"/>
      <c r="BE132" s="740"/>
      <c r="BF132" s="739"/>
      <c r="BG132" s="740"/>
      <c r="BH132" s="739"/>
      <c r="BI132" s="740"/>
      <c r="BJ132" s="739" t="s">
        <v>6</v>
      </c>
      <c r="BK132" s="740"/>
      <c r="BL132" s="739"/>
      <c r="BM132" s="740"/>
      <c r="BN132" s="739"/>
      <c r="BO132" s="740"/>
      <c r="BP132" s="739"/>
      <c r="BQ132" s="740" t="s">
        <v>6</v>
      </c>
      <c r="BR132" s="739"/>
      <c r="BS132" s="740"/>
      <c r="BT132" s="739"/>
      <c r="BU132" s="740"/>
      <c r="BV132" s="739"/>
      <c r="BW132" s="740"/>
      <c r="BX132" s="739"/>
      <c r="BY132" s="740"/>
      <c r="BZ132" s="739"/>
      <c r="CA132" s="740"/>
      <c r="CB132" s="739"/>
      <c r="CC132" s="740"/>
      <c r="CD132" s="739"/>
      <c r="CE132" s="740"/>
      <c r="CF132" s="739"/>
      <c r="CG132" s="740"/>
      <c r="CH132" s="739"/>
      <c r="CI132" s="740"/>
      <c r="CJ132" s="739"/>
      <c r="CK132" s="740"/>
      <c r="CL132" s="748" t="s">
        <v>6</v>
      </c>
      <c r="CN132" s="713"/>
      <c r="CO132" s="726"/>
    </row>
    <row r="133" spans="2:93">
      <c r="B133" s="161"/>
      <c r="C133" s="57" t="s">
        <v>1035</v>
      </c>
      <c r="D133" s="125" t="s">
        <v>135</v>
      </c>
      <c r="E133" s="575"/>
      <c r="F133" s="575"/>
      <c r="G133" s="575"/>
      <c r="H133" s="575"/>
      <c r="I133" s="575"/>
      <c r="J133" s="575"/>
      <c r="K133" s="575"/>
      <c r="L133" s="575"/>
      <c r="M133" s="101"/>
      <c r="N133" s="101"/>
      <c r="O133" s="101"/>
      <c r="P133" s="57"/>
      <c r="Q133" s="162"/>
      <c r="T133" s="738" t="s">
        <v>6</v>
      </c>
      <c r="U133" s="739"/>
      <c r="V133" s="740"/>
      <c r="W133" s="739" t="s">
        <v>6</v>
      </c>
      <c r="X133" s="740"/>
      <c r="Y133" s="739"/>
      <c r="Z133" s="740" t="s">
        <v>6</v>
      </c>
      <c r="AA133" s="739"/>
      <c r="AB133" s="740"/>
      <c r="AC133" s="739" t="s">
        <v>6</v>
      </c>
      <c r="AD133" s="740"/>
      <c r="AE133" s="739"/>
      <c r="AF133" s="740" t="s">
        <v>6</v>
      </c>
      <c r="AG133" s="739"/>
      <c r="AH133" s="741"/>
      <c r="AK133" s="738" t="s">
        <v>6</v>
      </c>
      <c r="AL133" s="739"/>
      <c r="AM133" s="740"/>
      <c r="AN133" s="739"/>
      <c r="AO133" s="740"/>
      <c r="AP133" s="739"/>
      <c r="AQ133" s="740"/>
      <c r="AR133" s="739"/>
      <c r="AS133" s="740"/>
      <c r="AT133" s="739"/>
      <c r="AU133" s="740"/>
      <c r="AV133" s="739"/>
      <c r="AW133" s="740"/>
      <c r="AX133" s="739"/>
      <c r="AY133" s="740"/>
      <c r="AZ133" s="739"/>
      <c r="BA133" s="740"/>
      <c r="BB133" s="739"/>
      <c r="BC133" s="740" t="s">
        <v>6</v>
      </c>
      <c r="BD133" s="739"/>
      <c r="BE133" s="740"/>
      <c r="BF133" s="739"/>
      <c r="BG133" s="740"/>
      <c r="BH133" s="739"/>
      <c r="BI133" s="740"/>
      <c r="BJ133" s="739" t="s">
        <v>6</v>
      </c>
      <c r="BK133" s="740"/>
      <c r="BL133" s="739"/>
      <c r="BM133" s="740"/>
      <c r="BN133" s="739"/>
      <c r="BO133" s="740"/>
      <c r="BP133" s="739"/>
      <c r="BQ133" s="740" t="s">
        <v>6</v>
      </c>
      <c r="BR133" s="739"/>
      <c r="BS133" s="740"/>
      <c r="BT133" s="739"/>
      <c r="BU133" s="740"/>
      <c r="BV133" s="739"/>
      <c r="BW133" s="740"/>
      <c r="BX133" s="739"/>
      <c r="BY133" s="740"/>
      <c r="BZ133" s="739"/>
      <c r="CA133" s="740"/>
      <c r="CB133" s="739"/>
      <c r="CC133" s="740"/>
      <c r="CD133" s="739"/>
      <c r="CE133" s="740"/>
      <c r="CF133" s="739"/>
      <c r="CG133" s="740"/>
      <c r="CH133" s="739"/>
      <c r="CI133" s="740"/>
      <c r="CJ133" s="739"/>
      <c r="CK133" s="740"/>
      <c r="CL133" s="748" t="s">
        <v>6</v>
      </c>
      <c r="CN133" s="713"/>
      <c r="CO133" s="726"/>
    </row>
    <row r="134" spans="2:93">
      <c r="B134" s="161"/>
      <c r="C134" s="57" t="s">
        <v>1036</v>
      </c>
      <c r="D134" s="125" t="s">
        <v>135</v>
      </c>
      <c r="E134" s="575"/>
      <c r="F134" s="575"/>
      <c r="G134" s="575"/>
      <c r="H134" s="575"/>
      <c r="I134" s="575"/>
      <c r="J134" s="575"/>
      <c r="K134" s="575"/>
      <c r="L134" s="575"/>
      <c r="M134" s="101"/>
      <c r="N134" s="101"/>
      <c r="O134" s="101"/>
      <c r="P134" s="57"/>
      <c r="Q134" s="162"/>
      <c r="T134" s="738" t="s">
        <v>6</v>
      </c>
      <c r="U134" s="739"/>
      <c r="V134" s="740"/>
      <c r="W134" s="739" t="s">
        <v>6</v>
      </c>
      <c r="X134" s="740"/>
      <c r="Y134" s="739"/>
      <c r="Z134" s="740" t="s">
        <v>6</v>
      </c>
      <c r="AA134" s="739"/>
      <c r="AB134" s="740"/>
      <c r="AC134" s="739" t="s">
        <v>6</v>
      </c>
      <c r="AD134" s="740"/>
      <c r="AE134" s="739"/>
      <c r="AF134" s="740" t="s">
        <v>6</v>
      </c>
      <c r="AG134" s="739"/>
      <c r="AH134" s="741"/>
      <c r="AK134" s="738" t="s">
        <v>6</v>
      </c>
      <c r="AL134" s="739"/>
      <c r="AM134" s="740"/>
      <c r="AN134" s="739"/>
      <c r="AO134" s="740"/>
      <c r="AP134" s="739"/>
      <c r="AQ134" s="740"/>
      <c r="AR134" s="739"/>
      <c r="AS134" s="740"/>
      <c r="AT134" s="739"/>
      <c r="AU134" s="740"/>
      <c r="AV134" s="739"/>
      <c r="AW134" s="740"/>
      <c r="AX134" s="739"/>
      <c r="AY134" s="740"/>
      <c r="AZ134" s="739"/>
      <c r="BA134" s="740"/>
      <c r="BB134" s="739"/>
      <c r="BC134" s="740" t="s">
        <v>6</v>
      </c>
      <c r="BD134" s="739"/>
      <c r="BE134" s="740"/>
      <c r="BF134" s="739"/>
      <c r="BG134" s="740"/>
      <c r="BH134" s="739"/>
      <c r="BI134" s="740"/>
      <c r="BJ134" s="739" t="s">
        <v>6</v>
      </c>
      <c r="BK134" s="740"/>
      <c r="BL134" s="739"/>
      <c r="BM134" s="740"/>
      <c r="BN134" s="739"/>
      <c r="BO134" s="740"/>
      <c r="BP134" s="739"/>
      <c r="BQ134" s="740" t="s">
        <v>6</v>
      </c>
      <c r="BR134" s="739"/>
      <c r="BS134" s="740"/>
      <c r="BT134" s="739"/>
      <c r="BU134" s="740"/>
      <c r="BV134" s="739"/>
      <c r="BW134" s="740"/>
      <c r="BX134" s="739"/>
      <c r="BY134" s="740"/>
      <c r="BZ134" s="739"/>
      <c r="CA134" s="740"/>
      <c r="CB134" s="739"/>
      <c r="CC134" s="740"/>
      <c r="CD134" s="739"/>
      <c r="CE134" s="740"/>
      <c r="CF134" s="739"/>
      <c r="CG134" s="740"/>
      <c r="CH134" s="739"/>
      <c r="CI134" s="740"/>
      <c r="CJ134" s="739"/>
      <c r="CK134" s="740"/>
      <c r="CL134" s="748" t="s">
        <v>6</v>
      </c>
      <c r="CN134" s="713"/>
      <c r="CO134" s="726"/>
    </row>
    <row r="135" spans="2:93">
      <c r="B135" s="161"/>
      <c r="C135" s="57" t="s">
        <v>1037</v>
      </c>
      <c r="D135" s="125" t="s">
        <v>135</v>
      </c>
      <c r="E135" s="575"/>
      <c r="F135" s="575"/>
      <c r="G135" s="575"/>
      <c r="H135" s="575"/>
      <c r="I135" s="575"/>
      <c r="J135" s="575"/>
      <c r="K135" s="575"/>
      <c r="L135" s="575"/>
      <c r="M135" s="101"/>
      <c r="N135" s="101"/>
      <c r="O135" s="101"/>
      <c r="P135" s="57"/>
      <c r="Q135" s="162"/>
      <c r="T135" s="738" t="s">
        <v>6</v>
      </c>
      <c r="U135" s="739"/>
      <c r="V135" s="740"/>
      <c r="W135" s="739" t="s">
        <v>6</v>
      </c>
      <c r="X135" s="740"/>
      <c r="Y135" s="739"/>
      <c r="Z135" s="740" t="s">
        <v>6</v>
      </c>
      <c r="AA135" s="739"/>
      <c r="AB135" s="740"/>
      <c r="AC135" s="739" t="s">
        <v>6</v>
      </c>
      <c r="AD135" s="740"/>
      <c r="AE135" s="739"/>
      <c r="AF135" s="740" t="s">
        <v>6</v>
      </c>
      <c r="AG135" s="739"/>
      <c r="AH135" s="741"/>
      <c r="AK135" s="738" t="s">
        <v>6</v>
      </c>
      <c r="AL135" s="739"/>
      <c r="AM135" s="740"/>
      <c r="AN135" s="739"/>
      <c r="AO135" s="740"/>
      <c r="AP135" s="739"/>
      <c r="AQ135" s="740"/>
      <c r="AR135" s="739"/>
      <c r="AS135" s="740"/>
      <c r="AT135" s="739"/>
      <c r="AU135" s="740"/>
      <c r="AV135" s="739"/>
      <c r="AW135" s="740"/>
      <c r="AX135" s="739"/>
      <c r="AY135" s="740"/>
      <c r="AZ135" s="739"/>
      <c r="BA135" s="740"/>
      <c r="BB135" s="739"/>
      <c r="BC135" s="740" t="s">
        <v>6</v>
      </c>
      <c r="BD135" s="739"/>
      <c r="BE135" s="740"/>
      <c r="BF135" s="739"/>
      <c r="BG135" s="740"/>
      <c r="BH135" s="739"/>
      <c r="BI135" s="740"/>
      <c r="BJ135" s="739" t="s">
        <v>6</v>
      </c>
      <c r="BK135" s="740"/>
      <c r="BL135" s="739"/>
      <c r="BM135" s="740"/>
      <c r="BN135" s="739"/>
      <c r="BO135" s="740"/>
      <c r="BP135" s="739"/>
      <c r="BQ135" s="740" t="s">
        <v>6</v>
      </c>
      <c r="BR135" s="739"/>
      <c r="BS135" s="740"/>
      <c r="BT135" s="739"/>
      <c r="BU135" s="740"/>
      <c r="BV135" s="739"/>
      <c r="BW135" s="740"/>
      <c r="BX135" s="739"/>
      <c r="BY135" s="740"/>
      <c r="BZ135" s="739"/>
      <c r="CA135" s="740"/>
      <c r="CB135" s="739"/>
      <c r="CC135" s="740"/>
      <c r="CD135" s="739"/>
      <c r="CE135" s="740"/>
      <c r="CF135" s="739"/>
      <c r="CG135" s="740"/>
      <c r="CH135" s="739"/>
      <c r="CI135" s="740"/>
      <c r="CJ135" s="739"/>
      <c r="CK135" s="740"/>
      <c r="CL135" s="748" t="s">
        <v>6</v>
      </c>
      <c r="CN135" s="713"/>
      <c r="CO135" s="726"/>
    </row>
    <row r="136" spans="2:93">
      <c r="B136" s="161"/>
      <c r="C136" s="594" t="s">
        <v>1038</v>
      </c>
      <c r="D136" s="125" t="s">
        <v>135</v>
      </c>
      <c r="E136" s="588"/>
      <c r="F136" s="588"/>
      <c r="G136" s="588"/>
      <c r="H136" s="588"/>
      <c r="I136" s="588"/>
      <c r="J136" s="588"/>
      <c r="K136" s="588"/>
      <c r="L136" s="588"/>
      <c r="M136" s="167"/>
      <c r="N136" s="167"/>
      <c r="O136" s="167"/>
      <c r="P136" s="57"/>
      <c r="Q136" s="162"/>
      <c r="T136" s="738" t="s">
        <v>6</v>
      </c>
      <c r="U136" s="739"/>
      <c r="V136" s="740"/>
      <c r="W136" s="739" t="s">
        <v>6</v>
      </c>
      <c r="X136" s="740"/>
      <c r="Y136" s="739"/>
      <c r="Z136" s="740" t="s">
        <v>6</v>
      </c>
      <c r="AA136" s="739"/>
      <c r="AB136" s="740"/>
      <c r="AC136" s="739" t="s">
        <v>6</v>
      </c>
      <c r="AD136" s="740"/>
      <c r="AE136" s="739"/>
      <c r="AF136" s="740" t="s">
        <v>6</v>
      </c>
      <c r="AG136" s="739"/>
      <c r="AH136" s="741"/>
      <c r="AK136" s="738" t="s">
        <v>6</v>
      </c>
      <c r="AL136" s="739"/>
      <c r="AM136" s="740"/>
      <c r="AN136" s="739"/>
      <c r="AO136" s="740"/>
      <c r="AP136" s="739"/>
      <c r="AQ136" s="740"/>
      <c r="AR136" s="739"/>
      <c r="AS136" s="740"/>
      <c r="AT136" s="739"/>
      <c r="AU136" s="740"/>
      <c r="AV136" s="739"/>
      <c r="AW136" s="740"/>
      <c r="AX136" s="739"/>
      <c r="AY136" s="740"/>
      <c r="AZ136" s="739"/>
      <c r="BA136" s="740"/>
      <c r="BB136" s="739"/>
      <c r="BC136" s="740" t="s">
        <v>6</v>
      </c>
      <c r="BD136" s="739"/>
      <c r="BE136" s="740"/>
      <c r="BF136" s="739"/>
      <c r="BG136" s="740"/>
      <c r="BH136" s="739"/>
      <c r="BI136" s="740"/>
      <c r="BJ136" s="739" t="s">
        <v>6</v>
      </c>
      <c r="BK136" s="740"/>
      <c r="BL136" s="739"/>
      <c r="BM136" s="740"/>
      <c r="BN136" s="739"/>
      <c r="BO136" s="740"/>
      <c r="BP136" s="739"/>
      <c r="BQ136" s="740" t="s">
        <v>6</v>
      </c>
      <c r="BR136" s="739"/>
      <c r="BS136" s="740"/>
      <c r="BT136" s="739"/>
      <c r="BU136" s="740"/>
      <c r="BV136" s="739"/>
      <c r="BW136" s="740"/>
      <c r="BX136" s="739"/>
      <c r="BY136" s="740"/>
      <c r="BZ136" s="739"/>
      <c r="CA136" s="740"/>
      <c r="CB136" s="739"/>
      <c r="CC136" s="740"/>
      <c r="CD136" s="739"/>
      <c r="CE136" s="740"/>
      <c r="CF136" s="739"/>
      <c r="CG136" s="740"/>
      <c r="CH136" s="739"/>
      <c r="CI136" s="740"/>
      <c r="CJ136" s="739"/>
      <c r="CK136" s="740"/>
      <c r="CL136" s="748" t="s">
        <v>6</v>
      </c>
      <c r="CN136" s="713"/>
      <c r="CO136" s="726"/>
    </row>
    <row r="137" spans="2:93">
      <c r="B137" s="161"/>
      <c r="C137" s="594" t="s">
        <v>1132</v>
      </c>
      <c r="D137" s="125" t="s">
        <v>135</v>
      </c>
      <c r="E137" s="588"/>
      <c r="F137" s="588"/>
      <c r="G137" s="588"/>
      <c r="H137" s="588"/>
      <c r="I137" s="588"/>
      <c r="J137" s="588"/>
      <c r="K137" s="588"/>
      <c r="L137" s="588"/>
      <c r="M137" s="167"/>
      <c r="N137" s="167"/>
      <c r="O137" s="167"/>
      <c r="P137" s="57"/>
      <c r="Q137" s="162"/>
      <c r="T137" s="738" t="s">
        <v>6</v>
      </c>
      <c r="U137" s="739"/>
      <c r="V137" s="740"/>
      <c r="W137" s="739" t="s">
        <v>6</v>
      </c>
      <c r="X137" s="740"/>
      <c r="Y137" s="739"/>
      <c r="Z137" s="740" t="s">
        <v>6</v>
      </c>
      <c r="AA137" s="739"/>
      <c r="AB137" s="740"/>
      <c r="AC137" s="739" t="s">
        <v>6</v>
      </c>
      <c r="AD137" s="740"/>
      <c r="AE137" s="739"/>
      <c r="AF137" s="740" t="s">
        <v>6</v>
      </c>
      <c r="AG137" s="739"/>
      <c r="AH137" s="741"/>
      <c r="AK137" s="738" t="s">
        <v>6</v>
      </c>
      <c r="AL137" s="739"/>
      <c r="AM137" s="740"/>
      <c r="AN137" s="739"/>
      <c r="AO137" s="740"/>
      <c r="AP137" s="739"/>
      <c r="AQ137" s="740"/>
      <c r="AR137" s="739"/>
      <c r="AS137" s="740"/>
      <c r="AT137" s="739"/>
      <c r="AU137" s="740"/>
      <c r="AV137" s="739"/>
      <c r="AW137" s="740"/>
      <c r="AX137" s="739"/>
      <c r="AY137" s="740"/>
      <c r="AZ137" s="739"/>
      <c r="BA137" s="740"/>
      <c r="BB137" s="739"/>
      <c r="BC137" s="740" t="s">
        <v>6</v>
      </c>
      <c r="BD137" s="739"/>
      <c r="BE137" s="740"/>
      <c r="BF137" s="739"/>
      <c r="BG137" s="740"/>
      <c r="BH137" s="739"/>
      <c r="BI137" s="740"/>
      <c r="BJ137" s="739" t="s">
        <v>6</v>
      </c>
      <c r="BK137" s="740"/>
      <c r="BL137" s="739"/>
      <c r="BM137" s="740"/>
      <c r="BN137" s="739"/>
      <c r="BO137" s="740"/>
      <c r="BP137" s="739"/>
      <c r="BQ137" s="740" t="s">
        <v>6</v>
      </c>
      <c r="BR137" s="739"/>
      <c r="BS137" s="740"/>
      <c r="BT137" s="739"/>
      <c r="BU137" s="740"/>
      <c r="BV137" s="739"/>
      <c r="BW137" s="740"/>
      <c r="BX137" s="739"/>
      <c r="BY137" s="740"/>
      <c r="BZ137" s="739"/>
      <c r="CA137" s="740"/>
      <c r="CB137" s="739"/>
      <c r="CC137" s="740"/>
      <c r="CD137" s="739"/>
      <c r="CE137" s="740"/>
      <c r="CF137" s="739"/>
      <c r="CG137" s="740"/>
      <c r="CH137" s="739"/>
      <c r="CI137" s="740"/>
      <c r="CJ137" s="739"/>
      <c r="CK137" s="740"/>
      <c r="CL137" s="748" t="s">
        <v>6</v>
      </c>
      <c r="CN137" s="713"/>
      <c r="CO137" s="726"/>
    </row>
    <row r="138" spans="2:93">
      <c r="B138" s="161"/>
      <c r="C138" s="594" t="s">
        <v>1133</v>
      </c>
      <c r="D138" s="125" t="s">
        <v>135</v>
      </c>
      <c r="E138" s="588"/>
      <c r="F138" s="588"/>
      <c r="G138" s="588"/>
      <c r="H138" s="588"/>
      <c r="I138" s="588"/>
      <c r="J138" s="588"/>
      <c r="K138" s="588"/>
      <c r="L138" s="588"/>
      <c r="M138" s="167"/>
      <c r="N138" s="167"/>
      <c r="O138" s="167"/>
      <c r="P138" s="57"/>
      <c r="Q138" s="162"/>
      <c r="T138" s="738" t="s">
        <v>6</v>
      </c>
      <c r="U138" s="739"/>
      <c r="V138" s="740"/>
      <c r="W138" s="739" t="s">
        <v>6</v>
      </c>
      <c r="X138" s="740"/>
      <c r="Y138" s="739"/>
      <c r="Z138" s="740" t="s">
        <v>6</v>
      </c>
      <c r="AA138" s="739"/>
      <c r="AB138" s="740"/>
      <c r="AC138" s="739" t="s">
        <v>6</v>
      </c>
      <c r="AD138" s="740"/>
      <c r="AE138" s="739"/>
      <c r="AF138" s="740" t="s">
        <v>6</v>
      </c>
      <c r="AG138" s="739"/>
      <c r="AH138" s="741"/>
      <c r="AK138" s="738" t="s">
        <v>6</v>
      </c>
      <c r="AL138" s="739"/>
      <c r="AM138" s="740"/>
      <c r="AN138" s="739"/>
      <c r="AO138" s="740"/>
      <c r="AP138" s="739"/>
      <c r="AQ138" s="740"/>
      <c r="AR138" s="739"/>
      <c r="AS138" s="740"/>
      <c r="AT138" s="739"/>
      <c r="AU138" s="740"/>
      <c r="AV138" s="739"/>
      <c r="AW138" s="740"/>
      <c r="AX138" s="739"/>
      <c r="AY138" s="740"/>
      <c r="AZ138" s="739"/>
      <c r="BA138" s="740"/>
      <c r="BB138" s="739"/>
      <c r="BC138" s="740" t="s">
        <v>6</v>
      </c>
      <c r="BD138" s="739"/>
      <c r="BE138" s="740"/>
      <c r="BF138" s="739"/>
      <c r="BG138" s="740"/>
      <c r="BH138" s="739"/>
      <c r="BI138" s="740"/>
      <c r="BJ138" s="739" t="s">
        <v>6</v>
      </c>
      <c r="BK138" s="740"/>
      <c r="BL138" s="739"/>
      <c r="BM138" s="740"/>
      <c r="BN138" s="739"/>
      <c r="BO138" s="740"/>
      <c r="BP138" s="739"/>
      <c r="BQ138" s="740" t="s">
        <v>6</v>
      </c>
      <c r="BR138" s="739"/>
      <c r="BS138" s="740"/>
      <c r="BT138" s="739"/>
      <c r="BU138" s="740"/>
      <c r="BV138" s="739"/>
      <c r="BW138" s="740"/>
      <c r="BX138" s="739"/>
      <c r="BY138" s="740"/>
      <c r="BZ138" s="739"/>
      <c r="CA138" s="740"/>
      <c r="CB138" s="739"/>
      <c r="CC138" s="740"/>
      <c r="CD138" s="739"/>
      <c r="CE138" s="740"/>
      <c r="CF138" s="739"/>
      <c r="CG138" s="740"/>
      <c r="CH138" s="739"/>
      <c r="CI138" s="740"/>
      <c r="CJ138" s="739"/>
      <c r="CK138" s="740"/>
      <c r="CL138" s="748" t="s">
        <v>6</v>
      </c>
      <c r="CN138" s="713"/>
      <c r="CO138" s="726"/>
    </row>
    <row r="139" spans="2:93">
      <c r="B139" s="161"/>
      <c r="C139" s="594" t="s">
        <v>1134</v>
      </c>
      <c r="D139" s="125" t="s">
        <v>135</v>
      </c>
      <c r="E139" s="588"/>
      <c r="F139" s="588"/>
      <c r="G139" s="588"/>
      <c r="H139" s="588"/>
      <c r="I139" s="588"/>
      <c r="J139" s="588"/>
      <c r="K139" s="588"/>
      <c r="L139" s="588"/>
      <c r="M139" s="167"/>
      <c r="N139" s="167"/>
      <c r="O139" s="167"/>
      <c r="P139" s="57"/>
      <c r="Q139" s="162"/>
      <c r="T139" s="738" t="s">
        <v>6</v>
      </c>
      <c r="U139" s="739"/>
      <c r="V139" s="740"/>
      <c r="W139" s="739" t="s">
        <v>6</v>
      </c>
      <c r="X139" s="740"/>
      <c r="Y139" s="739"/>
      <c r="Z139" s="740" t="s">
        <v>6</v>
      </c>
      <c r="AA139" s="739"/>
      <c r="AB139" s="740"/>
      <c r="AC139" s="739" t="s">
        <v>6</v>
      </c>
      <c r="AD139" s="740"/>
      <c r="AE139" s="739"/>
      <c r="AF139" s="740" t="s">
        <v>6</v>
      </c>
      <c r="AG139" s="739"/>
      <c r="AH139" s="741"/>
      <c r="AK139" s="738" t="s">
        <v>6</v>
      </c>
      <c r="AL139" s="739"/>
      <c r="AM139" s="740"/>
      <c r="AN139" s="739"/>
      <c r="AO139" s="740"/>
      <c r="AP139" s="739"/>
      <c r="AQ139" s="740"/>
      <c r="AR139" s="739"/>
      <c r="AS139" s="740"/>
      <c r="AT139" s="739"/>
      <c r="AU139" s="740"/>
      <c r="AV139" s="739"/>
      <c r="AW139" s="740"/>
      <c r="AX139" s="739"/>
      <c r="AY139" s="740"/>
      <c r="AZ139" s="739"/>
      <c r="BA139" s="740"/>
      <c r="BB139" s="739"/>
      <c r="BC139" s="740" t="s">
        <v>6</v>
      </c>
      <c r="BD139" s="739"/>
      <c r="BE139" s="740"/>
      <c r="BF139" s="739"/>
      <c r="BG139" s="740"/>
      <c r="BH139" s="739"/>
      <c r="BI139" s="740"/>
      <c r="BJ139" s="739" t="s">
        <v>6</v>
      </c>
      <c r="BK139" s="740"/>
      <c r="BL139" s="739"/>
      <c r="BM139" s="740"/>
      <c r="BN139" s="739"/>
      <c r="BO139" s="740"/>
      <c r="BP139" s="739"/>
      <c r="BQ139" s="740" t="s">
        <v>6</v>
      </c>
      <c r="BR139" s="739"/>
      <c r="BS139" s="740"/>
      <c r="BT139" s="739"/>
      <c r="BU139" s="740"/>
      <c r="BV139" s="739"/>
      <c r="BW139" s="740"/>
      <c r="BX139" s="739"/>
      <c r="BY139" s="740"/>
      <c r="BZ139" s="739"/>
      <c r="CA139" s="740"/>
      <c r="CB139" s="739"/>
      <c r="CC139" s="740"/>
      <c r="CD139" s="739"/>
      <c r="CE139" s="740"/>
      <c r="CF139" s="739"/>
      <c r="CG139" s="740"/>
      <c r="CH139" s="739"/>
      <c r="CI139" s="740"/>
      <c r="CJ139" s="739"/>
      <c r="CK139" s="740"/>
      <c r="CL139" s="748" t="s">
        <v>6</v>
      </c>
      <c r="CN139" s="713"/>
      <c r="CO139" s="726"/>
    </row>
    <row r="140" spans="2:93">
      <c r="B140" s="161"/>
      <c r="C140" s="87" t="s">
        <v>131</v>
      </c>
      <c r="D140" s="125" t="s">
        <v>135</v>
      </c>
      <c r="E140" s="122">
        <f>SUM(E127:E139)</f>
        <v>0</v>
      </c>
      <c r="F140" s="122">
        <f>SUM(F127:F139)</f>
        <v>0</v>
      </c>
      <c r="G140" s="122">
        <f>SUM(G127:G139)</f>
        <v>0</v>
      </c>
      <c r="H140" s="122">
        <f>SUM(H127:H139)</f>
        <v>0</v>
      </c>
      <c r="I140" s="122">
        <f>SUM(I127:I139)</f>
        <v>0</v>
      </c>
      <c r="J140" s="122">
        <f>SUM(J127:J139)</f>
        <v>0</v>
      </c>
      <c r="K140" s="122">
        <f>SUM(K127:K139)</f>
        <v>0</v>
      </c>
      <c r="L140" s="122">
        <f>SUM(L127:L139)</f>
        <v>0</v>
      </c>
      <c r="M140" s="26"/>
      <c r="N140" s="26"/>
      <c r="O140" s="26"/>
      <c r="P140" s="26"/>
      <c r="Q140" s="162"/>
      <c r="T140" s="738" t="s">
        <v>6</v>
      </c>
      <c r="U140" s="739"/>
      <c r="V140" s="740"/>
      <c r="W140" s="739" t="s">
        <v>6</v>
      </c>
      <c r="X140" s="740"/>
      <c r="Y140" s="739"/>
      <c r="Z140" s="740" t="s">
        <v>6</v>
      </c>
      <c r="AA140" s="739"/>
      <c r="AB140" s="740"/>
      <c r="AC140" s="739" t="s">
        <v>6</v>
      </c>
      <c r="AD140" s="740"/>
      <c r="AE140" s="739"/>
      <c r="AF140" s="740" t="s">
        <v>6</v>
      </c>
      <c r="AG140" s="739"/>
      <c r="AH140" s="741"/>
      <c r="AK140" s="738" t="s">
        <v>6</v>
      </c>
      <c r="AL140" s="739"/>
      <c r="AM140" s="740"/>
      <c r="AN140" s="739"/>
      <c r="AO140" s="740"/>
      <c r="AP140" s="739"/>
      <c r="AQ140" s="740"/>
      <c r="AR140" s="739"/>
      <c r="AS140" s="740"/>
      <c r="AT140" s="739"/>
      <c r="AU140" s="740"/>
      <c r="AV140" s="739"/>
      <c r="AW140" s="740"/>
      <c r="AX140" s="739"/>
      <c r="AY140" s="740"/>
      <c r="AZ140" s="739"/>
      <c r="BA140" s="740"/>
      <c r="BB140" s="739"/>
      <c r="BC140" s="740" t="s">
        <v>6</v>
      </c>
      <c r="BD140" s="739"/>
      <c r="BE140" s="740"/>
      <c r="BF140" s="739"/>
      <c r="BG140" s="740"/>
      <c r="BH140" s="739"/>
      <c r="BI140" s="740"/>
      <c r="BJ140" s="739" t="s">
        <v>6</v>
      </c>
      <c r="BK140" s="740"/>
      <c r="BL140" s="739"/>
      <c r="BM140" s="740"/>
      <c r="BN140" s="739"/>
      <c r="BO140" s="740"/>
      <c r="BP140" s="739"/>
      <c r="BQ140" s="740" t="s">
        <v>6</v>
      </c>
      <c r="BR140" s="739"/>
      <c r="BS140" s="740"/>
      <c r="BT140" s="739"/>
      <c r="BU140" s="740"/>
      <c r="BV140" s="739"/>
      <c r="BW140" s="740"/>
      <c r="BX140" s="739"/>
      <c r="BY140" s="740"/>
      <c r="BZ140" s="739"/>
      <c r="CA140" s="740"/>
      <c r="CB140" s="739"/>
      <c r="CC140" s="740"/>
      <c r="CD140" s="739"/>
      <c r="CE140" s="740"/>
      <c r="CF140" s="739"/>
      <c r="CG140" s="740"/>
      <c r="CH140" s="739"/>
      <c r="CI140" s="740"/>
      <c r="CJ140" s="739"/>
      <c r="CK140" s="740"/>
      <c r="CL140" s="748" t="s">
        <v>6</v>
      </c>
      <c r="CN140" s="713"/>
      <c r="CO140" s="726"/>
    </row>
    <row r="141" spans="2:93">
      <c r="B141" s="161"/>
      <c r="C141" s="26"/>
      <c r="D141" s="104"/>
      <c r="E141" s="26"/>
      <c r="F141" s="26"/>
      <c r="G141" s="26"/>
      <c r="H141" s="26"/>
      <c r="I141" s="26"/>
      <c r="J141" s="26"/>
      <c r="K141" s="26"/>
      <c r="L141" s="26"/>
      <c r="M141" s="26"/>
      <c r="N141" s="26"/>
      <c r="O141" s="26"/>
      <c r="P141" s="26"/>
      <c r="Q141" s="162"/>
      <c r="T141" s="738" t="s">
        <v>6</v>
      </c>
      <c r="U141" s="739"/>
      <c r="V141" s="740"/>
      <c r="W141" s="739" t="s">
        <v>6</v>
      </c>
      <c r="X141" s="740"/>
      <c r="Y141" s="739"/>
      <c r="Z141" s="740" t="s">
        <v>6</v>
      </c>
      <c r="AA141" s="739"/>
      <c r="AB141" s="740"/>
      <c r="AC141" s="739" t="s">
        <v>6</v>
      </c>
      <c r="AD141" s="740"/>
      <c r="AE141" s="739"/>
      <c r="AF141" s="740" t="s">
        <v>6</v>
      </c>
      <c r="AG141" s="739"/>
      <c r="AH141" s="741"/>
      <c r="AI141" s="169"/>
      <c r="AJ141" s="169"/>
      <c r="AK141" s="738" t="s">
        <v>6</v>
      </c>
      <c r="AL141" s="739"/>
      <c r="AM141" s="740"/>
      <c r="AN141" s="739"/>
      <c r="AO141" s="740"/>
      <c r="AP141" s="739"/>
      <c r="AQ141" s="740"/>
      <c r="AR141" s="739"/>
      <c r="AS141" s="740"/>
      <c r="AT141" s="739"/>
      <c r="AU141" s="740"/>
      <c r="AV141" s="739"/>
      <c r="AW141" s="740"/>
      <c r="AX141" s="739"/>
      <c r="AY141" s="740"/>
      <c r="AZ141" s="739"/>
      <c r="BA141" s="740"/>
      <c r="BB141" s="739"/>
      <c r="BC141" s="740" t="s">
        <v>6</v>
      </c>
      <c r="BD141" s="739"/>
      <c r="BE141" s="740"/>
      <c r="BF141" s="739"/>
      <c r="BG141" s="740"/>
      <c r="BH141" s="739"/>
      <c r="BI141" s="740"/>
      <c r="BJ141" s="739" t="s">
        <v>6</v>
      </c>
      <c r="BK141" s="740"/>
      <c r="BL141" s="739"/>
      <c r="BM141" s="740"/>
      <c r="BN141" s="739"/>
      <c r="BO141" s="740"/>
      <c r="BP141" s="739"/>
      <c r="BQ141" s="740" t="s">
        <v>6</v>
      </c>
      <c r="BR141" s="739"/>
      <c r="BS141" s="740"/>
      <c r="BT141" s="739"/>
      <c r="BU141" s="740"/>
      <c r="BV141" s="739"/>
      <c r="BW141" s="740"/>
      <c r="BX141" s="739"/>
      <c r="BY141" s="740"/>
      <c r="BZ141" s="739"/>
      <c r="CA141" s="740"/>
      <c r="CB141" s="739"/>
      <c r="CC141" s="740"/>
      <c r="CD141" s="739"/>
      <c r="CE141" s="740"/>
      <c r="CF141" s="739"/>
      <c r="CG141" s="740"/>
      <c r="CH141" s="739"/>
      <c r="CI141" s="740"/>
      <c r="CJ141" s="739"/>
      <c r="CK141" s="740"/>
      <c r="CL141" s="748" t="s">
        <v>6</v>
      </c>
      <c r="CM141" s="169"/>
      <c r="CN141" s="713"/>
      <c r="CO141" s="726"/>
    </row>
    <row r="142" spans="2:93">
      <c r="B142" s="161"/>
      <c r="C142" s="26" t="s">
        <v>381</v>
      </c>
      <c r="D142" s="104"/>
      <c r="E142" s="26"/>
      <c r="F142" s="26"/>
      <c r="G142" s="26"/>
      <c r="H142" s="26"/>
      <c r="I142" s="26"/>
      <c r="J142" s="26"/>
      <c r="K142" s="26"/>
      <c r="L142" s="26"/>
      <c r="M142" s="26"/>
      <c r="N142" s="26"/>
      <c r="O142" s="26"/>
      <c r="P142" s="26"/>
      <c r="Q142" s="162"/>
      <c r="T142" s="738" t="s">
        <v>6</v>
      </c>
      <c r="U142" s="739"/>
      <c r="V142" s="740"/>
      <c r="W142" s="739" t="s">
        <v>6</v>
      </c>
      <c r="X142" s="740"/>
      <c r="Y142" s="739"/>
      <c r="Z142" s="740" t="s">
        <v>5</v>
      </c>
      <c r="AA142" s="739"/>
      <c r="AB142" s="740"/>
      <c r="AC142" s="739" t="s">
        <v>6</v>
      </c>
      <c r="AD142" s="740"/>
      <c r="AE142" s="739"/>
      <c r="AF142" s="740" t="s">
        <v>6</v>
      </c>
      <c r="AG142" s="739"/>
      <c r="AH142" s="741"/>
      <c r="AI142" s="169"/>
      <c r="AJ142" s="169"/>
      <c r="AK142" s="738" t="s">
        <v>6</v>
      </c>
      <c r="AL142" s="739" t="s">
        <v>5</v>
      </c>
      <c r="AM142" s="740" t="s">
        <v>6</v>
      </c>
      <c r="AN142" s="739"/>
      <c r="AO142" s="740" t="s">
        <v>5</v>
      </c>
      <c r="AP142" s="739" t="s">
        <v>6</v>
      </c>
      <c r="AQ142" s="740"/>
      <c r="AR142" s="739" t="s">
        <v>5</v>
      </c>
      <c r="AS142" s="740" t="s">
        <v>6</v>
      </c>
      <c r="AT142" s="739"/>
      <c r="AU142" s="740" t="s">
        <v>5</v>
      </c>
      <c r="AV142" s="739" t="s">
        <v>6</v>
      </c>
      <c r="AW142" s="740"/>
      <c r="AX142" s="739" t="s">
        <v>5</v>
      </c>
      <c r="AY142" s="740" t="s">
        <v>6</v>
      </c>
      <c r="AZ142" s="739"/>
      <c r="BA142" s="740" t="s">
        <v>5</v>
      </c>
      <c r="BB142" s="739" t="s">
        <v>6</v>
      </c>
      <c r="BC142" s="740" t="s">
        <v>6</v>
      </c>
      <c r="BD142" s="739" t="s">
        <v>6</v>
      </c>
      <c r="BE142" s="740" t="s">
        <v>6</v>
      </c>
      <c r="BF142" s="739" t="s">
        <v>6</v>
      </c>
      <c r="BG142" s="740" t="s">
        <v>6</v>
      </c>
      <c r="BH142" s="739" t="s">
        <v>6</v>
      </c>
      <c r="BI142" s="740" t="s">
        <v>6</v>
      </c>
      <c r="BJ142" s="739" t="s">
        <v>5</v>
      </c>
      <c r="BK142" s="740"/>
      <c r="BL142" s="739"/>
      <c r="BM142" s="740"/>
      <c r="BN142" s="739"/>
      <c r="BO142" s="740"/>
      <c r="BP142" s="739"/>
      <c r="BQ142" s="740" t="s">
        <v>6</v>
      </c>
      <c r="BR142" s="739" t="s">
        <v>5</v>
      </c>
      <c r="BS142" s="740" t="s">
        <v>6</v>
      </c>
      <c r="BT142" s="739"/>
      <c r="BU142" s="740" t="s">
        <v>5</v>
      </c>
      <c r="BV142" s="739" t="s">
        <v>6</v>
      </c>
      <c r="BW142" s="740"/>
      <c r="BX142" s="739" t="s">
        <v>5</v>
      </c>
      <c r="BY142" s="740" t="s">
        <v>6</v>
      </c>
      <c r="BZ142" s="739"/>
      <c r="CA142" s="740" t="s">
        <v>5</v>
      </c>
      <c r="CB142" s="739" t="s">
        <v>6</v>
      </c>
      <c r="CC142" s="740"/>
      <c r="CD142" s="739" t="s">
        <v>5</v>
      </c>
      <c r="CE142" s="740" t="s">
        <v>6</v>
      </c>
      <c r="CF142" s="739"/>
      <c r="CG142" s="740" t="s">
        <v>5</v>
      </c>
      <c r="CH142" s="739" t="s">
        <v>6</v>
      </c>
      <c r="CI142" s="740"/>
      <c r="CJ142" s="739" t="s">
        <v>5</v>
      </c>
      <c r="CK142" s="740" t="s">
        <v>6</v>
      </c>
      <c r="CL142" s="748" t="s">
        <v>6</v>
      </c>
      <c r="CM142" s="169"/>
      <c r="CN142" s="713"/>
      <c r="CO142" s="726"/>
    </row>
    <row r="143" spans="2:93">
      <c r="B143" s="161"/>
      <c r="C143" s="28" t="s">
        <v>382</v>
      </c>
      <c r="D143" s="125"/>
      <c r="E143" s="28"/>
      <c r="F143" s="28"/>
      <c r="G143" s="28"/>
      <c r="H143" s="28"/>
      <c r="I143" s="28"/>
      <c r="J143" s="28"/>
      <c r="K143" s="28"/>
      <c r="L143" s="28"/>
      <c r="M143" s="28"/>
      <c r="N143" s="28"/>
      <c r="O143" s="28"/>
      <c r="P143" s="28"/>
      <c r="Q143" s="162"/>
      <c r="T143" s="738" t="s">
        <v>6</v>
      </c>
      <c r="U143" s="739"/>
      <c r="V143" s="740"/>
      <c r="W143" s="739" t="s">
        <v>6</v>
      </c>
      <c r="X143" s="740"/>
      <c r="Y143" s="739"/>
      <c r="Z143" s="740" t="s">
        <v>5</v>
      </c>
      <c r="AA143" s="739"/>
      <c r="AB143" s="740"/>
      <c r="AC143" s="739" t="s">
        <v>6</v>
      </c>
      <c r="AD143" s="740"/>
      <c r="AE143" s="739"/>
      <c r="AF143" s="740" t="s">
        <v>6</v>
      </c>
      <c r="AG143" s="739"/>
      <c r="AH143" s="741"/>
      <c r="AI143" s="169"/>
      <c r="AJ143" s="169"/>
      <c r="AK143" s="738" t="s">
        <v>6</v>
      </c>
      <c r="AL143" s="739" t="s">
        <v>5</v>
      </c>
      <c r="AM143" s="740" t="s">
        <v>6</v>
      </c>
      <c r="AN143" s="739"/>
      <c r="AO143" s="740" t="s">
        <v>5</v>
      </c>
      <c r="AP143" s="739" t="s">
        <v>6</v>
      </c>
      <c r="AQ143" s="740"/>
      <c r="AR143" s="739" t="s">
        <v>5</v>
      </c>
      <c r="AS143" s="740" t="s">
        <v>6</v>
      </c>
      <c r="AT143" s="739"/>
      <c r="AU143" s="740" t="s">
        <v>5</v>
      </c>
      <c r="AV143" s="739" t="s">
        <v>6</v>
      </c>
      <c r="AW143" s="740"/>
      <c r="AX143" s="739" t="s">
        <v>5</v>
      </c>
      <c r="AY143" s="740" t="s">
        <v>6</v>
      </c>
      <c r="AZ143" s="739"/>
      <c r="BA143" s="740" t="s">
        <v>5</v>
      </c>
      <c r="BB143" s="739" t="s">
        <v>6</v>
      </c>
      <c r="BC143" s="740" t="s">
        <v>6</v>
      </c>
      <c r="BD143" s="739" t="s">
        <v>5</v>
      </c>
      <c r="BE143" s="740" t="s">
        <v>6</v>
      </c>
      <c r="BF143" s="739" t="s">
        <v>6</v>
      </c>
      <c r="BG143" s="740" t="s">
        <v>6</v>
      </c>
      <c r="BH143" s="739" t="s">
        <v>6</v>
      </c>
      <c r="BI143" s="740" t="s">
        <v>6</v>
      </c>
      <c r="BJ143" s="739" t="s">
        <v>5</v>
      </c>
      <c r="BK143" s="740"/>
      <c r="BL143" s="739"/>
      <c r="BM143" s="740"/>
      <c r="BN143" s="739"/>
      <c r="BO143" s="740"/>
      <c r="BP143" s="739"/>
      <c r="BQ143" s="740" t="s">
        <v>6</v>
      </c>
      <c r="BR143" s="739" t="s">
        <v>5</v>
      </c>
      <c r="BS143" s="740" t="s">
        <v>6</v>
      </c>
      <c r="BT143" s="739"/>
      <c r="BU143" s="740" t="s">
        <v>5</v>
      </c>
      <c r="BV143" s="739" t="s">
        <v>6</v>
      </c>
      <c r="BW143" s="740"/>
      <c r="BX143" s="739" t="s">
        <v>5</v>
      </c>
      <c r="BY143" s="740" t="s">
        <v>6</v>
      </c>
      <c r="BZ143" s="739"/>
      <c r="CA143" s="740" t="s">
        <v>5</v>
      </c>
      <c r="CB143" s="739" t="s">
        <v>6</v>
      </c>
      <c r="CC143" s="740"/>
      <c r="CD143" s="739" t="s">
        <v>5</v>
      </c>
      <c r="CE143" s="740" t="s">
        <v>6</v>
      </c>
      <c r="CF143" s="739"/>
      <c r="CG143" s="740" t="s">
        <v>5</v>
      </c>
      <c r="CH143" s="739" t="s">
        <v>6</v>
      </c>
      <c r="CI143" s="740"/>
      <c r="CJ143" s="739" t="s">
        <v>5</v>
      </c>
      <c r="CK143" s="740" t="s">
        <v>6</v>
      </c>
      <c r="CL143" s="748" t="s">
        <v>6</v>
      </c>
      <c r="CM143" s="169"/>
      <c r="CN143" s="713"/>
      <c r="CO143" s="726"/>
    </row>
    <row r="144" spans="2:93" hidden="1">
      <c r="B144" s="161"/>
      <c r="C144" s="168" t="s">
        <v>817</v>
      </c>
      <c r="D144" s="125" t="s">
        <v>135</v>
      </c>
      <c r="E144" s="94">
        <f>IF(OR(School_Type_Value="Mainstream (LA Presumption)",Independent_School_Value="Yes"),0,SUM(E8:E9,E26:E28,E41,E48,E55,E62)*'Input Data'!$Y$3)</f>
        <v>0</v>
      </c>
      <c r="F144" s="94">
        <f>IF(OR(School_Type_Value="Mainstream (LA Presumption)",Independent_School_Value="Yes"),0,MAX(SUM(F8:F9,F26:F28,F41,F48,F55,F62)-SUM(E8:E9,E26:E28,E41,E48,E55,E62),0)*'Input Data'!$Y$3)</f>
        <v>0</v>
      </c>
      <c r="G144" s="94">
        <f>IF(OR(School_Type_Value="Mainstream (LA Presumption)",Independent_School_Value="Yes"),0,MAX(SUM(G8:G9,G26:G28,G41,G48,G55,G62)-SUM(F8:F9,F26:F28,F41,F48,F55,F62),0)*'Input Data'!$Y$3)</f>
        <v>0</v>
      </c>
      <c r="H144" s="94">
        <f>IF(OR(School_Type_Value="Mainstream (LA Presumption)",Independent_School_Value="Yes"),0,MAX(SUM(H8:H9,H26:H28,H41,H48,H55,H62)-SUM(G8:G9,G26:G28,G41,G48,G55,G62),0)*'Input Data'!$Y$3)</f>
        <v>0</v>
      </c>
      <c r="I144" s="94">
        <f>IF(OR(School_Type_Value="Mainstream (LA Presumption)",Independent_School_Value="Yes"),0,MAX(SUM(I8:I9,I26:I28,I41,I48,I55,I62)-SUM(H8:H9,H26:H28,H41,H48,H55,H62),0)*'Input Data'!$Y$3)</f>
        <v>0</v>
      </c>
      <c r="J144" s="94">
        <f>IF(OR(School_Type_Value="Mainstream (LA Presumption)",Independent_School_Value="Yes"),0,MAX(SUM(J8:J9,J26:J28,J41,J48,J55,J62)-SUM(I8:I9,I26:I28,I41,I48,I55,I62),0)*'Input Data'!$Y$3)</f>
        <v>0</v>
      </c>
      <c r="K144" s="94">
        <f>IF(OR(School_Type_Value="Mainstream (LA Presumption)",Independent_School_Value="Yes"),0,MAX(SUM(K8:K9,K26:K28,K41,K48,K55,K62)-SUM(J8:J9,J26:J28,J41,J48,J55,J62),0)*'Input Data'!$Y$3)</f>
        <v>0</v>
      </c>
      <c r="L144" s="94">
        <f>IF(OR(School_Type_Value="Mainstream (LA Presumption)",Independent_School_Value="Yes"),0,MAX(SUM(L8:L9,L26:L28,L41,L48,L55,L62)-SUM(K8:K9,K26:K28,K41,K48,K55,K62),0)*'Input Data'!$Y$3)</f>
        <v>0</v>
      </c>
      <c r="M144" s="168"/>
      <c r="N144" s="168"/>
      <c r="O144" s="168"/>
      <c r="P144" s="168"/>
      <c r="Q144" s="162"/>
      <c r="T144" s="738" t="s">
        <v>6</v>
      </c>
      <c r="U144" s="739"/>
      <c r="V144" s="740"/>
      <c r="W144" s="739" t="s">
        <v>6</v>
      </c>
      <c r="X144" s="740"/>
      <c r="Y144" s="739"/>
      <c r="Z144" s="740" t="s">
        <v>5</v>
      </c>
      <c r="AA144" s="739"/>
      <c r="AB144" s="740"/>
      <c r="AC144" s="739" t="s">
        <v>6</v>
      </c>
      <c r="AD144" s="740"/>
      <c r="AE144" s="739"/>
      <c r="AF144" s="740" t="s">
        <v>5</v>
      </c>
      <c r="AG144" s="739"/>
      <c r="AH144" s="741"/>
      <c r="AI144" s="169"/>
      <c r="AJ144" s="169"/>
      <c r="AK144" s="738" t="s">
        <v>6</v>
      </c>
      <c r="AL144" s="739" t="s">
        <v>5</v>
      </c>
      <c r="AM144" s="740" t="s">
        <v>6</v>
      </c>
      <c r="AN144" s="739" t="s">
        <v>6</v>
      </c>
      <c r="AO144" s="740" t="s">
        <v>5</v>
      </c>
      <c r="AP144" s="739" t="s">
        <v>6</v>
      </c>
      <c r="AQ144" s="740" t="s">
        <v>5</v>
      </c>
      <c r="AR144" s="739" t="s">
        <v>5</v>
      </c>
      <c r="AS144" s="740" t="s">
        <v>5</v>
      </c>
      <c r="AT144" s="739" t="s">
        <v>5</v>
      </c>
      <c r="AU144" s="740" t="s">
        <v>5</v>
      </c>
      <c r="AV144" s="739" t="s">
        <v>5</v>
      </c>
      <c r="AW144" s="740" t="s">
        <v>6</v>
      </c>
      <c r="AX144" s="739" t="s">
        <v>5</v>
      </c>
      <c r="AY144" s="740" t="s">
        <v>6</v>
      </c>
      <c r="AZ144" s="739" t="s">
        <v>6</v>
      </c>
      <c r="BA144" s="740" t="s">
        <v>5</v>
      </c>
      <c r="BB144" s="739" t="s">
        <v>6</v>
      </c>
      <c r="BC144" s="740" t="s">
        <v>6</v>
      </c>
      <c r="BD144" s="739" t="s">
        <v>6</v>
      </c>
      <c r="BE144" s="740" t="s">
        <v>5</v>
      </c>
      <c r="BF144" s="739" t="s">
        <v>5</v>
      </c>
      <c r="BG144" s="740" t="s">
        <v>6</v>
      </c>
      <c r="BH144" s="739" t="s">
        <v>6</v>
      </c>
      <c r="BI144" s="740" t="s">
        <v>5</v>
      </c>
      <c r="BJ144" s="739" t="s">
        <v>5</v>
      </c>
      <c r="BK144" s="740"/>
      <c r="BL144" s="739"/>
      <c r="BM144" s="740"/>
      <c r="BN144" s="739"/>
      <c r="BO144" s="740"/>
      <c r="BP144" s="739"/>
      <c r="BQ144" s="740" t="s">
        <v>6</v>
      </c>
      <c r="BR144" s="739" t="s">
        <v>5</v>
      </c>
      <c r="BS144" s="740" t="s">
        <v>6</v>
      </c>
      <c r="BT144" s="739" t="s">
        <v>6</v>
      </c>
      <c r="BU144" s="740" t="s">
        <v>5</v>
      </c>
      <c r="BV144" s="739" t="s">
        <v>6</v>
      </c>
      <c r="BW144" s="740" t="s">
        <v>5</v>
      </c>
      <c r="BX144" s="739" t="s">
        <v>5</v>
      </c>
      <c r="BY144" s="740" t="s">
        <v>5</v>
      </c>
      <c r="BZ144" s="739" t="s">
        <v>5</v>
      </c>
      <c r="CA144" s="740" t="s">
        <v>5</v>
      </c>
      <c r="CB144" s="739" t="s">
        <v>5</v>
      </c>
      <c r="CC144" s="740" t="s">
        <v>6</v>
      </c>
      <c r="CD144" s="739" t="s">
        <v>5</v>
      </c>
      <c r="CE144" s="740" t="s">
        <v>6</v>
      </c>
      <c r="CF144" s="739" t="s">
        <v>6</v>
      </c>
      <c r="CG144" s="740" t="s">
        <v>5</v>
      </c>
      <c r="CH144" s="739" t="s">
        <v>6</v>
      </c>
      <c r="CI144" s="740" t="s">
        <v>5</v>
      </c>
      <c r="CJ144" s="739" t="s">
        <v>5</v>
      </c>
      <c r="CK144" s="740" t="s">
        <v>5</v>
      </c>
      <c r="CL144" s="748" t="s">
        <v>5</v>
      </c>
      <c r="CM144" s="169"/>
      <c r="CN144" s="713"/>
      <c r="CO144" s="726"/>
    </row>
    <row r="145" spans="2:93">
      <c r="B145" s="161"/>
      <c r="C145" s="28" t="s">
        <v>818</v>
      </c>
      <c r="D145" s="125" t="s">
        <v>135</v>
      </c>
      <c r="E145" s="603">
        <f>IF(OR(School_Type_Value="Mainstream (LA Presumption)",Independent_School_Value="Yes"),0,SUM(E10:E11,E19,E21,E29:E30,E34,E42,E49,E56,E63,E69,E70)*'Input Data'!$Y$4)</f>
        <v>0</v>
      </c>
      <c r="F145" s="603">
        <f>IF(OR(School_Type_Value="Mainstream (LA Presumption)",Independent_School_Value="Yes"),0,MAX(SUM(F10:F11,F19,F21,F29:F30,F34,F42,F49,F56,F63,F69,F70)-SUM(E10:E11,E19,E21,E29:E30,E34,E42,E49,E56,E63,E69,E70),0)*'Input Data'!$Y$4)</f>
        <v>0</v>
      </c>
      <c r="G145" s="603">
        <f>IF(OR(School_Type_Value="Mainstream (LA Presumption)",Independent_School_Value="Yes"),0,MAX(SUM(G10:G11,G19,G21,G29:G30,G34,G42,G49,G56,G63,G69,G70)-SUM(F10:F11,F19,F21,F29:F30,F34,F42,F49,F56,F63,F69,F70),0)*'Input Data'!$Y$4)</f>
        <v>0</v>
      </c>
      <c r="H145" s="603">
        <f>IF(OR(School_Type_Value="Mainstream (LA Presumption)",Independent_School_Value="Yes"),0,MAX(SUM(H10:H11,H19,H21,H29:H30,H34,H42,H49,H56,H63,H69,H70)-SUM(G10:G11,G19,G21,G29:G30,G34,G42,G49,G56,G63,G69,G70),0)*'Input Data'!$Y$4)</f>
        <v>0</v>
      </c>
      <c r="I145" s="603">
        <f>IF(OR(School_Type_Value="Mainstream (LA Presumption)",Independent_School_Value="Yes"),0,MAX(SUM(I10:I11,I19,I21,I29:I30,I34,I42,I49,I56,I63,I69,I70)-SUM(H10:H11,H19,H21,H29:H30,H34,H42,H49,H56,H63,H69,H70),0)*'Input Data'!$Y$4)</f>
        <v>0</v>
      </c>
      <c r="J145" s="603">
        <f>IF(OR(School_Type_Value="Mainstream (LA Presumption)",Independent_School_Value="Yes"),0,MAX(SUM(J10:J11,J19,J21,J29:J30,J34,J42,J49,J56,J63,J69,J70)-SUM(I10:I11,I19,I21,I29:I30,I34,I42,I49,I56,I63,I69,I70),0)*'Input Data'!$Y$4)</f>
        <v>0</v>
      </c>
      <c r="K145" s="603">
        <f>IF(OR(School_Type_Value="Mainstream (LA Presumption)",Independent_School_Value="Yes"),0,MAX(SUM(K10:K11,K19,K21,K29:K30,K34,K42,K49,K56,K63,K69,K70)-SUM(J10:J11,J19,J21,J29:J30,J34,J42,J49,J56,J63,J69,J70),0)*'Input Data'!$Y$4)</f>
        <v>0</v>
      </c>
      <c r="L145" s="603">
        <f>IF(OR(School_Type_Value="Mainstream (LA Presumption)",Independent_School_Value="Yes"),0,MAX(SUM(L10:L11,L19,L21,L29:L30,L34,L42,L49,L56,L63,L69,L70)-SUM(K10:K11,K19,K21,K29:K30,K34,K42,K49,K56,K63,K69,K70),0)*'Input Data'!$Y$4)</f>
        <v>0</v>
      </c>
      <c r="M145" s="28"/>
      <c r="N145" s="28"/>
      <c r="O145" s="28"/>
      <c r="P145" s="28"/>
      <c r="Q145" s="162"/>
      <c r="T145" s="738" t="s">
        <v>6</v>
      </c>
      <c r="U145" s="739"/>
      <c r="V145" s="740"/>
      <c r="W145" s="739" t="s">
        <v>6</v>
      </c>
      <c r="X145" s="740"/>
      <c r="Y145" s="739"/>
      <c r="Z145" s="740" t="s">
        <v>5</v>
      </c>
      <c r="AA145" s="739"/>
      <c r="AB145" s="740"/>
      <c r="AC145" s="739" t="s">
        <v>6</v>
      </c>
      <c r="AD145" s="740"/>
      <c r="AE145" s="739"/>
      <c r="AF145" s="740" t="s">
        <v>6</v>
      </c>
      <c r="AG145" s="739"/>
      <c r="AH145" s="741"/>
      <c r="AI145" s="169"/>
      <c r="AJ145" s="169"/>
      <c r="AK145" s="738" t="s">
        <v>6</v>
      </c>
      <c r="AL145" s="739" t="s">
        <v>5</v>
      </c>
      <c r="AM145" s="740" t="s">
        <v>6</v>
      </c>
      <c r="AN145" s="739" t="s">
        <v>5</v>
      </c>
      <c r="AO145" s="740" t="s">
        <v>5</v>
      </c>
      <c r="AP145" s="739" t="s">
        <v>5</v>
      </c>
      <c r="AQ145" s="740" t="s">
        <v>6</v>
      </c>
      <c r="AR145" s="739" t="s">
        <v>5</v>
      </c>
      <c r="AS145" s="740" t="s">
        <v>6</v>
      </c>
      <c r="AT145" s="739" t="s">
        <v>6</v>
      </c>
      <c r="AU145" s="740" t="s">
        <v>5</v>
      </c>
      <c r="AV145" s="739" t="s">
        <v>6</v>
      </c>
      <c r="AW145" s="740" t="s">
        <v>6</v>
      </c>
      <c r="AX145" s="739" t="s">
        <v>5</v>
      </c>
      <c r="AY145" s="740" t="s">
        <v>6</v>
      </c>
      <c r="AZ145" s="739" t="s">
        <v>6</v>
      </c>
      <c r="BA145" s="740" t="s">
        <v>5</v>
      </c>
      <c r="BB145" s="739" t="s">
        <v>6</v>
      </c>
      <c r="BC145" s="740" t="s">
        <v>6</v>
      </c>
      <c r="BD145" s="739" t="s">
        <v>5</v>
      </c>
      <c r="BE145" s="740" t="s">
        <v>6</v>
      </c>
      <c r="BF145" s="739" t="s">
        <v>6</v>
      </c>
      <c r="BG145" s="740" t="s">
        <v>6</v>
      </c>
      <c r="BH145" s="739" t="s">
        <v>6</v>
      </c>
      <c r="BI145" s="740" t="s">
        <v>6</v>
      </c>
      <c r="BJ145" s="739" t="s">
        <v>5</v>
      </c>
      <c r="BK145" s="740"/>
      <c r="BL145" s="739"/>
      <c r="BM145" s="740"/>
      <c r="BN145" s="739"/>
      <c r="BO145" s="740"/>
      <c r="BP145" s="739"/>
      <c r="BQ145" s="740" t="s">
        <v>6</v>
      </c>
      <c r="BR145" s="739" t="s">
        <v>5</v>
      </c>
      <c r="BS145" s="740" t="s">
        <v>6</v>
      </c>
      <c r="BT145" s="739" t="s">
        <v>5</v>
      </c>
      <c r="BU145" s="740" t="s">
        <v>5</v>
      </c>
      <c r="BV145" s="739" t="s">
        <v>5</v>
      </c>
      <c r="BW145" s="740" t="s">
        <v>6</v>
      </c>
      <c r="BX145" s="739" t="s">
        <v>5</v>
      </c>
      <c r="BY145" s="740" t="s">
        <v>6</v>
      </c>
      <c r="BZ145" s="739" t="s">
        <v>6</v>
      </c>
      <c r="CA145" s="740" t="s">
        <v>5</v>
      </c>
      <c r="CB145" s="739" t="s">
        <v>6</v>
      </c>
      <c r="CC145" s="740" t="s">
        <v>6</v>
      </c>
      <c r="CD145" s="739" t="s">
        <v>5</v>
      </c>
      <c r="CE145" s="740" t="s">
        <v>6</v>
      </c>
      <c r="CF145" s="739" t="s">
        <v>6</v>
      </c>
      <c r="CG145" s="740" t="s">
        <v>5</v>
      </c>
      <c r="CH145" s="739" t="s">
        <v>6</v>
      </c>
      <c r="CI145" s="740" t="s">
        <v>5</v>
      </c>
      <c r="CJ145" s="739" t="s">
        <v>5</v>
      </c>
      <c r="CK145" s="740" t="s">
        <v>5</v>
      </c>
      <c r="CL145" s="748" t="s">
        <v>6</v>
      </c>
      <c r="CM145" s="169"/>
      <c r="CN145" s="713"/>
      <c r="CO145" s="726"/>
    </row>
    <row r="146" spans="2:93" hidden="1">
      <c r="B146" s="161"/>
      <c r="C146" s="28" t="s">
        <v>784</v>
      </c>
      <c r="D146" s="126" t="s">
        <v>137</v>
      </c>
      <c r="E146" s="157">
        <f>INDEX('Input Data'!$AD$3:$AD$10,MATCH(Age_Range_Value,'Input Data'!$AC$3:$AC$10,0))-E35</f>
        <v>0</v>
      </c>
      <c r="F146" s="157">
        <f>INDEX('Input Data'!$AD$3:$AD$10,MATCH(Age_Range_Value,'Input Data'!$AC$3:$AC$10,0))-F35</f>
        <v>0</v>
      </c>
      <c r="G146" s="157">
        <f>INDEX('Input Data'!$AD$3:$AD$10,MATCH(Age_Range_Value,'Input Data'!$AC$3:$AC$10,0))-G35</f>
        <v>0</v>
      </c>
      <c r="H146" s="157">
        <f>INDEX('Input Data'!$AD$3:$AD$10,MATCH(Age_Range_Value,'Input Data'!$AC$3:$AC$10,0))-H35</f>
        <v>0</v>
      </c>
      <c r="I146" s="157">
        <f>INDEX('Input Data'!$AD$3:$AD$10,MATCH(Age_Range_Value,'Input Data'!$AC$3:$AC$10,0))-I35</f>
        <v>0</v>
      </c>
      <c r="J146" s="157">
        <f>INDEX('Input Data'!$AD$3:$AD$10,MATCH(Age_Range_Value,'Input Data'!$AC$3:$AC$10,0))-J35</f>
        <v>0</v>
      </c>
      <c r="K146" s="157">
        <f>INDEX('Input Data'!$AD$3:$AD$10,MATCH(Age_Range_Value,'Input Data'!$AC$3:$AC$10,0))-K35</f>
        <v>0</v>
      </c>
      <c r="L146" s="157">
        <f>INDEX('Input Data'!$AD$3:$AD$10,MATCH(Age_Range_Value,'Input Data'!$AC$3:$AC$10,0))-L35</f>
        <v>0</v>
      </c>
      <c r="M146" s="28"/>
      <c r="N146" s="28"/>
      <c r="O146" s="28"/>
      <c r="P146" s="28"/>
      <c r="Q146" s="162"/>
      <c r="T146" s="738" t="s">
        <v>5</v>
      </c>
      <c r="U146" s="739"/>
      <c r="V146" s="740"/>
      <c r="W146" s="739" t="s">
        <v>6</v>
      </c>
      <c r="X146" s="740"/>
      <c r="Y146" s="739"/>
      <c r="Z146" s="740" t="s">
        <v>5</v>
      </c>
      <c r="AA146" s="739"/>
      <c r="AB146" s="740"/>
      <c r="AC146" s="739" t="s">
        <v>5</v>
      </c>
      <c r="AD146" s="740"/>
      <c r="AE146" s="739"/>
      <c r="AF146" s="740" t="s">
        <v>5</v>
      </c>
      <c r="AG146" s="739"/>
      <c r="AH146" s="741"/>
      <c r="AI146" s="169"/>
      <c r="AJ146" s="169"/>
      <c r="AK146" s="738" t="s">
        <v>5</v>
      </c>
      <c r="AL146" s="739"/>
      <c r="AM146" s="740"/>
      <c r="AN146" s="739"/>
      <c r="AO146" s="740"/>
      <c r="AP146" s="739"/>
      <c r="AQ146" s="740"/>
      <c r="AR146" s="739"/>
      <c r="AS146" s="740"/>
      <c r="AT146" s="739"/>
      <c r="AU146" s="740"/>
      <c r="AV146" s="739"/>
      <c r="AW146" s="740"/>
      <c r="AX146" s="739"/>
      <c r="AY146" s="740"/>
      <c r="AZ146" s="739"/>
      <c r="BA146" s="740"/>
      <c r="BB146" s="739"/>
      <c r="BC146" s="740" t="s">
        <v>6</v>
      </c>
      <c r="BD146" s="739" t="s">
        <v>6</v>
      </c>
      <c r="BE146" s="740" t="s">
        <v>6</v>
      </c>
      <c r="BF146" s="739" t="s">
        <v>6</v>
      </c>
      <c r="BG146" s="740" t="s">
        <v>6</v>
      </c>
      <c r="BH146" s="739" t="s">
        <v>6</v>
      </c>
      <c r="BI146" s="740" t="s">
        <v>5</v>
      </c>
      <c r="BJ146" s="739" t="s">
        <v>5</v>
      </c>
      <c r="BK146" s="740"/>
      <c r="BL146" s="739"/>
      <c r="BM146" s="740"/>
      <c r="BN146" s="739"/>
      <c r="BO146" s="740"/>
      <c r="BP146" s="739"/>
      <c r="BQ146" s="740" t="s">
        <v>5</v>
      </c>
      <c r="BR146" s="739"/>
      <c r="BS146" s="740"/>
      <c r="BT146" s="739"/>
      <c r="BU146" s="740"/>
      <c r="BV146" s="739"/>
      <c r="BW146" s="740"/>
      <c r="BX146" s="739"/>
      <c r="BY146" s="740"/>
      <c r="BZ146" s="739"/>
      <c r="CA146" s="740"/>
      <c r="CB146" s="739"/>
      <c r="CC146" s="740"/>
      <c r="CD146" s="739"/>
      <c r="CE146" s="740"/>
      <c r="CF146" s="739"/>
      <c r="CG146" s="740"/>
      <c r="CH146" s="739"/>
      <c r="CI146" s="740"/>
      <c r="CJ146" s="739"/>
      <c r="CK146" s="740"/>
      <c r="CL146" s="748" t="s">
        <v>5</v>
      </c>
      <c r="CM146" s="169"/>
      <c r="CN146" s="713"/>
      <c r="CO146" s="726"/>
    </row>
    <row r="147" spans="2:93" hidden="1">
      <c r="B147" s="161"/>
      <c r="C147" s="153" t="s">
        <v>383</v>
      </c>
      <c r="D147" s="125" t="s">
        <v>135</v>
      </c>
      <c r="E147" s="576"/>
      <c r="F147" s="576"/>
      <c r="G147" s="576"/>
      <c r="H147" s="109"/>
      <c r="I147" s="109"/>
      <c r="J147" s="109"/>
      <c r="K147" s="109"/>
      <c r="L147" s="109"/>
      <c r="M147" s="153"/>
      <c r="N147" s="582" t="s">
        <v>1039</v>
      </c>
      <c r="O147" s="153"/>
      <c r="P147" s="153"/>
      <c r="Q147" s="162"/>
      <c r="T147" s="738" t="s">
        <v>6</v>
      </c>
      <c r="U147" s="739"/>
      <c r="V147" s="740"/>
      <c r="W147" s="739" t="s">
        <v>5</v>
      </c>
      <c r="X147" s="740"/>
      <c r="Y147" s="739"/>
      <c r="Z147" s="740" t="s">
        <v>5</v>
      </c>
      <c r="AA147" s="739"/>
      <c r="AB147" s="740"/>
      <c r="AC147" s="739" t="s">
        <v>5</v>
      </c>
      <c r="AD147" s="740"/>
      <c r="AE147" s="739"/>
      <c r="AF147" s="740" t="s">
        <v>5</v>
      </c>
      <c r="AG147" s="739"/>
      <c r="AH147" s="741"/>
      <c r="AI147" s="169"/>
      <c r="AJ147" s="169"/>
      <c r="AK147" s="738" t="s">
        <v>6</v>
      </c>
      <c r="AL147" s="739" t="s">
        <v>5</v>
      </c>
      <c r="AM147" s="740" t="s">
        <v>6</v>
      </c>
      <c r="AN147" s="739"/>
      <c r="AO147" s="740" t="s">
        <v>5</v>
      </c>
      <c r="AP147" s="739" t="s">
        <v>6</v>
      </c>
      <c r="AQ147" s="740"/>
      <c r="AR147" s="739" t="s">
        <v>5</v>
      </c>
      <c r="AS147" s="740" t="s">
        <v>6</v>
      </c>
      <c r="AT147" s="739"/>
      <c r="AU147" s="740" t="s">
        <v>5</v>
      </c>
      <c r="AV147" s="739" t="s">
        <v>6</v>
      </c>
      <c r="AW147" s="740"/>
      <c r="AX147" s="739" t="s">
        <v>5</v>
      </c>
      <c r="AY147" s="740" t="s">
        <v>6</v>
      </c>
      <c r="AZ147" s="739"/>
      <c r="BA147" s="740" t="s">
        <v>5</v>
      </c>
      <c r="BB147" s="739" t="s">
        <v>6</v>
      </c>
      <c r="BC147" s="740" t="s">
        <v>5</v>
      </c>
      <c r="BD147" s="739"/>
      <c r="BE147" s="740"/>
      <c r="BF147" s="739"/>
      <c r="BG147" s="740"/>
      <c r="BH147" s="739"/>
      <c r="BI147" s="740"/>
      <c r="BJ147" s="739" t="s">
        <v>5</v>
      </c>
      <c r="BK147" s="740"/>
      <c r="BL147" s="739"/>
      <c r="BM147" s="740"/>
      <c r="BN147" s="739"/>
      <c r="BO147" s="740"/>
      <c r="BP147" s="739"/>
      <c r="BQ147" s="740" t="s">
        <v>5</v>
      </c>
      <c r="BR147" s="739"/>
      <c r="BS147" s="740"/>
      <c r="BT147" s="739"/>
      <c r="BU147" s="740"/>
      <c r="BV147" s="739"/>
      <c r="BW147" s="740"/>
      <c r="BX147" s="739"/>
      <c r="BY147" s="740"/>
      <c r="BZ147" s="739"/>
      <c r="CA147" s="740"/>
      <c r="CB147" s="739"/>
      <c r="CC147" s="740"/>
      <c r="CD147" s="739"/>
      <c r="CE147" s="740"/>
      <c r="CF147" s="739"/>
      <c r="CG147" s="740"/>
      <c r="CH147" s="739"/>
      <c r="CI147" s="740"/>
      <c r="CJ147" s="739"/>
      <c r="CK147" s="740"/>
      <c r="CL147" s="748" t="s">
        <v>5</v>
      </c>
      <c r="CM147" s="169"/>
      <c r="CN147" s="713"/>
      <c r="CO147" s="726"/>
    </row>
    <row r="148" spans="2:93" hidden="1">
      <c r="B148" s="161"/>
      <c r="C148" s="153" t="s">
        <v>383</v>
      </c>
      <c r="D148" s="125" t="s">
        <v>135</v>
      </c>
      <c r="E148" s="170">
        <f>IF(OR(School_Type_Value&lt;&gt;"Mainstream",ISBLANK(E146)),0,INDEX('Input Data'!$AG$3:$AM$9,MATCH(MIN('G3. Budget'!E146,6),'Input Data'!$AF$3:$AF$9,0),MATCH(Age_Range_Value,'Input Data'!$AG$2:$AM$2,0)))</f>
        <v>0</v>
      </c>
      <c r="F148" s="170">
        <f>IF(OR(School_Type_Value&lt;&gt;"Mainstream",ISBLANK(F146)),0,IF(SUM($E148:E148,INDEX('Input Data'!$AG$3:$AM$9,MATCH(MIN('G3. Budget'!F146,6),'Input Data'!$AF$3:$AF$9,0),MATCH(Age_Range_Value,'Input Data'!$AG$2:$AM$2,0)))&gt;INDEX('Input Data'!$AG$10:$AM$10,1,MATCH(Age_Range_Value,'Input Data'!$AG$2:$AM$2,0)),INDEX('Input Data'!$AG$10:$AM$10,1,MATCH(Age_Range_Value,'Input Data'!$AG$2:$AM$2,0))-SUM($E148:E148),INDEX('Input Data'!$AG$3:$AM$9,MATCH(MIN('G3. Budget'!F146,6),'Input Data'!$AF$3:$AF$9,0),MATCH(Age_Range_Value,'Input Data'!$AG$2:$AM$2,0))))</f>
        <v>0</v>
      </c>
      <c r="G148" s="170">
        <f>IF(OR(School_Type_Value&lt;&gt;"Mainstream",ISBLANK(G146)),0,IF(SUM($E148:F148,INDEX('Input Data'!$AG$3:$AM$9,MATCH(MIN('G3. Budget'!G146,6),'Input Data'!$AF$3:$AF$9,0),MATCH(Age_Range_Value,'Input Data'!$AG$2:$AM$2,0)))&gt;INDEX('Input Data'!$AG$10:$AM$10,1,MATCH(Age_Range_Value,'Input Data'!$AG$2:$AM$2,0)),INDEX('Input Data'!$AG$10:$AM$10,1,MATCH(Age_Range_Value,'Input Data'!$AG$2:$AM$2,0))-SUM($E148:F148),INDEX('Input Data'!$AG$3:$AM$9,MATCH(MIN('G3. Budget'!G146,6),'Input Data'!$AF$3:$AF$9,0),MATCH(Age_Range_Value,'Input Data'!$AG$2:$AM$2,0))))</f>
        <v>0</v>
      </c>
      <c r="H148" s="170">
        <f>IF(OR(School_Type_Value&lt;&gt;"Mainstream",ISBLANK(H146)),0,IF(SUM($E148:G148,INDEX('Input Data'!$AG$3:$AM$9,MATCH(MIN('G3. Budget'!H146,6),'Input Data'!$AF$3:$AF$9,0),MATCH(Age_Range_Value,'Input Data'!$AG$2:$AM$2,0)))&gt;INDEX('Input Data'!$AG$10:$AM$10,1,MATCH(Age_Range_Value,'Input Data'!$AG$2:$AM$2,0)),INDEX('Input Data'!$AG$10:$AM$10,1,MATCH(Age_Range_Value,'Input Data'!$AG$2:$AM$2,0))-SUM($E148:G148),INDEX('Input Data'!$AG$3:$AM$9,MATCH(MIN('G3. Budget'!H146,6),'Input Data'!$AF$3:$AF$9,0),MATCH(Age_Range_Value,'Input Data'!$AG$2:$AM$2,0))))</f>
        <v>0</v>
      </c>
      <c r="I148" s="170">
        <f>IF(OR(School_Type_Value&lt;&gt;"Mainstream",ISBLANK(I146)),0,IF(SUM($E148:H148,INDEX('Input Data'!$AG$3:$AM$9,MATCH(MIN('G3. Budget'!I146,6),'Input Data'!$AF$3:$AF$9,0),MATCH(Age_Range_Value,'Input Data'!$AG$2:$AM$2,0)))&gt;INDEX('Input Data'!$AG$10:$AM$10,1,MATCH(Age_Range_Value,'Input Data'!$AG$2:$AM$2,0)),INDEX('Input Data'!$AG$10:$AM$10,1,MATCH(Age_Range_Value,'Input Data'!$AG$2:$AM$2,0))-SUM($E148:H148),INDEX('Input Data'!$AG$3:$AM$9,MATCH(MIN('G3. Budget'!I146,6),'Input Data'!$AF$3:$AF$9,0),MATCH(Age_Range_Value,'Input Data'!$AG$2:$AM$2,0))))</f>
        <v>0</v>
      </c>
      <c r="J148" s="170">
        <f>IF(OR(School_Type_Value&lt;&gt;"Mainstream",ISBLANK(J146)),0,IF(SUM($E148:I148,INDEX('Input Data'!$AG$3:$AM$9,MATCH(MIN('G3. Budget'!J146,6),'Input Data'!$AF$3:$AF$9,0),MATCH(Age_Range_Value,'Input Data'!$AG$2:$AM$2,0)))&gt;INDEX('Input Data'!$AG$10:$AM$10,1,MATCH(Age_Range_Value,'Input Data'!$AG$2:$AM$2,0)),INDEX('Input Data'!$AG$10:$AM$10,1,MATCH(Age_Range_Value,'Input Data'!$AG$2:$AM$2,0))-SUM($E148:I148),INDEX('Input Data'!$AG$3:$AM$9,MATCH(MIN('G3. Budget'!J146,6),'Input Data'!$AF$3:$AF$9,0),MATCH(Age_Range_Value,'Input Data'!$AG$2:$AM$2,0))))</f>
        <v>0</v>
      </c>
      <c r="K148" s="170">
        <f>IF(OR(School_Type_Value&lt;&gt;"Mainstream",ISBLANK(K146)),0,IF(SUM($E148:J148,INDEX('Input Data'!$AG$3:$AM$9,MATCH(MIN('G3. Budget'!K146,6),'Input Data'!$AF$3:$AF$9,0),MATCH(Age_Range_Value,'Input Data'!$AG$2:$AM$2,0)))&gt;INDEX('Input Data'!$AG$10:$AM$10,1,MATCH(Age_Range_Value,'Input Data'!$AG$2:$AM$2,0)),INDEX('Input Data'!$AG$10:$AM$10,1,MATCH(Age_Range_Value,'Input Data'!$AG$2:$AM$2,0))-SUM($E148:J148),INDEX('Input Data'!$AG$3:$AM$9,MATCH(MIN('G3. Budget'!K146,6),'Input Data'!$AF$3:$AF$9,0),MATCH(Age_Range_Value,'Input Data'!$AG$2:$AM$2,0))))</f>
        <v>0</v>
      </c>
      <c r="L148" s="170">
        <f>IF(OR(School_Type_Value&lt;&gt;"Mainstream",ISBLANK(L146)),0,IF(SUM($E148:K148,INDEX('Input Data'!$AG$3:$AM$9,MATCH(MIN('G3. Budget'!L146,6),'Input Data'!$AF$3:$AF$9,0),MATCH(Age_Range_Value,'Input Data'!$AG$2:$AM$2,0)))&gt;INDEX('Input Data'!$AG$10:$AM$10,1,MATCH(Age_Range_Value,'Input Data'!$AG$2:$AM$2,0)),INDEX('Input Data'!$AG$10:$AM$10,1,MATCH(Age_Range_Value,'Input Data'!$AG$2:$AM$2,0))-SUM($E148:K148),INDEX('Input Data'!$AG$3:$AM$9,MATCH(MIN('G3. Budget'!L146,6),'Input Data'!$AF$3:$AF$9,0),MATCH(Age_Range_Value,'Input Data'!$AG$2:$AM$2,0))))</f>
        <v>0</v>
      </c>
      <c r="M148"/>
      <c r="N148" s="582" t="s">
        <v>1029</v>
      </c>
      <c r="O148" s="153"/>
      <c r="P148" s="153"/>
      <c r="Q148" s="162"/>
      <c r="S148" s="169"/>
      <c r="T148" s="738" t="s">
        <v>5</v>
      </c>
      <c r="U148" s="739"/>
      <c r="V148" s="740"/>
      <c r="W148" s="739" t="s">
        <v>6</v>
      </c>
      <c r="X148" s="740"/>
      <c r="Y148" s="739"/>
      <c r="Z148" s="740" t="s">
        <v>5</v>
      </c>
      <c r="AA148" s="739"/>
      <c r="AB148" s="740"/>
      <c r="AC148" s="739" t="s">
        <v>5</v>
      </c>
      <c r="AD148" s="740"/>
      <c r="AE148" s="739"/>
      <c r="AF148" s="740" t="s">
        <v>5</v>
      </c>
      <c r="AG148" s="739"/>
      <c r="AH148" s="741"/>
      <c r="AK148" s="738" t="s">
        <v>5</v>
      </c>
      <c r="AL148" s="739"/>
      <c r="AM148" s="740"/>
      <c r="AN148" s="739"/>
      <c r="AO148" s="740"/>
      <c r="AP148" s="739"/>
      <c r="AQ148" s="740"/>
      <c r="AR148" s="739"/>
      <c r="AS148" s="740"/>
      <c r="AT148" s="739"/>
      <c r="AU148" s="740"/>
      <c r="AV148" s="739"/>
      <c r="AW148" s="740"/>
      <c r="AX148" s="739"/>
      <c r="AY148" s="740"/>
      <c r="AZ148" s="739"/>
      <c r="BA148" s="740"/>
      <c r="BB148" s="739"/>
      <c r="BC148" s="740" t="s">
        <v>6</v>
      </c>
      <c r="BD148" s="739" t="s">
        <v>6</v>
      </c>
      <c r="BE148" s="740" t="s">
        <v>6</v>
      </c>
      <c r="BF148" s="739" t="s">
        <v>6</v>
      </c>
      <c r="BG148" s="740" t="s">
        <v>6</v>
      </c>
      <c r="BH148" s="739" t="s">
        <v>6</v>
      </c>
      <c r="BI148" s="740" t="s">
        <v>5</v>
      </c>
      <c r="BJ148" s="739" t="s">
        <v>5</v>
      </c>
      <c r="BK148" s="740"/>
      <c r="BL148" s="739"/>
      <c r="BM148" s="740"/>
      <c r="BN148" s="739"/>
      <c r="BO148" s="740"/>
      <c r="BP148" s="739"/>
      <c r="BQ148" s="740" t="s">
        <v>5</v>
      </c>
      <c r="BR148" s="739"/>
      <c r="BS148" s="740"/>
      <c r="BT148" s="739"/>
      <c r="BU148" s="740"/>
      <c r="BV148" s="739"/>
      <c r="BW148" s="740"/>
      <c r="BX148" s="739"/>
      <c r="BY148" s="740"/>
      <c r="BZ148" s="739"/>
      <c r="CA148" s="740"/>
      <c r="CB148" s="739"/>
      <c r="CC148" s="740"/>
      <c r="CD148" s="739"/>
      <c r="CE148" s="740"/>
      <c r="CF148" s="739"/>
      <c r="CG148" s="740"/>
      <c r="CH148" s="739"/>
      <c r="CI148" s="740"/>
      <c r="CJ148" s="739"/>
      <c r="CK148" s="740"/>
      <c r="CL148" s="748" t="s">
        <v>5</v>
      </c>
      <c r="CN148" s="713"/>
      <c r="CO148" s="726"/>
    </row>
    <row r="149" spans="2:93" hidden="1">
      <c r="B149" s="161"/>
      <c r="C149" s="153" t="s">
        <v>383</v>
      </c>
      <c r="D149" s="125" t="s">
        <v>135</v>
      </c>
      <c r="E149" s="170">
        <f>IF(Independent_School_Value="Yes",0,INDEX('Input Data'!AP3:AP7,MATCH(School_Type_Value,'Input Data'!$AO$3:$AO$7,0)))</f>
        <v>0</v>
      </c>
      <c r="F149" s="170">
        <f>IF(Independent_School_Value="Yes",0,INDEX('Input Data'!AQ3:AQ7,MATCH(School_Type_Value,'Input Data'!$AO$3:$AO$7,0)))</f>
        <v>0</v>
      </c>
      <c r="G149" s="170">
        <f>IF(Independent_School_Value="Yes",0,INDEX('Input Data'!AR3:AR7,MATCH(School_Type_Value,'Input Data'!$AO$3:$AO$7,0)))</f>
        <v>0</v>
      </c>
      <c r="H149" s="109"/>
      <c r="I149" s="109"/>
      <c r="J149" s="109"/>
      <c r="K149" s="109"/>
      <c r="L149" s="109"/>
      <c r="M149" s="153"/>
      <c r="N149" s="582" t="s">
        <v>1029</v>
      </c>
      <c r="O149" s="153"/>
      <c r="P149" s="153"/>
      <c r="Q149" s="162"/>
      <c r="S149" s="169"/>
      <c r="T149" s="738" t="s">
        <v>5</v>
      </c>
      <c r="U149" s="739"/>
      <c r="V149" s="740"/>
      <c r="W149" s="739" t="s">
        <v>5</v>
      </c>
      <c r="X149" s="740"/>
      <c r="Y149" s="739"/>
      <c r="Z149" s="740" t="s">
        <v>5</v>
      </c>
      <c r="AA149" s="739"/>
      <c r="AB149" s="740"/>
      <c r="AC149" s="739" t="s">
        <v>6</v>
      </c>
      <c r="AD149" s="740"/>
      <c r="AE149" s="739"/>
      <c r="AF149" s="740" t="s">
        <v>6</v>
      </c>
      <c r="AG149" s="739"/>
      <c r="AH149" s="741"/>
      <c r="AK149" s="738" t="s">
        <v>5</v>
      </c>
      <c r="AL149" s="739"/>
      <c r="AM149" s="740"/>
      <c r="AN149" s="739"/>
      <c r="AO149" s="740"/>
      <c r="AP149" s="739"/>
      <c r="AQ149" s="740"/>
      <c r="AR149" s="739"/>
      <c r="AS149" s="740"/>
      <c r="AT149" s="739"/>
      <c r="AU149" s="740"/>
      <c r="AV149" s="739"/>
      <c r="AW149" s="740"/>
      <c r="AX149" s="739"/>
      <c r="AY149" s="740"/>
      <c r="AZ149" s="739"/>
      <c r="BA149" s="740"/>
      <c r="BB149" s="739"/>
      <c r="BC149" s="740" t="s">
        <v>5</v>
      </c>
      <c r="BD149" s="739"/>
      <c r="BE149" s="740"/>
      <c r="BF149" s="739"/>
      <c r="BG149" s="740"/>
      <c r="BH149" s="739"/>
      <c r="BI149" s="740"/>
      <c r="BJ149" s="739" t="s">
        <v>5</v>
      </c>
      <c r="BK149" s="740"/>
      <c r="BL149" s="739"/>
      <c r="BM149" s="740"/>
      <c r="BN149" s="739"/>
      <c r="BO149" s="740"/>
      <c r="BP149" s="739"/>
      <c r="BQ149" s="740" t="s">
        <v>6</v>
      </c>
      <c r="BR149" s="739" t="s">
        <v>5</v>
      </c>
      <c r="BS149" s="740" t="s">
        <v>6</v>
      </c>
      <c r="BT149" s="739"/>
      <c r="BU149" s="740" t="s">
        <v>5</v>
      </c>
      <c r="BV149" s="739" t="s">
        <v>6</v>
      </c>
      <c r="BW149" s="740"/>
      <c r="BX149" s="739" t="s">
        <v>5</v>
      </c>
      <c r="BY149" s="740" t="s">
        <v>6</v>
      </c>
      <c r="BZ149" s="739"/>
      <c r="CA149" s="740" t="s">
        <v>5</v>
      </c>
      <c r="CB149" s="739" t="s">
        <v>6</v>
      </c>
      <c r="CC149" s="740"/>
      <c r="CD149" s="739" t="s">
        <v>5</v>
      </c>
      <c r="CE149" s="740" t="s">
        <v>6</v>
      </c>
      <c r="CF149" s="739"/>
      <c r="CG149" s="740" t="s">
        <v>5</v>
      </c>
      <c r="CH149" s="739" t="s">
        <v>6</v>
      </c>
      <c r="CI149" s="740"/>
      <c r="CJ149" s="739" t="s">
        <v>5</v>
      </c>
      <c r="CK149" s="740" t="s">
        <v>6</v>
      </c>
      <c r="CL149" s="748" t="s">
        <v>6</v>
      </c>
      <c r="CN149" s="713"/>
      <c r="CO149" s="726"/>
    </row>
    <row r="150" spans="2:93">
      <c r="B150" s="161"/>
      <c r="C150" s="28" t="s">
        <v>383</v>
      </c>
      <c r="D150" s="125" t="s">
        <v>135</v>
      </c>
      <c r="E150" s="96">
        <f>IF(AND(School_Type_Value="Mainstream",Age_Range_Value="16-19 School"),'Input Data'!AA3,0)</f>
        <v>108000</v>
      </c>
      <c r="F150" s="96">
        <f>IF(AND(School_Type_Value="Mainstream",Age_Range_Value="16-19 School"),'Input Data'!AA4,0)</f>
        <v>27000</v>
      </c>
      <c r="G150" s="109"/>
      <c r="H150" s="109"/>
      <c r="I150" s="109"/>
      <c r="J150" s="109"/>
      <c r="K150" s="109"/>
      <c r="L150" s="109"/>
      <c r="M150"/>
      <c r="N150" s="582" t="s">
        <v>1029</v>
      </c>
      <c r="O150" s="28"/>
      <c r="P150" s="28"/>
      <c r="Q150" s="162"/>
      <c r="S150" s="169"/>
      <c r="T150" s="738" t="s">
        <v>5</v>
      </c>
      <c r="U150" s="739"/>
      <c r="V150" s="740"/>
      <c r="W150" s="739" t="s">
        <v>5</v>
      </c>
      <c r="X150" s="740"/>
      <c r="Y150" s="739"/>
      <c r="Z150" s="740" t="s">
        <v>5</v>
      </c>
      <c r="AA150" s="739"/>
      <c r="AB150" s="740"/>
      <c r="AC150" s="739" t="s">
        <v>5</v>
      </c>
      <c r="AD150" s="740"/>
      <c r="AE150" s="739"/>
      <c r="AF150" s="740" t="s">
        <v>5</v>
      </c>
      <c r="AG150" s="739"/>
      <c r="AH150" s="741"/>
      <c r="AK150" s="738" t="s">
        <v>5</v>
      </c>
      <c r="AL150" s="739"/>
      <c r="AM150" s="740"/>
      <c r="AN150" s="739"/>
      <c r="AO150" s="740"/>
      <c r="AP150" s="739"/>
      <c r="AQ150" s="740"/>
      <c r="AR150" s="739"/>
      <c r="AS150" s="740"/>
      <c r="AT150" s="739"/>
      <c r="AU150" s="740"/>
      <c r="AV150" s="739"/>
      <c r="AW150" s="740"/>
      <c r="AX150" s="739"/>
      <c r="AY150" s="740"/>
      <c r="AZ150" s="739"/>
      <c r="BA150" s="740"/>
      <c r="BB150" s="739"/>
      <c r="BC150" s="740" t="s">
        <v>5</v>
      </c>
      <c r="BD150" s="739" t="s">
        <v>5</v>
      </c>
      <c r="BE150" s="740" t="s">
        <v>5</v>
      </c>
      <c r="BF150" s="739" t="s">
        <v>5</v>
      </c>
      <c r="BG150" s="740" t="s">
        <v>5</v>
      </c>
      <c r="BH150" s="739" t="s">
        <v>5</v>
      </c>
      <c r="BI150" s="740" t="s">
        <v>6</v>
      </c>
      <c r="BJ150" s="739" t="s">
        <v>5</v>
      </c>
      <c r="BK150" s="740"/>
      <c r="BL150" s="739"/>
      <c r="BM150" s="740"/>
      <c r="BN150" s="739"/>
      <c r="BO150" s="740"/>
      <c r="BP150" s="739"/>
      <c r="BQ150" s="740" t="s">
        <v>5</v>
      </c>
      <c r="BR150" s="739"/>
      <c r="BS150" s="740"/>
      <c r="BT150" s="739"/>
      <c r="BU150" s="740"/>
      <c r="BV150" s="739"/>
      <c r="BW150" s="740"/>
      <c r="BX150" s="739"/>
      <c r="BY150" s="740"/>
      <c r="BZ150" s="739"/>
      <c r="CA150" s="740"/>
      <c r="CB150" s="739"/>
      <c r="CC150" s="740"/>
      <c r="CD150" s="739"/>
      <c r="CE150" s="740"/>
      <c r="CF150" s="739"/>
      <c r="CG150" s="740"/>
      <c r="CH150" s="739"/>
      <c r="CI150" s="740"/>
      <c r="CJ150" s="739"/>
      <c r="CK150" s="740"/>
      <c r="CL150" s="748" t="s">
        <v>5</v>
      </c>
      <c r="CN150" s="713"/>
      <c r="CO150" s="726"/>
    </row>
    <row r="151" spans="2:93" ht="10.9" customHeight="1">
      <c r="B151" s="161"/>
      <c r="C151" s="586" t="s">
        <v>384</v>
      </c>
      <c r="D151" s="125" t="s">
        <v>135</v>
      </c>
      <c r="E151" s="587">
        <f>SUM(E144:E145,E147:E150)</f>
        <v>108000</v>
      </c>
      <c r="F151" s="587">
        <f>SUM(F144:F145,F147:F150)</f>
        <v>27000</v>
      </c>
      <c r="G151" s="587">
        <f>SUM(G144:G145,G147:G150)</f>
        <v>0</v>
      </c>
      <c r="H151" s="587">
        <f>SUM(H144:H145,H147:H150)</f>
        <v>0</v>
      </c>
      <c r="I151" s="587">
        <f>SUM(I144:I145,I147:I150)</f>
        <v>0</v>
      </c>
      <c r="J151" s="587">
        <f>SUM(J144:J145,J147:J150)</f>
        <v>0</v>
      </c>
      <c r="K151" s="587">
        <f>SUM(K144:K145,K147:K150)</f>
        <v>0</v>
      </c>
      <c r="L151" s="587">
        <f>SUM(L144:L145,L147:L150)</f>
        <v>0</v>
      </c>
      <c r="M151" s="98"/>
      <c r="N151" s="98"/>
      <c r="O151" s="98"/>
      <c r="P151" s="98"/>
      <c r="Q151" s="162"/>
      <c r="S151" s="169"/>
      <c r="T151" s="738" t="s">
        <v>6</v>
      </c>
      <c r="U151" s="739"/>
      <c r="V151" s="740"/>
      <c r="W151" s="739" t="s">
        <v>6</v>
      </c>
      <c r="X151" s="740"/>
      <c r="Y151" s="739"/>
      <c r="Z151" s="740" t="s">
        <v>5</v>
      </c>
      <c r="AA151" s="739"/>
      <c r="AB151" s="740"/>
      <c r="AC151" s="739" t="s">
        <v>6</v>
      </c>
      <c r="AD151" s="740"/>
      <c r="AE151" s="739"/>
      <c r="AF151" s="740" t="s">
        <v>6</v>
      </c>
      <c r="AG151" s="739"/>
      <c r="AH151" s="741"/>
      <c r="AK151" s="738" t="s">
        <v>6</v>
      </c>
      <c r="AL151" s="739" t="s">
        <v>5</v>
      </c>
      <c r="AM151" s="740" t="s">
        <v>6</v>
      </c>
      <c r="AN151" s="739"/>
      <c r="AO151" s="740" t="s">
        <v>5</v>
      </c>
      <c r="AP151" s="739" t="s">
        <v>6</v>
      </c>
      <c r="AQ151" s="740"/>
      <c r="AR151" s="739" t="s">
        <v>5</v>
      </c>
      <c r="AS151" s="740" t="s">
        <v>6</v>
      </c>
      <c r="AT151" s="739"/>
      <c r="AU151" s="740" t="s">
        <v>5</v>
      </c>
      <c r="AV151" s="739" t="s">
        <v>6</v>
      </c>
      <c r="AW151" s="740"/>
      <c r="AX151" s="739" t="s">
        <v>5</v>
      </c>
      <c r="AY151" s="740" t="s">
        <v>6</v>
      </c>
      <c r="AZ151" s="739"/>
      <c r="BA151" s="740" t="s">
        <v>5</v>
      </c>
      <c r="BB151" s="739" t="s">
        <v>6</v>
      </c>
      <c r="BC151" s="740" t="s">
        <v>6</v>
      </c>
      <c r="BD151" s="739" t="s">
        <v>6</v>
      </c>
      <c r="BE151" s="740" t="s">
        <v>6</v>
      </c>
      <c r="BF151" s="739" t="s">
        <v>6</v>
      </c>
      <c r="BG151" s="740" t="s">
        <v>6</v>
      </c>
      <c r="BH151" s="739" t="s">
        <v>6</v>
      </c>
      <c r="BI151" s="740" t="s">
        <v>6</v>
      </c>
      <c r="BJ151" s="739" t="s">
        <v>5</v>
      </c>
      <c r="BK151" s="740"/>
      <c r="BL151" s="739"/>
      <c r="BM151" s="740"/>
      <c r="BN151" s="739"/>
      <c r="BO151" s="740"/>
      <c r="BP151" s="739"/>
      <c r="BQ151" s="740" t="s">
        <v>6</v>
      </c>
      <c r="BR151" s="739" t="s">
        <v>5</v>
      </c>
      <c r="BS151" s="740" t="s">
        <v>6</v>
      </c>
      <c r="BT151" s="739"/>
      <c r="BU151" s="740" t="s">
        <v>5</v>
      </c>
      <c r="BV151" s="739" t="s">
        <v>6</v>
      </c>
      <c r="BW151" s="740"/>
      <c r="BX151" s="739" t="s">
        <v>5</v>
      </c>
      <c r="BY151" s="740" t="s">
        <v>6</v>
      </c>
      <c r="BZ151" s="739"/>
      <c r="CA151" s="740" t="s">
        <v>5</v>
      </c>
      <c r="CB151" s="739" t="s">
        <v>6</v>
      </c>
      <c r="CC151" s="740"/>
      <c r="CD151" s="739" t="s">
        <v>5</v>
      </c>
      <c r="CE151" s="740" t="s">
        <v>6</v>
      </c>
      <c r="CF151" s="739"/>
      <c r="CG151" s="740" t="s">
        <v>5</v>
      </c>
      <c r="CH151" s="739" t="s">
        <v>6</v>
      </c>
      <c r="CI151" s="740"/>
      <c r="CJ151" s="739" t="s">
        <v>5</v>
      </c>
      <c r="CK151" s="740" t="s">
        <v>6</v>
      </c>
      <c r="CL151" s="748" t="s">
        <v>6</v>
      </c>
      <c r="CN151" s="713"/>
      <c r="CO151" s="726"/>
    </row>
    <row r="152" spans="2:93">
      <c r="B152" s="161"/>
      <c r="C152" s="104"/>
      <c r="D152" s="104"/>
      <c r="E152" s="104"/>
      <c r="F152" s="104"/>
      <c r="G152" s="104"/>
      <c r="H152" s="104"/>
      <c r="I152" s="104"/>
      <c r="J152" s="104"/>
      <c r="K152" s="104"/>
      <c r="L152" s="104"/>
      <c r="M152" s="98"/>
      <c r="N152" s="98"/>
      <c r="O152" s="98"/>
      <c r="P152" s="98"/>
      <c r="Q152" s="162"/>
      <c r="S152" s="169"/>
      <c r="T152" s="738" t="s">
        <v>6</v>
      </c>
      <c r="U152" s="739"/>
      <c r="V152" s="740"/>
      <c r="W152" s="739" t="s">
        <v>6</v>
      </c>
      <c r="X152" s="740"/>
      <c r="Y152" s="739"/>
      <c r="Z152" s="740" t="s">
        <v>6</v>
      </c>
      <c r="AA152" s="739"/>
      <c r="AB152" s="740"/>
      <c r="AC152" s="739" t="s">
        <v>6</v>
      </c>
      <c r="AD152" s="740"/>
      <c r="AE152" s="739"/>
      <c r="AF152" s="740" t="s">
        <v>6</v>
      </c>
      <c r="AG152" s="739"/>
      <c r="AH152" s="741"/>
      <c r="AK152" s="738" t="s">
        <v>6</v>
      </c>
      <c r="AL152" s="739" t="s">
        <v>5</v>
      </c>
      <c r="AM152" s="740" t="s">
        <v>6</v>
      </c>
      <c r="AN152" s="739"/>
      <c r="AO152" s="740" t="s">
        <v>5</v>
      </c>
      <c r="AP152" s="739" t="s">
        <v>6</v>
      </c>
      <c r="AQ152" s="740"/>
      <c r="AR152" s="739" t="s">
        <v>5</v>
      </c>
      <c r="AS152" s="740" t="s">
        <v>6</v>
      </c>
      <c r="AT152" s="739"/>
      <c r="AU152" s="740" t="s">
        <v>5</v>
      </c>
      <c r="AV152" s="739" t="s">
        <v>6</v>
      </c>
      <c r="AW152" s="740"/>
      <c r="AX152" s="739" t="s">
        <v>5</v>
      </c>
      <c r="AY152" s="740" t="s">
        <v>6</v>
      </c>
      <c r="AZ152" s="739"/>
      <c r="BA152" s="740" t="s">
        <v>5</v>
      </c>
      <c r="BB152" s="739" t="s">
        <v>6</v>
      </c>
      <c r="BC152" s="740" t="s">
        <v>6</v>
      </c>
      <c r="BD152" s="739"/>
      <c r="BE152" s="740"/>
      <c r="BF152" s="739"/>
      <c r="BG152" s="740"/>
      <c r="BH152" s="739"/>
      <c r="BI152" s="740"/>
      <c r="BJ152" s="739" t="s">
        <v>6</v>
      </c>
      <c r="BK152" s="740"/>
      <c r="BL152" s="739"/>
      <c r="BM152" s="740"/>
      <c r="BN152" s="739"/>
      <c r="BO152" s="740"/>
      <c r="BP152" s="739"/>
      <c r="BQ152" s="740" t="s">
        <v>6</v>
      </c>
      <c r="BR152" s="739" t="s">
        <v>5</v>
      </c>
      <c r="BS152" s="740" t="s">
        <v>6</v>
      </c>
      <c r="BT152" s="739"/>
      <c r="BU152" s="740" t="s">
        <v>5</v>
      </c>
      <c r="BV152" s="739" t="s">
        <v>6</v>
      </c>
      <c r="BW152" s="740"/>
      <c r="BX152" s="739" t="s">
        <v>5</v>
      </c>
      <c r="BY152" s="740" t="s">
        <v>6</v>
      </c>
      <c r="BZ152" s="739"/>
      <c r="CA152" s="740" t="s">
        <v>5</v>
      </c>
      <c r="CB152" s="739" t="s">
        <v>6</v>
      </c>
      <c r="CC152" s="740"/>
      <c r="CD152" s="739" t="s">
        <v>5</v>
      </c>
      <c r="CE152" s="740" t="s">
        <v>6</v>
      </c>
      <c r="CF152" s="739"/>
      <c r="CG152" s="740" t="s">
        <v>5</v>
      </c>
      <c r="CH152" s="739" t="s">
        <v>6</v>
      </c>
      <c r="CI152" s="740"/>
      <c r="CJ152" s="739" t="s">
        <v>5</v>
      </c>
      <c r="CK152" s="740" t="s">
        <v>6</v>
      </c>
      <c r="CL152" s="748" t="s">
        <v>6</v>
      </c>
      <c r="CN152" s="713"/>
      <c r="CO152" s="726"/>
    </row>
    <row r="153" spans="2:93">
      <c r="B153" s="161"/>
      <c r="C153" s="67" t="s">
        <v>385</v>
      </c>
      <c r="D153" s="125" t="s">
        <v>135</v>
      </c>
      <c r="E153" s="379">
        <f>SUM(E115,E117,E120:E124,E140,E151)</f>
        <v>108000</v>
      </c>
      <c r="F153" s="379">
        <f>SUM(F115,F117,F120:F124,F140,F151)</f>
        <v>27000</v>
      </c>
      <c r="G153" s="379">
        <f>SUM(G115,G117,G120:G124,G140,G151)</f>
        <v>0</v>
      </c>
      <c r="H153" s="379">
        <f>SUM(H115,H117,H120:H124,H140,H151)</f>
        <v>0</v>
      </c>
      <c r="I153" s="379">
        <f>SUM(I115,I117,I120:I124,I140,I151)</f>
        <v>0</v>
      </c>
      <c r="J153" s="379">
        <f>SUM(J115,J117,J120:J124,J140,J151)</f>
        <v>0</v>
      </c>
      <c r="K153" s="379">
        <f>SUM(K115,K117,K120:K124,K140,K151)</f>
        <v>0</v>
      </c>
      <c r="L153" s="379">
        <f>SUM(L115,L117,L120:L124,L140,L151)</f>
        <v>0</v>
      </c>
      <c r="M153" s="98"/>
      <c r="N153" s="98"/>
      <c r="O153" s="98"/>
      <c r="P153" s="98"/>
      <c r="Q153" s="162"/>
      <c r="S153" s="169"/>
      <c r="T153" s="738" t="s">
        <v>6</v>
      </c>
      <c r="U153" s="739"/>
      <c r="V153" s="740"/>
      <c r="W153" s="739" t="s">
        <v>6</v>
      </c>
      <c r="X153" s="740"/>
      <c r="Y153" s="739"/>
      <c r="Z153" s="740" t="s">
        <v>6</v>
      </c>
      <c r="AA153" s="739"/>
      <c r="AB153" s="740"/>
      <c r="AC153" s="739" t="s">
        <v>6</v>
      </c>
      <c r="AD153" s="740"/>
      <c r="AE153" s="739"/>
      <c r="AF153" s="740" t="s">
        <v>6</v>
      </c>
      <c r="AG153" s="739"/>
      <c r="AH153" s="741"/>
      <c r="AK153" s="738" t="s">
        <v>6</v>
      </c>
      <c r="AL153" s="739"/>
      <c r="AM153" s="740"/>
      <c r="AN153" s="739"/>
      <c r="AO153" s="740"/>
      <c r="AP153" s="739"/>
      <c r="AQ153" s="740"/>
      <c r="AR153" s="739"/>
      <c r="AS153" s="740"/>
      <c r="AT153" s="739"/>
      <c r="AU153" s="740"/>
      <c r="AV153" s="739"/>
      <c r="AW153" s="740"/>
      <c r="AX153" s="739"/>
      <c r="AY153" s="740"/>
      <c r="AZ153" s="739"/>
      <c r="BA153" s="740"/>
      <c r="BB153" s="739"/>
      <c r="BC153" s="740" t="s">
        <v>6</v>
      </c>
      <c r="BD153" s="739"/>
      <c r="BE153" s="740"/>
      <c r="BF153" s="739"/>
      <c r="BG153" s="740"/>
      <c r="BH153" s="739"/>
      <c r="BI153" s="740"/>
      <c r="BJ153" s="739" t="s">
        <v>6</v>
      </c>
      <c r="BK153" s="740"/>
      <c r="BL153" s="739"/>
      <c r="BM153" s="740"/>
      <c r="BN153" s="739"/>
      <c r="BO153" s="740"/>
      <c r="BP153" s="739"/>
      <c r="BQ153" s="740" t="s">
        <v>6</v>
      </c>
      <c r="BR153" s="739"/>
      <c r="BS153" s="740"/>
      <c r="BT153" s="739"/>
      <c r="BU153" s="740"/>
      <c r="BV153" s="739"/>
      <c r="BW153" s="740"/>
      <c r="BX153" s="739"/>
      <c r="BY153" s="740"/>
      <c r="BZ153" s="739"/>
      <c r="CA153" s="740"/>
      <c r="CB153" s="739"/>
      <c r="CC153" s="740"/>
      <c r="CD153" s="739"/>
      <c r="CE153" s="740"/>
      <c r="CF153" s="739"/>
      <c r="CG153" s="740"/>
      <c r="CH153" s="739"/>
      <c r="CI153" s="740"/>
      <c r="CJ153" s="739"/>
      <c r="CK153" s="740"/>
      <c r="CL153" s="748" t="s">
        <v>6</v>
      </c>
      <c r="CN153" s="713"/>
      <c r="CO153" s="726"/>
    </row>
    <row r="154" spans="2:93" hidden="1">
      <c r="B154" s="161"/>
      <c r="C154" s="26"/>
      <c r="D154" s="104"/>
      <c r="E154" s="26"/>
      <c r="F154" s="26"/>
      <c r="G154" s="26"/>
      <c r="H154" s="26"/>
      <c r="I154" s="26"/>
      <c r="J154" s="26"/>
      <c r="K154" s="26"/>
      <c r="L154" s="26"/>
      <c r="M154" s="26"/>
      <c r="N154" s="26"/>
      <c r="O154" s="26"/>
      <c r="P154" s="26"/>
      <c r="Q154" s="162"/>
      <c r="S154" s="169"/>
      <c r="T154" s="738" t="s">
        <v>6</v>
      </c>
      <c r="U154" s="739" t="s">
        <v>6</v>
      </c>
      <c r="V154" s="740" t="s">
        <v>5</v>
      </c>
      <c r="W154" s="739" t="s">
        <v>6</v>
      </c>
      <c r="X154" s="740" t="s">
        <v>6</v>
      </c>
      <c r="Y154" s="739" t="s">
        <v>5</v>
      </c>
      <c r="Z154" s="740" t="s">
        <v>6</v>
      </c>
      <c r="AA154" s="739" t="s">
        <v>6</v>
      </c>
      <c r="AB154" s="740" t="s">
        <v>5</v>
      </c>
      <c r="AC154" s="739" t="s">
        <v>6</v>
      </c>
      <c r="AD154" s="740" t="s">
        <v>6</v>
      </c>
      <c r="AE154" s="739" t="s">
        <v>5</v>
      </c>
      <c r="AF154" s="740" t="s">
        <v>6</v>
      </c>
      <c r="AG154" s="739" t="s">
        <v>6</v>
      </c>
      <c r="AH154" s="741" t="s">
        <v>5</v>
      </c>
      <c r="AK154" s="738" t="s">
        <v>6</v>
      </c>
      <c r="AL154" s="739"/>
      <c r="AM154" s="740"/>
      <c r="AN154" s="739"/>
      <c r="AO154" s="740"/>
      <c r="AP154" s="739"/>
      <c r="AQ154" s="740"/>
      <c r="AR154" s="739"/>
      <c r="AS154" s="740"/>
      <c r="AT154" s="739"/>
      <c r="AU154" s="740"/>
      <c r="AV154" s="739"/>
      <c r="AW154" s="740"/>
      <c r="AX154" s="739"/>
      <c r="AY154" s="740"/>
      <c r="AZ154" s="739"/>
      <c r="BA154" s="740"/>
      <c r="BB154" s="739"/>
      <c r="BC154" s="740" t="s">
        <v>6</v>
      </c>
      <c r="BD154" s="739"/>
      <c r="BE154" s="740"/>
      <c r="BF154" s="739"/>
      <c r="BG154" s="740"/>
      <c r="BH154" s="739"/>
      <c r="BI154" s="740"/>
      <c r="BJ154" s="739" t="s">
        <v>6</v>
      </c>
      <c r="BK154" s="740"/>
      <c r="BL154" s="739"/>
      <c r="BM154" s="740"/>
      <c r="BN154" s="739"/>
      <c r="BO154" s="740"/>
      <c r="BP154" s="739"/>
      <c r="BQ154" s="740" t="s">
        <v>6</v>
      </c>
      <c r="BR154" s="739"/>
      <c r="BS154" s="740"/>
      <c r="BT154" s="739"/>
      <c r="BU154" s="740"/>
      <c r="BV154" s="739"/>
      <c r="BW154" s="740"/>
      <c r="BX154" s="739"/>
      <c r="BY154" s="740"/>
      <c r="BZ154" s="739"/>
      <c r="CA154" s="740"/>
      <c r="CB154" s="739"/>
      <c r="CC154" s="740"/>
      <c r="CD154" s="739"/>
      <c r="CE154" s="740"/>
      <c r="CF154" s="739"/>
      <c r="CG154" s="740"/>
      <c r="CH154" s="739"/>
      <c r="CI154" s="740"/>
      <c r="CJ154" s="739"/>
      <c r="CK154" s="740"/>
      <c r="CL154" s="748" t="s">
        <v>6</v>
      </c>
      <c r="CN154" s="713"/>
      <c r="CO154" s="726"/>
    </row>
    <row r="155" spans="2:93" ht="25.5" hidden="1">
      <c r="B155" s="161"/>
      <c r="C155" s="584" t="s">
        <v>386</v>
      </c>
      <c r="D155" s="125" t="s">
        <v>135</v>
      </c>
      <c r="E155" s="585">
        <f>E153*0.7</f>
        <v>75600</v>
      </c>
      <c r="F155" s="585">
        <f>F153*0.7</f>
        <v>18900</v>
      </c>
      <c r="G155" s="585">
        <f>G153*0.7</f>
        <v>0</v>
      </c>
      <c r="H155" s="585">
        <f>H153*0.7</f>
        <v>0</v>
      </c>
      <c r="I155" s="585">
        <f>I153*0.7</f>
        <v>0</v>
      </c>
      <c r="J155" s="585">
        <f>J153*0.7</f>
        <v>0</v>
      </c>
      <c r="K155" s="585">
        <f>K153*0.7</f>
        <v>0</v>
      </c>
      <c r="L155" s="585">
        <f>L153*0.7</f>
        <v>0</v>
      </c>
      <c r="M155" s="98"/>
      <c r="N155" s="572" t="s">
        <v>474</v>
      </c>
      <c r="O155" s="98"/>
      <c r="P155" s="98"/>
      <c r="Q155" s="162"/>
      <c r="T155" s="738" t="s">
        <v>6</v>
      </c>
      <c r="U155" s="739" t="s">
        <v>6</v>
      </c>
      <c r="V155" s="740" t="s">
        <v>5</v>
      </c>
      <c r="W155" s="739" t="s">
        <v>6</v>
      </c>
      <c r="X155" s="740" t="s">
        <v>6</v>
      </c>
      <c r="Y155" s="739" t="s">
        <v>5</v>
      </c>
      <c r="Z155" s="740" t="s">
        <v>6</v>
      </c>
      <c r="AA155" s="739" t="s">
        <v>6</v>
      </c>
      <c r="AB155" s="740" t="s">
        <v>5</v>
      </c>
      <c r="AC155" s="739" t="s">
        <v>6</v>
      </c>
      <c r="AD155" s="740" t="s">
        <v>6</v>
      </c>
      <c r="AE155" s="739" t="s">
        <v>5</v>
      </c>
      <c r="AF155" s="740" t="s">
        <v>6</v>
      </c>
      <c r="AG155" s="739" t="s">
        <v>6</v>
      </c>
      <c r="AH155" s="741" t="s">
        <v>5</v>
      </c>
      <c r="AK155" s="738" t="s">
        <v>6</v>
      </c>
      <c r="AL155" s="739"/>
      <c r="AM155" s="740"/>
      <c r="AN155" s="739"/>
      <c r="AO155" s="740"/>
      <c r="AP155" s="739"/>
      <c r="AQ155" s="740"/>
      <c r="AR155" s="739"/>
      <c r="AS155" s="740"/>
      <c r="AT155" s="739"/>
      <c r="AU155" s="740"/>
      <c r="AV155" s="739"/>
      <c r="AW155" s="740"/>
      <c r="AX155" s="739"/>
      <c r="AY155" s="740"/>
      <c r="AZ155" s="739"/>
      <c r="BA155" s="740"/>
      <c r="BB155" s="739"/>
      <c r="BC155" s="740" t="s">
        <v>6</v>
      </c>
      <c r="BD155" s="739"/>
      <c r="BE155" s="740"/>
      <c r="BF155" s="739"/>
      <c r="BG155" s="740"/>
      <c r="BH155" s="739"/>
      <c r="BI155" s="740"/>
      <c r="BJ155" s="739" t="s">
        <v>6</v>
      </c>
      <c r="BK155" s="740"/>
      <c r="BL155" s="739"/>
      <c r="BM155" s="740"/>
      <c r="BN155" s="739"/>
      <c r="BO155" s="740"/>
      <c r="BP155" s="739"/>
      <c r="BQ155" s="740" t="s">
        <v>6</v>
      </c>
      <c r="BR155" s="739"/>
      <c r="BS155" s="740"/>
      <c r="BT155" s="739"/>
      <c r="BU155" s="740"/>
      <c r="BV155" s="739"/>
      <c r="BW155" s="740"/>
      <c r="BX155" s="739"/>
      <c r="BY155" s="740"/>
      <c r="BZ155" s="739"/>
      <c r="CA155" s="740"/>
      <c r="CB155" s="739"/>
      <c r="CC155" s="740"/>
      <c r="CD155" s="739"/>
      <c r="CE155" s="740"/>
      <c r="CF155" s="739"/>
      <c r="CG155" s="740"/>
      <c r="CH155" s="739"/>
      <c r="CI155" s="740"/>
      <c r="CJ155" s="739"/>
      <c r="CK155" s="740"/>
      <c r="CL155" s="748" t="s">
        <v>6</v>
      </c>
      <c r="CN155" s="713"/>
      <c r="CO155" s="726"/>
    </row>
    <row r="156" spans="2:93">
      <c r="B156" s="164"/>
      <c r="C156" s="70"/>
      <c r="D156" s="154"/>
      <c r="E156" s="70"/>
      <c r="F156" s="70"/>
      <c r="G156" s="70"/>
      <c r="H156" s="70"/>
      <c r="I156" s="70"/>
      <c r="J156" s="70"/>
      <c r="K156" s="70"/>
      <c r="L156" s="70"/>
      <c r="M156" s="70"/>
      <c r="N156" s="70"/>
      <c r="O156" s="70"/>
      <c r="P156" s="70"/>
      <c r="Q156" s="165"/>
      <c r="T156" s="738" t="s">
        <v>6</v>
      </c>
      <c r="U156" s="739"/>
      <c r="V156" s="740"/>
      <c r="W156" s="739" t="s">
        <v>6</v>
      </c>
      <c r="X156" s="740"/>
      <c r="Y156" s="739"/>
      <c r="Z156" s="740" t="s">
        <v>6</v>
      </c>
      <c r="AA156" s="739"/>
      <c r="AB156" s="740"/>
      <c r="AC156" s="739" t="s">
        <v>6</v>
      </c>
      <c r="AD156" s="740"/>
      <c r="AE156" s="739"/>
      <c r="AF156" s="740" t="s">
        <v>6</v>
      </c>
      <c r="AG156" s="739"/>
      <c r="AH156" s="741"/>
      <c r="AK156" s="738" t="s">
        <v>6</v>
      </c>
      <c r="AL156" s="739"/>
      <c r="AM156" s="740"/>
      <c r="AN156" s="739"/>
      <c r="AO156" s="740"/>
      <c r="AP156" s="739"/>
      <c r="AQ156" s="740"/>
      <c r="AR156" s="739"/>
      <c r="AS156" s="740"/>
      <c r="AT156" s="739"/>
      <c r="AU156" s="740"/>
      <c r="AV156" s="739"/>
      <c r="AW156" s="740"/>
      <c r="AX156" s="739"/>
      <c r="AY156" s="740"/>
      <c r="AZ156" s="739"/>
      <c r="BA156" s="740"/>
      <c r="BB156" s="739"/>
      <c r="BC156" s="740" t="s">
        <v>6</v>
      </c>
      <c r="BD156" s="739"/>
      <c r="BE156" s="740"/>
      <c r="BF156" s="739"/>
      <c r="BG156" s="740"/>
      <c r="BH156" s="739"/>
      <c r="BI156" s="740"/>
      <c r="BJ156" s="739" t="s">
        <v>6</v>
      </c>
      <c r="BK156" s="740"/>
      <c r="BL156" s="739"/>
      <c r="BM156" s="740"/>
      <c r="BN156" s="739"/>
      <c r="BO156" s="740"/>
      <c r="BP156" s="739"/>
      <c r="BQ156" s="740" t="s">
        <v>6</v>
      </c>
      <c r="BR156" s="739"/>
      <c r="BS156" s="740"/>
      <c r="BT156" s="739"/>
      <c r="BU156" s="740"/>
      <c r="BV156" s="739"/>
      <c r="BW156" s="740"/>
      <c r="BX156" s="739"/>
      <c r="BY156" s="740"/>
      <c r="BZ156" s="739"/>
      <c r="CA156" s="740"/>
      <c r="CB156" s="739"/>
      <c r="CC156" s="740"/>
      <c r="CD156" s="739"/>
      <c r="CE156" s="740"/>
      <c r="CF156" s="739"/>
      <c r="CG156" s="740"/>
      <c r="CH156" s="739"/>
      <c r="CI156" s="740"/>
      <c r="CJ156" s="739"/>
      <c r="CK156" s="740"/>
      <c r="CL156" s="748" t="s">
        <v>6</v>
      </c>
      <c r="CN156" s="713"/>
      <c r="CO156" s="726"/>
    </row>
    <row r="157" spans="2:93">
      <c r="B157" s="163"/>
      <c r="C157" s="28"/>
      <c r="D157" s="98"/>
      <c r="E157" s="28"/>
      <c r="F157" s="28"/>
      <c r="G157" s="28"/>
      <c r="H157" s="28"/>
      <c r="I157" s="28"/>
      <c r="J157" s="28"/>
      <c r="K157" s="28"/>
      <c r="L157" s="28"/>
      <c r="M157" s="28"/>
      <c r="N157" s="28"/>
      <c r="O157" s="28"/>
      <c r="P157" s="28"/>
      <c r="T157" s="738" t="s">
        <v>6</v>
      </c>
      <c r="U157" s="739"/>
      <c r="V157" s="740"/>
      <c r="W157" s="739" t="s">
        <v>6</v>
      </c>
      <c r="X157" s="740"/>
      <c r="Y157" s="739"/>
      <c r="Z157" s="740" t="s">
        <v>6</v>
      </c>
      <c r="AA157" s="739"/>
      <c r="AB157" s="740"/>
      <c r="AC157" s="739" t="s">
        <v>6</v>
      </c>
      <c r="AD157" s="740"/>
      <c r="AE157" s="739"/>
      <c r="AF157" s="740" t="s">
        <v>6</v>
      </c>
      <c r="AG157" s="739"/>
      <c r="AH157" s="741"/>
      <c r="AK157" s="738" t="s">
        <v>6</v>
      </c>
      <c r="AL157" s="739"/>
      <c r="AM157" s="740"/>
      <c r="AN157" s="739"/>
      <c r="AO157" s="740"/>
      <c r="AP157" s="739"/>
      <c r="AQ157" s="740"/>
      <c r="AR157" s="739"/>
      <c r="AS157" s="740"/>
      <c r="AT157" s="739"/>
      <c r="AU157" s="740"/>
      <c r="AV157" s="739"/>
      <c r="AW157" s="740"/>
      <c r="AX157" s="739"/>
      <c r="AY157" s="740"/>
      <c r="AZ157" s="739"/>
      <c r="BA157" s="740"/>
      <c r="BB157" s="739"/>
      <c r="BC157" s="740" t="s">
        <v>6</v>
      </c>
      <c r="BD157" s="739"/>
      <c r="BE157" s="740"/>
      <c r="BF157" s="739"/>
      <c r="BG157" s="740"/>
      <c r="BH157" s="739"/>
      <c r="BI157" s="740"/>
      <c r="BJ157" s="739" t="s">
        <v>6</v>
      </c>
      <c r="BK157" s="740"/>
      <c r="BL157" s="739"/>
      <c r="BM157" s="740"/>
      <c r="BN157" s="739"/>
      <c r="BO157" s="740"/>
      <c r="BP157" s="739"/>
      <c r="BQ157" s="740" t="s">
        <v>6</v>
      </c>
      <c r="BR157" s="739"/>
      <c r="BS157" s="740"/>
      <c r="BT157" s="739"/>
      <c r="BU157" s="740"/>
      <c r="BV157" s="739"/>
      <c r="BW157" s="740"/>
      <c r="BX157" s="739"/>
      <c r="BY157" s="740"/>
      <c r="BZ157" s="739"/>
      <c r="CA157" s="740"/>
      <c r="CB157" s="739"/>
      <c r="CC157" s="740"/>
      <c r="CD157" s="739"/>
      <c r="CE157" s="740"/>
      <c r="CF157" s="739"/>
      <c r="CG157" s="740"/>
      <c r="CH157" s="739"/>
      <c r="CI157" s="740"/>
      <c r="CJ157" s="739"/>
      <c r="CK157" s="740"/>
      <c r="CL157" s="748" t="s">
        <v>6</v>
      </c>
      <c r="CN157" s="713"/>
      <c r="CO157" s="726"/>
    </row>
    <row r="158" spans="2:93">
      <c r="B158" s="159"/>
      <c r="C158" s="166"/>
      <c r="D158" s="172"/>
      <c r="E158" s="166"/>
      <c r="F158" s="166"/>
      <c r="G158" s="166"/>
      <c r="H158" s="166"/>
      <c r="I158" s="166"/>
      <c r="J158" s="166"/>
      <c r="K158" s="166"/>
      <c r="L158" s="166"/>
      <c r="M158" s="166"/>
      <c r="N158" s="166"/>
      <c r="O158" s="166"/>
      <c r="P158" s="166"/>
      <c r="Q158" s="160"/>
      <c r="T158" s="738" t="s">
        <v>6</v>
      </c>
      <c r="U158" s="739"/>
      <c r="V158" s="740"/>
      <c r="W158" s="739" t="s">
        <v>6</v>
      </c>
      <c r="X158" s="740"/>
      <c r="Y158" s="739"/>
      <c r="Z158" s="740" t="s">
        <v>6</v>
      </c>
      <c r="AA158" s="739"/>
      <c r="AB158" s="740"/>
      <c r="AC158" s="739" t="s">
        <v>6</v>
      </c>
      <c r="AD158" s="740"/>
      <c r="AE158" s="739"/>
      <c r="AF158" s="740" t="s">
        <v>6</v>
      </c>
      <c r="AG158" s="739"/>
      <c r="AH158" s="741"/>
      <c r="AK158" s="738" t="s">
        <v>6</v>
      </c>
      <c r="AL158" s="739"/>
      <c r="AM158" s="740"/>
      <c r="AN158" s="739"/>
      <c r="AO158" s="740"/>
      <c r="AP158" s="739"/>
      <c r="AQ158" s="740"/>
      <c r="AR158" s="739"/>
      <c r="AS158" s="740"/>
      <c r="AT158" s="739"/>
      <c r="AU158" s="740"/>
      <c r="AV158" s="739"/>
      <c r="AW158" s="740"/>
      <c r="AX158" s="739"/>
      <c r="AY158" s="740"/>
      <c r="AZ158" s="739"/>
      <c r="BA158" s="740"/>
      <c r="BB158" s="739"/>
      <c r="BC158" s="740" t="s">
        <v>6</v>
      </c>
      <c r="BD158" s="739"/>
      <c r="BE158" s="740"/>
      <c r="BF158" s="739"/>
      <c r="BG158" s="740"/>
      <c r="BH158" s="739"/>
      <c r="BI158" s="740"/>
      <c r="BJ158" s="739" t="s">
        <v>6</v>
      </c>
      <c r="BK158" s="740"/>
      <c r="BL158" s="739"/>
      <c r="BM158" s="740"/>
      <c r="BN158" s="739"/>
      <c r="BO158" s="740"/>
      <c r="BP158" s="739"/>
      <c r="BQ158" s="740" t="s">
        <v>6</v>
      </c>
      <c r="BR158" s="739"/>
      <c r="BS158" s="740"/>
      <c r="BT158" s="739"/>
      <c r="BU158" s="740"/>
      <c r="BV158" s="739"/>
      <c r="BW158" s="740"/>
      <c r="BX158" s="739"/>
      <c r="BY158" s="740"/>
      <c r="BZ158" s="739"/>
      <c r="CA158" s="740"/>
      <c r="CB158" s="739"/>
      <c r="CC158" s="740"/>
      <c r="CD158" s="739"/>
      <c r="CE158" s="740"/>
      <c r="CF158" s="739"/>
      <c r="CG158" s="740"/>
      <c r="CH158" s="739"/>
      <c r="CI158" s="740"/>
      <c r="CJ158" s="739"/>
      <c r="CK158" s="740"/>
      <c r="CL158" s="748" t="s">
        <v>6</v>
      </c>
      <c r="CN158" s="713"/>
      <c r="CO158" s="726"/>
    </row>
    <row r="159" spans="2:93">
      <c r="B159" s="161"/>
      <c r="C159" s="26" t="s">
        <v>387</v>
      </c>
      <c r="D159" s="104"/>
      <c r="E159" s="26"/>
      <c r="F159" s="26"/>
      <c r="G159" s="26"/>
      <c r="H159" s="26"/>
      <c r="I159" s="26"/>
      <c r="J159" s="26"/>
      <c r="K159" s="26"/>
      <c r="L159" s="26"/>
      <c r="M159" s="26"/>
      <c r="N159" s="26"/>
      <c r="O159" s="26"/>
      <c r="P159" s="26"/>
      <c r="Q159" s="162"/>
      <c r="T159" s="738" t="s">
        <v>6</v>
      </c>
      <c r="U159" s="739"/>
      <c r="V159" s="740"/>
      <c r="W159" s="739" t="s">
        <v>6</v>
      </c>
      <c r="X159" s="740"/>
      <c r="Y159" s="739"/>
      <c r="Z159" s="740" t="s">
        <v>6</v>
      </c>
      <c r="AA159" s="739"/>
      <c r="AB159" s="740"/>
      <c r="AC159" s="739" t="s">
        <v>6</v>
      </c>
      <c r="AD159" s="740"/>
      <c r="AE159" s="739"/>
      <c r="AF159" s="740" t="s">
        <v>6</v>
      </c>
      <c r="AG159" s="739"/>
      <c r="AH159" s="741"/>
      <c r="AK159" s="738" t="s">
        <v>6</v>
      </c>
      <c r="AL159" s="739"/>
      <c r="AM159" s="740"/>
      <c r="AN159" s="739"/>
      <c r="AO159" s="740"/>
      <c r="AP159" s="739"/>
      <c r="AQ159" s="740"/>
      <c r="AR159" s="739"/>
      <c r="AS159" s="740"/>
      <c r="AT159" s="739"/>
      <c r="AU159" s="740"/>
      <c r="AV159" s="739"/>
      <c r="AW159" s="740"/>
      <c r="AX159" s="739"/>
      <c r="AY159" s="740"/>
      <c r="AZ159" s="739"/>
      <c r="BA159" s="740"/>
      <c r="BB159" s="739"/>
      <c r="BC159" s="740" t="s">
        <v>6</v>
      </c>
      <c r="BD159" s="739"/>
      <c r="BE159" s="740"/>
      <c r="BF159" s="739"/>
      <c r="BG159" s="740"/>
      <c r="BH159" s="739"/>
      <c r="BI159" s="740"/>
      <c r="BJ159" s="739" t="s">
        <v>6</v>
      </c>
      <c r="BK159" s="740"/>
      <c r="BL159" s="739"/>
      <c r="BM159" s="740"/>
      <c r="BN159" s="739"/>
      <c r="BO159" s="740"/>
      <c r="BP159" s="739"/>
      <c r="BQ159" s="740" t="s">
        <v>6</v>
      </c>
      <c r="BR159" s="739"/>
      <c r="BS159" s="740"/>
      <c r="BT159" s="739"/>
      <c r="BU159" s="740"/>
      <c r="BV159" s="739"/>
      <c r="BW159" s="740"/>
      <c r="BX159" s="739"/>
      <c r="BY159" s="740"/>
      <c r="BZ159" s="739"/>
      <c r="CA159" s="740"/>
      <c r="CB159" s="739"/>
      <c r="CC159" s="740"/>
      <c r="CD159" s="739"/>
      <c r="CE159" s="740"/>
      <c r="CF159" s="739"/>
      <c r="CG159" s="740"/>
      <c r="CH159" s="739"/>
      <c r="CI159" s="740"/>
      <c r="CJ159" s="739"/>
      <c r="CK159" s="740"/>
      <c r="CL159" s="748" t="s">
        <v>6</v>
      </c>
      <c r="CN159" s="713"/>
      <c r="CO159" s="726"/>
    </row>
    <row r="160" spans="2:93">
      <c r="B160" s="161"/>
      <c r="C160" s="28"/>
      <c r="D160" s="98"/>
      <c r="E160" s="28"/>
      <c r="F160" s="28"/>
      <c r="G160" s="28"/>
      <c r="H160" s="28"/>
      <c r="I160" s="28"/>
      <c r="J160" s="28"/>
      <c r="K160" s="28"/>
      <c r="L160" s="28"/>
      <c r="M160" s="28"/>
      <c r="N160" s="28"/>
      <c r="O160" s="28"/>
      <c r="P160" s="28"/>
      <c r="Q160" s="162"/>
      <c r="T160" s="738" t="s">
        <v>6</v>
      </c>
      <c r="U160" s="739"/>
      <c r="V160" s="740"/>
      <c r="W160" s="739" t="s">
        <v>6</v>
      </c>
      <c r="X160" s="740"/>
      <c r="Y160" s="739"/>
      <c r="Z160" s="740" t="s">
        <v>6</v>
      </c>
      <c r="AA160" s="739"/>
      <c r="AB160" s="740"/>
      <c r="AC160" s="739" t="s">
        <v>6</v>
      </c>
      <c r="AD160" s="740"/>
      <c r="AE160" s="739"/>
      <c r="AF160" s="740" t="s">
        <v>6</v>
      </c>
      <c r="AG160" s="739"/>
      <c r="AH160" s="741"/>
      <c r="AK160" s="738" t="s">
        <v>6</v>
      </c>
      <c r="AL160" s="739"/>
      <c r="AM160" s="740"/>
      <c r="AN160" s="739"/>
      <c r="AO160" s="740"/>
      <c r="AP160" s="739"/>
      <c r="AQ160" s="740"/>
      <c r="AR160" s="739"/>
      <c r="AS160" s="740"/>
      <c r="AT160" s="739"/>
      <c r="AU160" s="740"/>
      <c r="AV160" s="739"/>
      <c r="AW160" s="740"/>
      <c r="AX160" s="739"/>
      <c r="AY160" s="740"/>
      <c r="AZ160" s="739"/>
      <c r="BA160" s="740"/>
      <c r="BB160" s="739"/>
      <c r="BC160" s="740" t="s">
        <v>6</v>
      </c>
      <c r="BD160" s="739"/>
      <c r="BE160" s="740"/>
      <c r="BF160" s="739"/>
      <c r="BG160" s="740"/>
      <c r="BH160" s="739"/>
      <c r="BI160" s="740"/>
      <c r="BJ160" s="739" t="s">
        <v>6</v>
      </c>
      <c r="BK160" s="740"/>
      <c r="BL160" s="739"/>
      <c r="BM160" s="740"/>
      <c r="BN160" s="739"/>
      <c r="BO160" s="740"/>
      <c r="BP160" s="739"/>
      <c r="BQ160" s="740" t="s">
        <v>6</v>
      </c>
      <c r="BR160" s="739"/>
      <c r="BS160" s="740"/>
      <c r="BT160" s="739"/>
      <c r="BU160" s="740"/>
      <c r="BV160" s="739"/>
      <c r="BW160" s="740"/>
      <c r="BX160" s="739"/>
      <c r="BY160" s="740"/>
      <c r="BZ160" s="739"/>
      <c r="CA160" s="740"/>
      <c r="CB160" s="739"/>
      <c r="CC160" s="740"/>
      <c r="CD160" s="739"/>
      <c r="CE160" s="740"/>
      <c r="CF160" s="739"/>
      <c r="CG160" s="740"/>
      <c r="CH160" s="739"/>
      <c r="CI160" s="740"/>
      <c r="CJ160" s="739"/>
      <c r="CK160" s="740"/>
      <c r="CL160" s="748" t="s">
        <v>6</v>
      </c>
      <c r="CN160" s="713"/>
      <c r="CO160" s="726"/>
    </row>
    <row r="161" spans="2:93">
      <c r="B161" s="161"/>
      <c r="C161" s="26" t="s">
        <v>388</v>
      </c>
      <c r="D161" s="104"/>
      <c r="E161" s="26"/>
      <c r="F161" s="26"/>
      <c r="G161" s="26"/>
      <c r="H161" s="26"/>
      <c r="I161" s="26"/>
      <c r="J161" s="26"/>
      <c r="K161" s="26"/>
      <c r="L161" s="26"/>
      <c r="M161" s="26"/>
      <c r="N161" s="26"/>
      <c r="O161" s="26"/>
      <c r="P161" s="26"/>
      <c r="Q161" s="162"/>
      <c r="T161" s="738" t="s">
        <v>6</v>
      </c>
      <c r="U161" s="739"/>
      <c r="V161" s="740"/>
      <c r="W161" s="739" t="s">
        <v>6</v>
      </c>
      <c r="X161" s="740"/>
      <c r="Y161" s="739"/>
      <c r="Z161" s="740" t="s">
        <v>6</v>
      </c>
      <c r="AA161" s="739"/>
      <c r="AB161" s="740"/>
      <c r="AC161" s="739" t="s">
        <v>6</v>
      </c>
      <c r="AD161" s="740"/>
      <c r="AE161" s="739"/>
      <c r="AF161" s="740" t="s">
        <v>6</v>
      </c>
      <c r="AG161" s="739"/>
      <c r="AH161" s="741"/>
      <c r="AK161" s="738" t="s">
        <v>6</v>
      </c>
      <c r="AL161" s="739"/>
      <c r="AM161" s="740"/>
      <c r="AN161" s="739"/>
      <c r="AO161" s="740"/>
      <c r="AP161" s="739"/>
      <c r="AQ161" s="740"/>
      <c r="AR161" s="739"/>
      <c r="AS161" s="740"/>
      <c r="AT161" s="739"/>
      <c r="AU161" s="740"/>
      <c r="AV161" s="739"/>
      <c r="AW161" s="740"/>
      <c r="AX161" s="739"/>
      <c r="AY161" s="740"/>
      <c r="AZ161" s="739"/>
      <c r="BA161" s="740"/>
      <c r="BB161" s="739"/>
      <c r="BC161" s="740" t="s">
        <v>6</v>
      </c>
      <c r="BD161" s="739"/>
      <c r="BE161" s="740"/>
      <c r="BF161" s="739"/>
      <c r="BG161" s="740"/>
      <c r="BH161" s="739"/>
      <c r="BI161" s="740"/>
      <c r="BJ161" s="739" t="s">
        <v>6</v>
      </c>
      <c r="BK161" s="740"/>
      <c r="BL161" s="739"/>
      <c r="BM161" s="740"/>
      <c r="BN161" s="739"/>
      <c r="BO161" s="740"/>
      <c r="BP161" s="739"/>
      <c r="BQ161" s="740" t="s">
        <v>6</v>
      </c>
      <c r="BR161" s="739"/>
      <c r="BS161" s="740"/>
      <c r="BT161" s="739"/>
      <c r="BU161" s="740"/>
      <c r="BV161" s="739"/>
      <c r="BW161" s="740"/>
      <c r="BX161" s="739"/>
      <c r="BY161" s="740"/>
      <c r="BZ161" s="739"/>
      <c r="CA161" s="740"/>
      <c r="CB161" s="739"/>
      <c r="CC161" s="740"/>
      <c r="CD161" s="739"/>
      <c r="CE161" s="740"/>
      <c r="CF161" s="739"/>
      <c r="CG161" s="740"/>
      <c r="CH161" s="739"/>
      <c r="CI161" s="740"/>
      <c r="CJ161" s="739"/>
      <c r="CK161" s="740"/>
      <c r="CL161" s="748" t="s">
        <v>6</v>
      </c>
      <c r="CN161" s="713"/>
      <c r="CO161" s="726"/>
    </row>
    <row r="162" spans="2:93">
      <c r="B162" s="161"/>
      <c r="C162" s="100" t="s">
        <v>389</v>
      </c>
      <c r="D162" s="126" t="s">
        <v>135</v>
      </c>
      <c r="E162" s="176">
        <f>'G4. Staff'!T242</f>
        <v>0</v>
      </c>
      <c r="F162" s="176">
        <f>'G4. Staff'!U242</f>
        <v>0</v>
      </c>
      <c r="G162" s="176">
        <f>'G4. Staff'!V242</f>
        <v>0</v>
      </c>
      <c r="H162" s="176">
        <f>'G4. Staff'!W242</f>
        <v>0</v>
      </c>
      <c r="I162" s="176">
        <f>'G4. Staff'!X242</f>
        <v>0</v>
      </c>
      <c r="J162" s="176">
        <f>'G4. Staff'!Y242</f>
        <v>0</v>
      </c>
      <c r="K162" s="176">
        <f>'G4. Staff'!Z242</f>
        <v>0</v>
      </c>
      <c r="L162" s="176">
        <f>'G4. Staff'!AA242</f>
        <v>0</v>
      </c>
      <c r="M162" s="100"/>
      <c r="N162" s="100"/>
      <c r="O162" s="100"/>
      <c r="P162" s="100"/>
      <c r="Q162" s="162"/>
      <c r="T162" s="738" t="s">
        <v>6</v>
      </c>
      <c r="U162" s="739"/>
      <c r="V162" s="740"/>
      <c r="W162" s="739" t="s">
        <v>6</v>
      </c>
      <c r="X162" s="740"/>
      <c r="Y162" s="739"/>
      <c r="Z162" s="740" t="s">
        <v>6</v>
      </c>
      <c r="AA162" s="739"/>
      <c r="AB162" s="740"/>
      <c r="AC162" s="739" t="s">
        <v>6</v>
      </c>
      <c r="AD162" s="740"/>
      <c r="AE162" s="739"/>
      <c r="AF162" s="740" t="s">
        <v>6</v>
      </c>
      <c r="AG162" s="739"/>
      <c r="AH162" s="741"/>
      <c r="AK162" s="738" t="s">
        <v>6</v>
      </c>
      <c r="AL162" s="739"/>
      <c r="AM162" s="740"/>
      <c r="AN162" s="739"/>
      <c r="AO162" s="740"/>
      <c r="AP162" s="739"/>
      <c r="AQ162" s="740"/>
      <c r="AR162" s="739"/>
      <c r="AS162" s="740"/>
      <c r="AT162" s="739"/>
      <c r="AU162" s="740"/>
      <c r="AV162" s="739"/>
      <c r="AW162" s="740"/>
      <c r="AX162" s="739"/>
      <c r="AY162" s="740"/>
      <c r="AZ162" s="739"/>
      <c r="BA162" s="740"/>
      <c r="BB162" s="739"/>
      <c r="BC162" s="740" t="s">
        <v>6</v>
      </c>
      <c r="BD162" s="739"/>
      <c r="BE162" s="740"/>
      <c r="BF162" s="739"/>
      <c r="BG162" s="740"/>
      <c r="BH162" s="739"/>
      <c r="BI162" s="740"/>
      <c r="BJ162" s="739" t="s">
        <v>6</v>
      </c>
      <c r="BK162" s="740"/>
      <c r="BL162" s="739"/>
      <c r="BM162" s="740"/>
      <c r="BN162" s="739"/>
      <c r="BO162" s="740"/>
      <c r="BP162" s="739"/>
      <c r="BQ162" s="740" t="s">
        <v>6</v>
      </c>
      <c r="BR162" s="739"/>
      <c r="BS162" s="740"/>
      <c r="BT162" s="739"/>
      <c r="BU162" s="740"/>
      <c r="BV162" s="739"/>
      <c r="BW162" s="740"/>
      <c r="BX162" s="739"/>
      <c r="BY162" s="740"/>
      <c r="BZ162" s="739"/>
      <c r="CA162" s="740"/>
      <c r="CB162" s="739"/>
      <c r="CC162" s="740"/>
      <c r="CD162" s="739"/>
      <c r="CE162" s="740"/>
      <c r="CF162" s="739"/>
      <c r="CG162" s="740"/>
      <c r="CH162" s="739"/>
      <c r="CI162" s="740"/>
      <c r="CJ162" s="739"/>
      <c r="CK162" s="740"/>
      <c r="CL162" s="748" t="s">
        <v>6</v>
      </c>
      <c r="CN162" s="713"/>
      <c r="CO162" s="726"/>
    </row>
    <row r="163" spans="2:93">
      <c r="B163" s="161"/>
      <c r="C163" s="100" t="s">
        <v>390</v>
      </c>
      <c r="D163" s="126" t="s">
        <v>135</v>
      </c>
      <c r="E163" s="176">
        <f>'G4. Staff'!T243</f>
        <v>0</v>
      </c>
      <c r="F163" s="176">
        <f>'G4. Staff'!U243</f>
        <v>0</v>
      </c>
      <c r="G163" s="176">
        <f>'G4. Staff'!V243</f>
        <v>0</v>
      </c>
      <c r="H163" s="176">
        <f>'G4. Staff'!W243</f>
        <v>0</v>
      </c>
      <c r="I163" s="176">
        <f>'G4. Staff'!X243</f>
        <v>0</v>
      </c>
      <c r="J163" s="176">
        <f>'G4. Staff'!Y243</f>
        <v>0</v>
      </c>
      <c r="K163" s="176">
        <f>'G4. Staff'!Z243</f>
        <v>0</v>
      </c>
      <c r="L163" s="176">
        <f>'G4. Staff'!AA243</f>
        <v>0</v>
      </c>
      <c r="M163" s="100"/>
      <c r="N163" s="100"/>
      <c r="O163" s="100"/>
      <c r="P163" s="100"/>
      <c r="Q163" s="162"/>
      <c r="T163" s="738" t="s">
        <v>6</v>
      </c>
      <c r="U163" s="739"/>
      <c r="V163" s="740"/>
      <c r="W163" s="739" t="s">
        <v>6</v>
      </c>
      <c r="X163" s="740"/>
      <c r="Y163" s="739"/>
      <c r="Z163" s="740" t="s">
        <v>6</v>
      </c>
      <c r="AA163" s="739"/>
      <c r="AB163" s="740"/>
      <c r="AC163" s="739" t="s">
        <v>6</v>
      </c>
      <c r="AD163" s="740"/>
      <c r="AE163" s="739"/>
      <c r="AF163" s="740" t="s">
        <v>6</v>
      </c>
      <c r="AG163" s="739"/>
      <c r="AH163" s="741"/>
      <c r="AK163" s="738" t="s">
        <v>6</v>
      </c>
      <c r="AL163" s="739"/>
      <c r="AM163" s="740"/>
      <c r="AN163" s="739"/>
      <c r="AO163" s="740"/>
      <c r="AP163" s="739"/>
      <c r="AQ163" s="740"/>
      <c r="AR163" s="739"/>
      <c r="AS163" s="740"/>
      <c r="AT163" s="739"/>
      <c r="AU163" s="740"/>
      <c r="AV163" s="739"/>
      <c r="AW163" s="740"/>
      <c r="AX163" s="739"/>
      <c r="AY163" s="740"/>
      <c r="AZ163" s="739"/>
      <c r="BA163" s="740"/>
      <c r="BB163" s="739"/>
      <c r="BC163" s="740" t="s">
        <v>6</v>
      </c>
      <c r="BD163" s="739"/>
      <c r="BE163" s="740"/>
      <c r="BF163" s="739"/>
      <c r="BG163" s="740"/>
      <c r="BH163" s="739"/>
      <c r="BI163" s="740"/>
      <c r="BJ163" s="739" t="s">
        <v>6</v>
      </c>
      <c r="BK163" s="740"/>
      <c r="BL163" s="739"/>
      <c r="BM163" s="740"/>
      <c r="BN163" s="739"/>
      <c r="BO163" s="740"/>
      <c r="BP163" s="739"/>
      <c r="BQ163" s="740" t="s">
        <v>6</v>
      </c>
      <c r="BR163" s="739"/>
      <c r="BS163" s="740"/>
      <c r="BT163" s="739"/>
      <c r="BU163" s="740"/>
      <c r="BV163" s="739"/>
      <c r="BW163" s="740"/>
      <c r="BX163" s="739"/>
      <c r="BY163" s="740"/>
      <c r="BZ163" s="739"/>
      <c r="CA163" s="740"/>
      <c r="CB163" s="739"/>
      <c r="CC163" s="740"/>
      <c r="CD163" s="739"/>
      <c r="CE163" s="740"/>
      <c r="CF163" s="739"/>
      <c r="CG163" s="740"/>
      <c r="CH163" s="739"/>
      <c r="CI163" s="740"/>
      <c r="CJ163" s="739"/>
      <c r="CK163" s="740"/>
      <c r="CL163" s="748" t="s">
        <v>6</v>
      </c>
      <c r="CN163" s="713"/>
      <c r="CO163" s="726"/>
    </row>
    <row r="164" spans="2:93" customHeight="1">
      <c r="B164" s="161"/>
      <c r="C164" s="100" t="s">
        <v>391</v>
      </c>
      <c r="D164" s="126" t="s">
        <v>135</v>
      </c>
      <c r="E164" s="176">
        <f>'G4. Staff'!T244</f>
        <v>0</v>
      </c>
      <c r="F164" s="176">
        <f>'G4. Staff'!U244</f>
        <v>0</v>
      </c>
      <c r="G164" s="176">
        <f>'G4. Staff'!V244</f>
        <v>0</v>
      </c>
      <c r="H164" s="176">
        <f>'G4. Staff'!W244</f>
        <v>0</v>
      </c>
      <c r="I164" s="176">
        <f>'G4. Staff'!X244</f>
        <v>0</v>
      </c>
      <c r="J164" s="176">
        <f>'G4. Staff'!Y244</f>
        <v>0</v>
      </c>
      <c r="K164" s="176">
        <f>'G4. Staff'!Z244</f>
        <v>0</v>
      </c>
      <c r="L164" s="176">
        <f>'G4. Staff'!AA244</f>
        <v>0</v>
      </c>
      <c r="M164" s="100"/>
      <c r="N164" s="100"/>
      <c r="O164" s="100"/>
      <c r="P164" s="100"/>
      <c r="Q164" s="162"/>
      <c r="T164" s="738" t="s">
        <v>6</v>
      </c>
      <c r="U164" s="739"/>
      <c r="V164" s="740"/>
      <c r="W164" s="739" t="s">
        <v>6</v>
      </c>
      <c r="X164" s="740"/>
      <c r="Y164" s="739"/>
      <c r="Z164" s="740" t="s">
        <v>6</v>
      </c>
      <c r="AA164" s="739"/>
      <c r="AB164" s="740"/>
      <c r="AC164" s="739" t="s">
        <v>6</v>
      </c>
      <c r="AD164" s="740"/>
      <c r="AE164" s="739"/>
      <c r="AF164" s="740" t="s">
        <v>6</v>
      </c>
      <c r="AG164" s="739"/>
      <c r="AH164" s="741"/>
      <c r="AK164" s="738" t="s">
        <v>6</v>
      </c>
      <c r="AL164" s="739"/>
      <c r="AM164" s="740"/>
      <c r="AN164" s="739"/>
      <c r="AO164" s="740"/>
      <c r="AP164" s="739"/>
      <c r="AQ164" s="740"/>
      <c r="AR164" s="739"/>
      <c r="AS164" s="740"/>
      <c r="AT164" s="739"/>
      <c r="AU164" s="740"/>
      <c r="AV164" s="739"/>
      <c r="AW164" s="740"/>
      <c r="AX164" s="739"/>
      <c r="AY164" s="740"/>
      <c r="AZ164" s="739"/>
      <c r="BA164" s="740"/>
      <c r="BB164" s="739"/>
      <c r="BC164" s="740" t="s">
        <v>6</v>
      </c>
      <c r="BD164" s="739"/>
      <c r="BE164" s="740"/>
      <c r="BF164" s="739"/>
      <c r="BG164" s="740"/>
      <c r="BH164" s="739"/>
      <c r="BI164" s="740"/>
      <c r="BJ164" s="739" t="s">
        <v>6</v>
      </c>
      <c r="BK164" s="740"/>
      <c r="BL164" s="739"/>
      <c r="BM164" s="740"/>
      <c r="BN164" s="739"/>
      <c r="BO164" s="740"/>
      <c r="BP164" s="739"/>
      <c r="BQ164" s="740" t="s">
        <v>6</v>
      </c>
      <c r="BR164" s="739"/>
      <c r="BS164" s="740"/>
      <c r="BT164" s="739"/>
      <c r="BU164" s="740"/>
      <c r="BV164" s="739"/>
      <c r="BW164" s="740"/>
      <c r="BX164" s="739"/>
      <c r="BY164" s="740"/>
      <c r="BZ164" s="739"/>
      <c r="CA164" s="740"/>
      <c r="CB164" s="739"/>
      <c r="CC164" s="740"/>
      <c r="CD164" s="739"/>
      <c r="CE164" s="740"/>
      <c r="CF164" s="739"/>
      <c r="CG164" s="740"/>
      <c r="CH164" s="739"/>
      <c r="CI164" s="740"/>
      <c r="CJ164" s="739"/>
      <c r="CK164" s="740"/>
      <c r="CL164" s="748" t="s">
        <v>6</v>
      </c>
      <c r="CN164" s="713"/>
      <c r="CO164" s="726"/>
    </row>
    <row r="165" spans="2:93">
      <c r="B165" s="161"/>
      <c r="C165" s="100" t="s">
        <v>392</v>
      </c>
      <c r="D165" s="126" t="s">
        <v>135</v>
      </c>
      <c r="E165" s="176">
        <f>'G4. Staff'!T245</f>
        <v>0</v>
      </c>
      <c r="F165" s="176">
        <f>'G4. Staff'!U245</f>
        <v>0</v>
      </c>
      <c r="G165" s="176">
        <f>'G4. Staff'!V245</f>
        <v>0</v>
      </c>
      <c r="H165" s="176">
        <f>'G4. Staff'!W245</f>
        <v>0</v>
      </c>
      <c r="I165" s="176">
        <f>'G4. Staff'!X245</f>
        <v>0</v>
      </c>
      <c r="J165" s="176">
        <f>'G4. Staff'!Y245</f>
        <v>0</v>
      </c>
      <c r="K165" s="176">
        <f>'G4. Staff'!Z245</f>
        <v>0</v>
      </c>
      <c r="L165" s="176">
        <f>'G4. Staff'!AA245</f>
        <v>0</v>
      </c>
      <c r="M165" s="100"/>
      <c r="N165" s="100"/>
      <c r="O165" s="100"/>
      <c r="P165" s="100"/>
      <c r="Q165" s="162"/>
      <c r="T165" s="738" t="s">
        <v>6</v>
      </c>
      <c r="U165" s="739"/>
      <c r="V165" s="740"/>
      <c r="W165" s="739" t="s">
        <v>6</v>
      </c>
      <c r="X165" s="740"/>
      <c r="Y165" s="739"/>
      <c r="Z165" s="740" t="s">
        <v>6</v>
      </c>
      <c r="AA165" s="739"/>
      <c r="AB165" s="740"/>
      <c r="AC165" s="739" t="s">
        <v>6</v>
      </c>
      <c r="AD165" s="740"/>
      <c r="AE165" s="739"/>
      <c r="AF165" s="740" t="s">
        <v>6</v>
      </c>
      <c r="AG165" s="739"/>
      <c r="AH165" s="741"/>
      <c r="AK165" s="738" t="s">
        <v>6</v>
      </c>
      <c r="AL165" s="739"/>
      <c r="AM165" s="740"/>
      <c r="AN165" s="739"/>
      <c r="AO165" s="740"/>
      <c r="AP165" s="739"/>
      <c r="AQ165" s="740"/>
      <c r="AR165" s="739"/>
      <c r="AS165" s="740"/>
      <c r="AT165" s="739"/>
      <c r="AU165" s="740"/>
      <c r="AV165" s="739"/>
      <c r="AW165" s="740"/>
      <c r="AX165" s="739"/>
      <c r="AY165" s="740"/>
      <c r="AZ165" s="739"/>
      <c r="BA165" s="740"/>
      <c r="BB165" s="739"/>
      <c r="BC165" s="740" t="s">
        <v>6</v>
      </c>
      <c r="BD165" s="739"/>
      <c r="BE165" s="740"/>
      <c r="BF165" s="739"/>
      <c r="BG165" s="740"/>
      <c r="BH165" s="739"/>
      <c r="BI165" s="740"/>
      <c r="BJ165" s="739" t="s">
        <v>6</v>
      </c>
      <c r="BK165" s="740"/>
      <c r="BL165" s="739"/>
      <c r="BM165" s="740"/>
      <c r="BN165" s="739"/>
      <c r="BO165" s="740"/>
      <c r="BP165" s="739"/>
      <c r="BQ165" s="740" t="s">
        <v>6</v>
      </c>
      <c r="BR165" s="739"/>
      <c r="BS165" s="740"/>
      <c r="BT165" s="739"/>
      <c r="BU165" s="740"/>
      <c r="BV165" s="739"/>
      <c r="BW165" s="740"/>
      <c r="BX165" s="739"/>
      <c r="BY165" s="740"/>
      <c r="BZ165" s="739"/>
      <c r="CA165" s="740"/>
      <c r="CB165" s="739"/>
      <c r="CC165" s="740"/>
      <c r="CD165" s="739"/>
      <c r="CE165" s="740"/>
      <c r="CF165" s="739"/>
      <c r="CG165" s="740"/>
      <c r="CH165" s="739"/>
      <c r="CI165" s="740"/>
      <c r="CJ165" s="739"/>
      <c r="CK165" s="740"/>
      <c r="CL165" s="748" t="s">
        <v>6</v>
      </c>
      <c r="CN165" s="713"/>
      <c r="CO165" s="726"/>
    </row>
    <row r="166" spans="2:93">
      <c r="B166" s="161"/>
      <c r="C166" s="100" t="s">
        <v>393</v>
      </c>
      <c r="D166" s="126" t="s">
        <v>135</v>
      </c>
      <c r="E166" s="176">
        <f>'G4. Staff'!T246</f>
        <v>0</v>
      </c>
      <c r="F166" s="176">
        <f>'G4. Staff'!U246</f>
        <v>0</v>
      </c>
      <c r="G166" s="176">
        <f>'G4. Staff'!V246</f>
        <v>0</v>
      </c>
      <c r="H166" s="176">
        <f>'G4. Staff'!W246</f>
        <v>0</v>
      </c>
      <c r="I166" s="176">
        <f>'G4. Staff'!X246</f>
        <v>0</v>
      </c>
      <c r="J166" s="176">
        <f>'G4. Staff'!Y246</f>
        <v>0</v>
      </c>
      <c r="K166" s="176">
        <f>'G4. Staff'!Z246</f>
        <v>0</v>
      </c>
      <c r="L166" s="176">
        <f>'G4. Staff'!AA246</f>
        <v>0</v>
      </c>
      <c r="M166" s="100"/>
      <c r="N166" s="100"/>
      <c r="O166" s="100"/>
      <c r="P166" s="100"/>
      <c r="Q166" s="162"/>
      <c r="T166" s="738" t="s">
        <v>6</v>
      </c>
      <c r="U166" s="739"/>
      <c r="V166" s="740"/>
      <c r="W166" s="739" t="s">
        <v>6</v>
      </c>
      <c r="X166" s="740"/>
      <c r="Y166" s="739"/>
      <c r="Z166" s="740" t="s">
        <v>6</v>
      </c>
      <c r="AA166" s="739"/>
      <c r="AB166" s="740"/>
      <c r="AC166" s="739" t="s">
        <v>6</v>
      </c>
      <c r="AD166" s="740"/>
      <c r="AE166" s="739"/>
      <c r="AF166" s="740" t="s">
        <v>6</v>
      </c>
      <c r="AG166" s="739"/>
      <c r="AH166" s="741"/>
      <c r="AK166" s="738" t="s">
        <v>6</v>
      </c>
      <c r="AL166" s="739"/>
      <c r="AM166" s="740"/>
      <c r="AN166" s="739"/>
      <c r="AO166" s="740"/>
      <c r="AP166" s="739"/>
      <c r="AQ166" s="740"/>
      <c r="AR166" s="739"/>
      <c r="AS166" s="740"/>
      <c r="AT166" s="739"/>
      <c r="AU166" s="740"/>
      <c r="AV166" s="739"/>
      <c r="AW166" s="740"/>
      <c r="AX166" s="739"/>
      <c r="AY166" s="740"/>
      <c r="AZ166" s="739"/>
      <c r="BA166" s="740"/>
      <c r="BB166" s="739"/>
      <c r="BC166" s="740" t="s">
        <v>6</v>
      </c>
      <c r="BD166" s="739"/>
      <c r="BE166" s="740"/>
      <c r="BF166" s="739"/>
      <c r="BG166" s="740"/>
      <c r="BH166" s="739"/>
      <c r="BI166" s="740"/>
      <c r="BJ166" s="739" t="s">
        <v>6</v>
      </c>
      <c r="BK166" s="740"/>
      <c r="BL166" s="739"/>
      <c r="BM166" s="740"/>
      <c r="BN166" s="739"/>
      <c r="BO166" s="740"/>
      <c r="BP166" s="739"/>
      <c r="BQ166" s="740" t="s">
        <v>6</v>
      </c>
      <c r="BR166" s="739"/>
      <c r="BS166" s="740"/>
      <c r="BT166" s="739"/>
      <c r="BU166" s="740"/>
      <c r="BV166" s="739"/>
      <c r="BW166" s="740"/>
      <c r="BX166" s="739"/>
      <c r="BY166" s="740"/>
      <c r="BZ166" s="739"/>
      <c r="CA166" s="740"/>
      <c r="CB166" s="739"/>
      <c r="CC166" s="740"/>
      <c r="CD166" s="739"/>
      <c r="CE166" s="740"/>
      <c r="CF166" s="739"/>
      <c r="CG166" s="740"/>
      <c r="CH166" s="739"/>
      <c r="CI166" s="740"/>
      <c r="CJ166" s="739"/>
      <c r="CK166" s="740"/>
      <c r="CL166" s="748" t="s">
        <v>6</v>
      </c>
      <c r="CN166" s="713"/>
      <c r="CO166" s="726"/>
    </row>
    <row r="167" spans="2:93">
      <c r="B167" s="161"/>
      <c r="C167" s="100" t="s">
        <v>394</v>
      </c>
      <c r="D167" s="126" t="s">
        <v>135</v>
      </c>
      <c r="E167" s="176">
        <f>'G4. Staff'!T247</f>
        <v>0</v>
      </c>
      <c r="F167" s="176">
        <f>'G4. Staff'!U247</f>
        <v>0</v>
      </c>
      <c r="G167" s="176">
        <f>'G4. Staff'!V247</f>
        <v>0</v>
      </c>
      <c r="H167" s="176">
        <f>'G4. Staff'!W247</f>
        <v>0</v>
      </c>
      <c r="I167" s="176">
        <f>'G4. Staff'!X247</f>
        <v>0</v>
      </c>
      <c r="J167" s="176">
        <f>'G4. Staff'!Y247</f>
        <v>0</v>
      </c>
      <c r="K167" s="176">
        <f>'G4. Staff'!Z247</f>
        <v>0</v>
      </c>
      <c r="L167" s="176">
        <f>'G4. Staff'!AA247</f>
        <v>0</v>
      </c>
      <c r="M167" s="100"/>
      <c r="N167" s="100"/>
      <c r="O167" s="100"/>
      <c r="P167" s="100"/>
      <c r="Q167" s="162"/>
      <c r="T167" s="738" t="s">
        <v>6</v>
      </c>
      <c r="U167" s="739"/>
      <c r="V167" s="740"/>
      <c r="W167" s="739" t="s">
        <v>6</v>
      </c>
      <c r="X167" s="740"/>
      <c r="Y167" s="739"/>
      <c r="Z167" s="740" t="s">
        <v>6</v>
      </c>
      <c r="AA167" s="739"/>
      <c r="AB167" s="740"/>
      <c r="AC167" s="739" t="s">
        <v>6</v>
      </c>
      <c r="AD167" s="740"/>
      <c r="AE167" s="739"/>
      <c r="AF167" s="740" t="s">
        <v>6</v>
      </c>
      <c r="AG167" s="739"/>
      <c r="AH167" s="741"/>
      <c r="AK167" s="738" t="s">
        <v>6</v>
      </c>
      <c r="AL167" s="739"/>
      <c r="AM167" s="740"/>
      <c r="AN167" s="739"/>
      <c r="AO167" s="740"/>
      <c r="AP167" s="739"/>
      <c r="AQ167" s="740"/>
      <c r="AR167" s="739"/>
      <c r="AS167" s="740"/>
      <c r="AT167" s="739"/>
      <c r="AU167" s="740"/>
      <c r="AV167" s="739"/>
      <c r="AW167" s="740"/>
      <c r="AX167" s="739"/>
      <c r="AY167" s="740"/>
      <c r="AZ167" s="739"/>
      <c r="BA167" s="740"/>
      <c r="BB167" s="739"/>
      <c r="BC167" s="740" t="s">
        <v>6</v>
      </c>
      <c r="BD167" s="739"/>
      <c r="BE167" s="740"/>
      <c r="BF167" s="739"/>
      <c r="BG167" s="740"/>
      <c r="BH167" s="739"/>
      <c r="BI167" s="740"/>
      <c r="BJ167" s="739" t="s">
        <v>6</v>
      </c>
      <c r="BK167" s="740"/>
      <c r="BL167" s="739"/>
      <c r="BM167" s="740"/>
      <c r="BN167" s="739"/>
      <c r="BO167" s="740"/>
      <c r="BP167" s="739"/>
      <c r="BQ167" s="740" t="s">
        <v>6</v>
      </c>
      <c r="BR167" s="739"/>
      <c r="BS167" s="740"/>
      <c r="BT167" s="739"/>
      <c r="BU167" s="740"/>
      <c r="BV167" s="739"/>
      <c r="BW167" s="740"/>
      <c r="BX167" s="739"/>
      <c r="BY167" s="740"/>
      <c r="BZ167" s="739"/>
      <c r="CA167" s="740"/>
      <c r="CB167" s="739"/>
      <c r="CC167" s="740"/>
      <c r="CD167" s="739"/>
      <c r="CE167" s="740"/>
      <c r="CF167" s="739"/>
      <c r="CG167" s="740"/>
      <c r="CH167" s="739"/>
      <c r="CI167" s="740"/>
      <c r="CJ167" s="739"/>
      <c r="CK167" s="740"/>
      <c r="CL167" s="748" t="s">
        <v>6</v>
      </c>
      <c r="CN167" s="713"/>
      <c r="CO167" s="726"/>
    </row>
    <row r="168" spans="2:93">
      <c r="B168" s="161"/>
      <c r="C168" s="100" t="s">
        <v>395</v>
      </c>
      <c r="D168" s="126" t="s">
        <v>135</v>
      </c>
      <c r="E168" s="176">
        <f>'G4. Staff'!T248</f>
        <v>0</v>
      </c>
      <c r="F168" s="176">
        <f>'G4. Staff'!U248</f>
        <v>0</v>
      </c>
      <c r="G168" s="176">
        <f>'G4. Staff'!V248</f>
        <v>0</v>
      </c>
      <c r="H168" s="176">
        <f>'G4. Staff'!W248</f>
        <v>0</v>
      </c>
      <c r="I168" s="176">
        <f>'G4. Staff'!X248</f>
        <v>0</v>
      </c>
      <c r="J168" s="176">
        <f>'G4. Staff'!Y248</f>
        <v>0</v>
      </c>
      <c r="K168" s="176">
        <f>'G4. Staff'!Z248</f>
        <v>0</v>
      </c>
      <c r="L168" s="176">
        <f>'G4. Staff'!AA248</f>
        <v>0</v>
      </c>
      <c r="M168" s="100"/>
      <c r="N168" s="100"/>
      <c r="O168" s="100"/>
      <c r="P168" s="100"/>
      <c r="Q168" s="162"/>
      <c r="T168" s="738" t="s">
        <v>6</v>
      </c>
      <c r="U168" s="739"/>
      <c r="V168" s="740"/>
      <c r="W168" s="739" t="s">
        <v>6</v>
      </c>
      <c r="X168" s="740"/>
      <c r="Y168" s="739"/>
      <c r="Z168" s="740" t="s">
        <v>6</v>
      </c>
      <c r="AA168" s="739"/>
      <c r="AB168" s="740"/>
      <c r="AC168" s="739" t="s">
        <v>6</v>
      </c>
      <c r="AD168" s="740"/>
      <c r="AE168" s="739"/>
      <c r="AF168" s="740" t="s">
        <v>6</v>
      </c>
      <c r="AG168" s="739"/>
      <c r="AH168" s="741"/>
      <c r="AK168" s="738" t="s">
        <v>6</v>
      </c>
      <c r="AL168" s="739"/>
      <c r="AM168" s="740"/>
      <c r="AN168" s="739"/>
      <c r="AO168" s="740"/>
      <c r="AP168" s="739"/>
      <c r="AQ168" s="740"/>
      <c r="AR168" s="739"/>
      <c r="AS168" s="740"/>
      <c r="AT168" s="739"/>
      <c r="AU168" s="740"/>
      <c r="AV168" s="739"/>
      <c r="AW168" s="740"/>
      <c r="AX168" s="739"/>
      <c r="AY168" s="740"/>
      <c r="AZ168" s="739"/>
      <c r="BA168" s="740"/>
      <c r="BB168" s="739"/>
      <c r="BC168" s="740" t="s">
        <v>6</v>
      </c>
      <c r="BD168" s="739"/>
      <c r="BE168" s="740"/>
      <c r="BF168" s="739"/>
      <c r="BG168" s="740"/>
      <c r="BH168" s="739"/>
      <c r="BI168" s="740"/>
      <c r="BJ168" s="739" t="s">
        <v>6</v>
      </c>
      <c r="BK168" s="740"/>
      <c r="BL168" s="739"/>
      <c r="BM168" s="740"/>
      <c r="BN168" s="739"/>
      <c r="BO168" s="740"/>
      <c r="BP168" s="739"/>
      <c r="BQ168" s="740" t="s">
        <v>6</v>
      </c>
      <c r="BR168" s="739"/>
      <c r="BS168" s="740"/>
      <c r="BT168" s="739"/>
      <c r="BU168" s="740"/>
      <c r="BV168" s="739"/>
      <c r="BW168" s="740"/>
      <c r="BX168" s="739"/>
      <c r="BY168" s="740"/>
      <c r="BZ168" s="739"/>
      <c r="CA168" s="740"/>
      <c r="CB168" s="739"/>
      <c r="CC168" s="740"/>
      <c r="CD168" s="739"/>
      <c r="CE168" s="740"/>
      <c r="CF168" s="739"/>
      <c r="CG168" s="740"/>
      <c r="CH168" s="739"/>
      <c r="CI168" s="740"/>
      <c r="CJ168" s="739"/>
      <c r="CK168" s="740"/>
      <c r="CL168" s="748" t="s">
        <v>6</v>
      </c>
      <c r="CN168" s="713"/>
      <c r="CO168" s="726"/>
    </row>
    <row r="169" spans="2:93" ht="15.75" thickBot="1">
      <c r="B169" s="161"/>
      <c r="C169" s="87" t="s">
        <v>131</v>
      </c>
      <c r="D169" s="126" t="s">
        <v>135</v>
      </c>
      <c r="E169" s="122">
        <f>SUM(E162:E168)</f>
        <v>0</v>
      </c>
      <c r="F169" s="122">
        <f>SUM(F162:F168)</f>
        <v>0</v>
      </c>
      <c r="G169" s="122">
        <f>SUM(G162:G168)</f>
        <v>0</v>
      </c>
      <c r="H169" s="122">
        <f>SUM(H162:H168)</f>
        <v>0</v>
      </c>
      <c r="I169" s="122">
        <f>SUM(I162:I168)</f>
        <v>0</v>
      </c>
      <c r="J169" s="122">
        <f>SUM(J162:J168)</f>
        <v>0</v>
      </c>
      <c r="K169" s="122">
        <f>SUM(K162:K168)</f>
        <v>0</v>
      </c>
      <c r="L169" s="122">
        <f>SUM(L162:L168)</f>
        <v>0</v>
      </c>
      <c r="M169" s="26"/>
      <c r="N169" s="26"/>
      <c r="O169" s="26"/>
      <c r="P169" s="26"/>
      <c r="Q169" s="162"/>
      <c r="T169" s="738" t="s">
        <v>6</v>
      </c>
      <c r="U169" s="739"/>
      <c r="V169" s="740"/>
      <c r="W169" s="739" t="s">
        <v>6</v>
      </c>
      <c r="X169" s="740"/>
      <c r="Y169" s="739"/>
      <c r="Z169" s="740" t="s">
        <v>6</v>
      </c>
      <c r="AA169" s="739"/>
      <c r="AB169" s="740"/>
      <c r="AC169" s="739" t="s">
        <v>6</v>
      </c>
      <c r="AD169" s="740"/>
      <c r="AE169" s="739"/>
      <c r="AF169" s="740" t="s">
        <v>6</v>
      </c>
      <c r="AG169" s="739"/>
      <c r="AH169" s="741"/>
      <c r="AK169" s="738" t="s">
        <v>6</v>
      </c>
      <c r="AL169" s="739"/>
      <c r="AM169" s="740"/>
      <c r="AN169" s="739"/>
      <c r="AO169" s="740"/>
      <c r="AP169" s="739"/>
      <c r="AQ169" s="740"/>
      <c r="AR169" s="739"/>
      <c r="AS169" s="740"/>
      <c r="AT169" s="739"/>
      <c r="AU169" s="740"/>
      <c r="AV169" s="739"/>
      <c r="AW169" s="740"/>
      <c r="AX169" s="739"/>
      <c r="AY169" s="740"/>
      <c r="AZ169" s="739"/>
      <c r="BA169" s="740"/>
      <c r="BB169" s="739"/>
      <c r="BC169" s="740" t="s">
        <v>6</v>
      </c>
      <c r="BD169" s="739"/>
      <c r="BE169" s="740"/>
      <c r="BF169" s="739"/>
      <c r="BG169" s="740"/>
      <c r="BH169" s="739"/>
      <c r="BI169" s="740"/>
      <c r="BJ169" s="739" t="s">
        <v>6</v>
      </c>
      <c r="BK169" s="740"/>
      <c r="BL169" s="739"/>
      <c r="BM169" s="740"/>
      <c r="BN169" s="739"/>
      <c r="BO169" s="740"/>
      <c r="BP169" s="739"/>
      <c r="BQ169" s="740" t="s">
        <v>6</v>
      </c>
      <c r="BR169" s="739"/>
      <c r="BS169" s="740"/>
      <c r="BT169" s="739"/>
      <c r="BU169" s="740"/>
      <c r="BV169" s="739"/>
      <c r="BW169" s="740"/>
      <c r="BX169" s="739"/>
      <c r="BY169" s="740"/>
      <c r="BZ169" s="739"/>
      <c r="CA169" s="740"/>
      <c r="CB169" s="739"/>
      <c r="CC169" s="740"/>
      <c r="CD169" s="739"/>
      <c r="CE169" s="740"/>
      <c r="CF169" s="739"/>
      <c r="CG169" s="740"/>
      <c r="CH169" s="739"/>
      <c r="CI169" s="740"/>
      <c r="CJ169" s="739"/>
      <c r="CK169" s="740"/>
      <c r="CL169" s="748" t="s">
        <v>6</v>
      </c>
      <c r="CN169" s="713"/>
      <c r="CO169" s="726"/>
    </row>
    <row r="170" spans="2:93">
      <c r="B170" s="161"/>
      <c r="C170" s="163"/>
      <c r="D170" s="171"/>
      <c r="E170" s="163"/>
      <c r="F170" s="163"/>
      <c r="G170" s="163"/>
      <c r="H170" s="163"/>
      <c r="I170" s="163"/>
      <c r="J170" s="163"/>
      <c r="K170" s="163"/>
      <c r="L170" s="163"/>
      <c r="M170" s="163"/>
      <c r="N170" s="955" t="s">
        <v>479</v>
      </c>
      <c r="O170" s="163"/>
      <c r="P170" s="957" t="s">
        <v>538</v>
      </c>
      <c r="Q170" s="162"/>
      <c r="T170" s="738" t="s">
        <v>6</v>
      </c>
      <c r="U170" s="739"/>
      <c r="V170" s="740"/>
      <c r="W170" s="739" t="s">
        <v>6</v>
      </c>
      <c r="X170" s="740"/>
      <c r="Y170" s="739"/>
      <c r="Z170" s="740" t="s">
        <v>6</v>
      </c>
      <c r="AA170" s="739"/>
      <c r="AB170" s="740"/>
      <c r="AC170" s="739" t="s">
        <v>6</v>
      </c>
      <c r="AD170" s="740"/>
      <c r="AE170" s="739"/>
      <c r="AF170" s="740" t="s">
        <v>6</v>
      </c>
      <c r="AG170" s="739"/>
      <c r="AH170" s="741"/>
      <c r="AK170" s="738" t="s">
        <v>6</v>
      </c>
      <c r="AL170" s="739"/>
      <c r="AM170" s="740"/>
      <c r="AN170" s="739"/>
      <c r="AO170" s="740"/>
      <c r="AP170" s="739"/>
      <c r="AQ170" s="740"/>
      <c r="AR170" s="739"/>
      <c r="AS170" s="740"/>
      <c r="AT170" s="739"/>
      <c r="AU170" s="740"/>
      <c r="AV170" s="739"/>
      <c r="AW170" s="740"/>
      <c r="AX170" s="739"/>
      <c r="AY170" s="740"/>
      <c r="AZ170" s="739"/>
      <c r="BA170" s="740"/>
      <c r="BB170" s="739"/>
      <c r="BC170" s="740" t="s">
        <v>6</v>
      </c>
      <c r="BD170" s="739"/>
      <c r="BE170" s="740"/>
      <c r="BF170" s="739"/>
      <c r="BG170" s="740"/>
      <c r="BH170" s="739"/>
      <c r="BI170" s="740"/>
      <c r="BJ170" s="739" t="s">
        <v>6</v>
      </c>
      <c r="BK170" s="740"/>
      <c r="BL170" s="739"/>
      <c r="BM170" s="740"/>
      <c r="BN170" s="739"/>
      <c r="BO170" s="740"/>
      <c r="BP170" s="739"/>
      <c r="BQ170" s="740" t="s">
        <v>6</v>
      </c>
      <c r="BR170" s="739"/>
      <c r="BS170" s="740"/>
      <c r="BT170" s="739"/>
      <c r="BU170" s="740"/>
      <c r="BV170" s="739"/>
      <c r="BW170" s="740"/>
      <c r="BX170" s="739"/>
      <c r="BY170" s="740"/>
      <c r="BZ170" s="739"/>
      <c r="CA170" s="740"/>
      <c r="CB170" s="739"/>
      <c r="CC170" s="740"/>
      <c r="CD170" s="739"/>
      <c r="CE170" s="740"/>
      <c r="CF170" s="739"/>
      <c r="CG170" s="740"/>
      <c r="CH170" s="739"/>
      <c r="CI170" s="740"/>
      <c r="CJ170" s="739"/>
      <c r="CK170" s="740"/>
      <c r="CL170" s="748" t="s">
        <v>6</v>
      </c>
      <c r="CN170" s="713"/>
      <c r="CO170" s="726"/>
    </row>
    <row r="171" spans="2:93" ht="30" customHeight="1">
      <c r="B171" s="161"/>
      <c r="C171" s="26" t="s">
        <v>396</v>
      </c>
      <c r="D171" s="104"/>
      <c r="E171" s="26"/>
      <c r="F171" s="26"/>
      <c r="G171" s="26"/>
      <c r="H171" s="26"/>
      <c r="I171" s="26"/>
      <c r="J171" s="26"/>
      <c r="K171" s="26"/>
      <c r="L171" s="26"/>
      <c r="M171" s="26"/>
      <c r="N171" s="956"/>
      <c r="O171" s="26"/>
      <c r="P171" s="958"/>
      <c r="Q171" s="162"/>
      <c r="T171" s="738" t="s">
        <v>6</v>
      </c>
      <c r="U171" s="739"/>
      <c r="V171" s="740"/>
      <c r="W171" s="739" t="s">
        <v>6</v>
      </c>
      <c r="X171" s="740"/>
      <c r="Y171" s="739"/>
      <c r="Z171" s="740" t="s">
        <v>6</v>
      </c>
      <c r="AA171" s="739"/>
      <c r="AB171" s="740"/>
      <c r="AC171" s="739" t="s">
        <v>6</v>
      </c>
      <c r="AD171" s="740"/>
      <c r="AE171" s="739"/>
      <c r="AF171" s="740" t="s">
        <v>6</v>
      </c>
      <c r="AG171" s="739"/>
      <c r="AH171" s="741"/>
      <c r="AK171" s="738" t="s">
        <v>6</v>
      </c>
      <c r="AL171" s="739"/>
      <c r="AM171" s="740"/>
      <c r="AN171" s="739"/>
      <c r="AO171" s="740"/>
      <c r="AP171" s="739"/>
      <c r="AQ171" s="740"/>
      <c r="AR171" s="739"/>
      <c r="AS171" s="740"/>
      <c r="AT171" s="739"/>
      <c r="AU171" s="740"/>
      <c r="AV171" s="739"/>
      <c r="AW171" s="740"/>
      <c r="AX171" s="739"/>
      <c r="AY171" s="740"/>
      <c r="AZ171" s="739"/>
      <c r="BA171" s="740"/>
      <c r="BB171" s="739"/>
      <c r="BC171" s="740" t="s">
        <v>6</v>
      </c>
      <c r="BD171" s="739"/>
      <c r="BE171" s="740"/>
      <c r="BF171" s="739"/>
      <c r="BG171" s="740"/>
      <c r="BH171" s="739"/>
      <c r="BI171" s="740"/>
      <c r="BJ171" s="739" t="s">
        <v>6</v>
      </c>
      <c r="BK171" s="740"/>
      <c r="BL171" s="739"/>
      <c r="BM171" s="740"/>
      <c r="BN171" s="739"/>
      <c r="BO171" s="740"/>
      <c r="BP171" s="739"/>
      <c r="BQ171" s="740" t="s">
        <v>6</v>
      </c>
      <c r="BR171" s="739"/>
      <c r="BS171" s="740"/>
      <c r="BT171" s="739"/>
      <c r="BU171" s="740"/>
      <c r="BV171" s="739"/>
      <c r="BW171" s="740"/>
      <c r="BX171" s="739"/>
      <c r="BY171" s="740"/>
      <c r="BZ171" s="739"/>
      <c r="CA171" s="740"/>
      <c r="CB171" s="739"/>
      <c r="CC171" s="740"/>
      <c r="CD171" s="739"/>
      <c r="CE171" s="740"/>
      <c r="CF171" s="739"/>
      <c r="CG171" s="740"/>
      <c r="CH171" s="739"/>
      <c r="CI171" s="740"/>
      <c r="CJ171" s="739"/>
      <c r="CK171" s="740"/>
      <c r="CL171" s="748" t="s">
        <v>6</v>
      </c>
      <c r="CN171" s="713"/>
      <c r="CO171" s="726"/>
    </row>
    <row r="172" spans="2:93">
      <c r="B172" s="161"/>
      <c r="C172" s="105" t="s">
        <v>397</v>
      </c>
      <c r="D172" s="126" t="s">
        <v>135</v>
      </c>
      <c r="E172" s="589"/>
      <c r="F172" s="589"/>
      <c r="G172" s="589"/>
      <c r="H172" s="589"/>
      <c r="I172" s="589"/>
      <c r="J172" s="589"/>
      <c r="K172" s="589"/>
      <c r="L172" s="589"/>
      <c r="M172" s="105"/>
      <c r="N172"/>
      <c r="O172" s="105"/>
      <c r="P172" s="577"/>
      <c r="Q172" s="162"/>
      <c r="T172" s="738" t="s">
        <v>6</v>
      </c>
      <c r="U172" s="739"/>
      <c r="V172" s="740"/>
      <c r="W172" s="739" t="s">
        <v>6</v>
      </c>
      <c r="X172" s="740"/>
      <c r="Y172" s="739"/>
      <c r="Z172" s="740" t="s">
        <v>6</v>
      </c>
      <c r="AA172" s="739"/>
      <c r="AB172" s="740"/>
      <c r="AC172" s="739" t="s">
        <v>6</v>
      </c>
      <c r="AD172" s="740"/>
      <c r="AE172" s="739"/>
      <c r="AF172" s="740" t="s">
        <v>6</v>
      </c>
      <c r="AG172" s="739"/>
      <c r="AH172" s="741"/>
      <c r="AK172" s="738" t="s">
        <v>6</v>
      </c>
      <c r="AL172" s="739"/>
      <c r="AM172" s="740"/>
      <c r="AN172" s="739"/>
      <c r="AO172" s="740"/>
      <c r="AP172" s="739"/>
      <c r="AQ172" s="740"/>
      <c r="AR172" s="739"/>
      <c r="AS172" s="740"/>
      <c r="AT172" s="739"/>
      <c r="AU172" s="740"/>
      <c r="AV172" s="739"/>
      <c r="AW172" s="740"/>
      <c r="AX172" s="739"/>
      <c r="AY172" s="740"/>
      <c r="AZ172" s="739"/>
      <c r="BA172" s="740"/>
      <c r="BB172" s="739"/>
      <c r="BC172" s="740" t="s">
        <v>6</v>
      </c>
      <c r="BD172" s="739"/>
      <c r="BE172" s="740"/>
      <c r="BF172" s="739"/>
      <c r="BG172" s="740"/>
      <c r="BH172" s="739"/>
      <c r="BI172" s="740"/>
      <c r="BJ172" s="739" t="s">
        <v>6</v>
      </c>
      <c r="BK172" s="740"/>
      <c r="BL172" s="739"/>
      <c r="BM172" s="740"/>
      <c r="BN172" s="739"/>
      <c r="BO172" s="740"/>
      <c r="BP172" s="739"/>
      <c r="BQ172" s="740" t="s">
        <v>6</v>
      </c>
      <c r="BR172" s="739"/>
      <c r="BS172" s="740"/>
      <c r="BT172" s="739"/>
      <c r="BU172" s="740"/>
      <c r="BV172" s="739"/>
      <c r="BW172" s="740"/>
      <c r="BX172" s="739"/>
      <c r="BY172" s="740"/>
      <c r="BZ172" s="739"/>
      <c r="CA172" s="740"/>
      <c r="CB172" s="739"/>
      <c r="CC172" s="740"/>
      <c r="CD172" s="739"/>
      <c r="CE172" s="740"/>
      <c r="CF172" s="739"/>
      <c r="CG172" s="740"/>
      <c r="CH172" s="739"/>
      <c r="CI172" s="740"/>
      <c r="CJ172" s="739"/>
      <c r="CK172" s="740"/>
      <c r="CL172" s="748" t="s">
        <v>6</v>
      </c>
      <c r="CN172" s="713"/>
      <c r="CO172" s="726"/>
    </row>
    <row r="173" spans="2:93">
      <c r="B173" s="161"/>
      <c r="C173" s="101" t="s">
        <v>398</v>
      </c>
      <c r="D173" s="126" t="s">
        <v>135</v>
      </c>
      <c r="E173" s="589"/>
      <c r="F173" s="589"/>
      <c r="G173" s="589"/>
      <c r="H173" s="589"/>
      <c r="I173" s="589"/>
      <c r="J173" s="589"/>
      <c r="K173" s="589"/>
      <c r="L173" s="589"/>
      <c r="M173" s="101"/>
      <c r="N173"/>
      <c r="O173" s="101"/>
      <c r="P173" s="577"/>
      <c r="Q173" s="162"/>
      <c r="T173" s="738" t="s">
        <v>6</v>
      </c>
      <c r="U173" s="739"/>
      <c r="V173" s="740"/>
      <c r="W173" s="739" t="s">
        <v>6</v>
      </c>
      <c r="X173" s="740"/>
      <c r="Y173" s="739"/>
      <c r="Z173" s="740" t="s">
        <v>6</v>
      </c>
      <c r="AA173" s="739"/>
      <c r="AB173" s="740"/>
      <c r="AC173" s="739" t="s">
        <v>6</v>
      </c>
      <c r="AD173" s="740"/>
      <c r="AE173" s="739"/>
      <c r="AF173" s="740" t="s">
        <v>6</v>
      </c>
      <c r="AG173" s="739"/>
      <c r="AH173" s="741"/>
      <c r="AK173" s="738" t="s">
        <v>6</v>
      </c>
      <c r="AL173" s="739"/>
      <c r="AM173" s="740"/>
      <c r="AN173" s="739"/>
      <c r="AO173" s="740"/>
      <c r="AP173" s="739"/>
      <c r="AQ173" s="740"/>
      <c r="AR173" s="739"/>
      <c r="AS173" s="740"/>
      <c r="AT173" s="739"/>
      <c r="AU173" s="740"/>
      <c r="AV173" s="739"/>
      <c r="AW173" s="740"/>
      <c r="AX173" s="739"/>
      <c r="AY173" s="740"/>
      <c r="AZ173" s="739"/>
      <c r="BA173" s="740"/>
      <c r="BB173" s="739"/>
      <c r="BC173" s="740" t="s">
        <v>6</v>
      </c>
      <c r="BD173" s="739"/>
      <c r="BE173" s="740"/>
      <c r="BF173" s="739"/>
      <c r="BG173" s="740"/>
      <c r="BH173" s="739"/>
      <c r="BI173" s="740"/>
      <c r="BJ173" s="739" t="s">
        <v>6</v>
      </c>
      <c r="BK173" s="740"/>
      <c r="BL173" s="739"/>
      <c r="BM173" s="740"/>
      <c r="BN173" s="739"/>
      <c r="BO173" s="740"/>
      <c r="BP173" s="739"/>
      <c r="BQ173" s="740" t="s">
        <v>6</v>
      </c>
      <c r="BR173" s="739"/>
      <c r="BS173" s="740"/>
      <c r="BT173" s="739"/>
      <c r="BU173" s="740"/>
      <c r="BV173" s="739"/>
      <c r="BW173" s="740"/>
      <c r="BX173" s="739"/>
      <c r="BY173" s="740"/>
      <c r="BZ173" s="739"/>
      <c r="CA173" s="740"/>
      <c r="CB173" s="739"/>
      <c r="CC173" s="740"/>
      <c r="CD173" s="739"/>
      <c r="CE173" s="740"/>
      <c r="CF173" s="739"/>
      <c r="CG173" s="740"/>
      <c r="CH173" s="739"/>
      <c r="CI173" s="740"/>
      <c r="CJ173" s="739"/>
      <c r="CK173" s="740"/>
      <c r="CL173" s="748" t="s">
        <v>6</v>
      </c>
      <c r="CN173" s="713"/>
      <c r="CO173" s="726"/>
    </row>
    <row r="174" spans="2:93">
      <c r="B174" s="161"/>
      <c r="C174" s="101" t="s">
        <v>399</v>
      </c>
      <c r="D174" s="126" t="s">
        <v>135</v>
      </c>
      <c r="E174" s="589"/>
      <c r="F174" s="589"/>
      <c r="G174" s="589"/>
      <c r="H174" s="589"/>
      <c r="I174" s="589"/>
      <c r="J174" s="589"/>
      <c r="K174" s="589"/>
      <c r="L174" s="589"/>
      <c r="M174" s="101"/>
      <c r="N174" s="163"/>
      <c r="O174" s="101"/>
      <c r="P174" s="577"/>
      <c r="Q174" s="162"/>
      <c r="T174" s="738" t="s">
        <v>6</v>
      </c>
      <c r="U174" s="739"/>
      <c r="V174" s="740"/>
      <c r="W174" s="739" t="s">
        <v>6</v>
      </c>
      <c r="X174" s="740"/>
      <c r="Y174" s="739"/>
      <c r="Z174" s="740" t="s">
        <v>6</v>
      </c>
      <c r="AA174" s="739"/>
      <c r="AB174" s="740"/>
      <c r="AC174" s="739" t="s">
        <v>6</v>
      </c>
      <c r="AD174" s="740"/>
      <c r="AE174" s="739"/>
      <c r="AF174" s="740" t="s">
        <v>6</v>
      </c>
      <c r="AG174" s="739"/>
      <c r="AH174" s="741"/>
      <c r="AK174" s="738" t="s">
        <v>6</v>
      </c>
      <c r="AL174" s="739"/>
      <c r="AM174" s="740"/>
      <c r="AN174" s="739"/>
      <c r="AO174" s="740"/>
      <c r="AP174" s="739"/>
      <c r="AQ174" s="740"/>
      <c r="AR174" s="739"/>
      <c r="AS174" s="740"/>
      <c r="AT174" s="739"/>
      <c r="AU174" s="740"/>
      <c r="AV174" s="739"/>
      <c r="AW174" s="740"/>
      <c r="AX174" s="739"/>
      <c r="AY174" s="740"/>
      <c r="AZ174" s="739"/>
      <c r="BA174" s="740"/>
      <c r="BB174" s="739"/>
      <c r="BC174" s="740" t="s">
        <v>6</v>
      </c>
      <c r="BD174" s="739"/>
      <c r="BE174" s="740"/>
      <c r="BF174" s="739"/>
      <c r="BG174" s="740"/>
      <c r="BH174" s="739"/>
      <c r="BI174" s="740"/>
      <c r="BJ174" s="739" t="s">
        <v>6</v>
      </c>
      <c r="BK174" s="740"/>
      <c r="BL174" s="739"/>
      <c r="BM174" s="740"/>
      <c r="BN174" s="739"/>
      <c r="BO174" s="740"/>
      <c r="BP174" s="739"/>
      <c r="BQ174" s="740" t="s">
        <v>6</v>
      </c>
      <c r="BR174" s="739"/>
      <c r="BS174" s="740"/>
      <c r="BT174" s="739"/>
      <c r="BU174" s="740"/>
      <c r="BV174" s="739"/>
      <c r="BW174" s="740"/>
      <c r="BX174" s="739"/>
      <c r="BY174" s="740"/>
      <c r="BZ174" s="739"/>
      <c r="CA174" s="740"/>
      <c r="CB174" s="739"/>
      <c r="CC174" s="740"/>
      <c r="CD174" s="739"/>
      <c r="CE174" s="740"/>
      <c r="CF174" s="739"/>
      <c r="CG174" s="740"/>
      <c r="CH174" s="739"/>
      <c r="CI174" s="740"/>
      <c r="CJ174" s="739"/>
      <c r="CK174" s="740"/>
      <c r="CL174" s="748" t="s">
        <v>6</v>
      </c>
      <c r="CN174" s="713"/>
      <c r="CO174" s="726"/>
    </row>
    <row r="175" spans="2:93">
      <c r="B175" s="161"/>
      <c r="C175" s="101" t="s">
        <v>400</v>
      </c>
      <c r="D175" s="126" t="s">
        <v>135</v>
      </c>
      <c r="E175" s="589"/>
      <c r="F175" s="589"/>
      <c r="G175" s="589"/>
      <c r="H175" s="589"/>
      <c r="I175" s="589"/>
      <c r="J175" s="589"/>
      <c r="K175" s="589"/>
      <c r="L175" s="589"/>
      <c r="M175" s="101"/>
      <c r="N175" s="163"/>
      <c r="O175" s="101"/>
      <c r="P175" s="577"/>
      <c r="Q175" s="162"/>
      <c r="T175" s="738" t="s">
        <v>6</v>
      </c>
      <c r="U175" s="739"/>
      <c r="V175" s="740"/>
      <c r="W175" s="739" t="s">
        <v>6</v>
      </c>
      <c r="X175" s="740"/>
      <c r="Y175" s="739"/>
      <c r="Z175" s="740" t="s">
        <v>6</v>
      </c>
      <c r="AA175" s="739"/>
      <c r="AB175" s="740"/>
      <c r="AC175" s="739" t="s">
        <v>6</v>
      </c>
      <c r="AD175" s="740"/>
      <c r="AE175" s="739"/>
      <c r="AF175" s="740" t="s">
        <v>6</v>
      </c>
      <c r="AG175" s="739"/>
      <c r="AH175" s="741"/>
      <c r="AK175" s="738" t="s">
        <v>6</v>
      </c>
      <c r="AL175" s="739"/>
      <c r="AM175" s="740"/>
      <c r="AN175" s="739"/>
      <c r="AO175" s="740"/>
      <c r="AP175" s="739"/>
      <c r="AQ175" s="740"/>
      <c r="AR175" s="739"/>
      <c r="AS175" s="740"/>
      <c r="AT175" s="739"/>
      <c r="AU175" s="740"/>
      <c r="AV175" s="739"/>
      <c r="AW175" s="740"/>
      <c r="AX175" s="739"/>
      <c r="AY175" s="740"/>
      <c r="AZ175" s="739"/>
      <c r="BA175" s="740"/>
      <c r="BB175" s="739"/>
      <c r="BC175" s="740" t="s">
        <v>6</v>
      </c>
      <c r="BD175" s="739"/>
      <c r="BE175" s="740"/>
      <c r="BF175" s="739"/>
      <c r="BG175" s="740"/>
      <c r="BH175" s="739"/>
      <c r="BI175" s="740"/>
      <c r="BJ175" s="739" t="s">
        <v>6</v>
      </c>
      <c r="BK175" s="740"/>
      <c r="BL175" s="739"/>
      <c r="BM175" s="740"/>
      <c r="BN175" s="739"/>
      <c r="BO175" s="740"/>
      <c r="BP175" s="739"/>
      <c r="BQ175" s="740" t="s">
        <v>6</v>
      </c>
      <c r="BR175" s="739"/>
      <c r="BS175" s="740"/>
      <c r="BT175" s="739"/>
      <c r="BU175" s="740"/>
      <c r="BV175" s="739"/>
      <c r="BW175" s="740"/>
      <c r="BX175" s="739"/>
      <c r="BY175" s="740"/>
      <c r="BZ175" s="739"/>
      <c r="CA175" s="740"/>
      <c r="CB175" s="739"/>
      <c r="CC175" s="740"/>
      <c r="CD175" s="739"/>
      <c r="CE175" s="740"/>
      <c r="CF175" s="739"/>
      <c r="CG175" s="740"/>
      <c r="CH175" s="739"/>
      <c r="CI175" s="740"/>
      <c r="CJ175" s="739"/>
      <c r="CK175" s="740"/>
      <c r="CL175" s="748" t="s">
        <v>6</v>
      </c>
      <c r="CN175" s="713"/>
      <c r="CO175" s="726"/>
    </row>
    <row r="176" spans="2:93">
      <c r="B176" s="161"/>
      <c r="C176" s="106" t="s">
        <v>401</v>
      </c>
      <c r="D176" s="126" t="s">
        <v>135</v>
      </c>
      <c r="E176" s="589"/>
      <c r="F176" s="589"/>
      <c r="G176" s="589"/>
      <c r="H176" s="589"/>
      <c r="I176" s="589"/>
      <c r="J176" s="589"/>
      <c r="K176" s="589"/>
      <c r="L176" s="589"/>
      <c r="M176" s="101"/>
      <c r="N176" s="163"/>
      <c r="O176" s="101"/>
      <c r="P176" s="577"/>
      <c r="Q176" s="162"/>
      <c r="T176" s="738" t="s">
        <v>6</v>
      </c>
      <c r="U176" s="739"/>
      <c r="V176" s="740"/>
      <c r="W176" s="739" t="s">
        <v>6</v>
      </c>
      <c r="X176" s="740"/>
      <c r="Y176" s="739"/>
      <c r="Z176" s="740" t="s">
        <v>6</v>
      </c>
      <c r="AA176" s="739"/>
      <c r="AB176" s="740"/>
      <c r="AC176" s="739" t="s">
        <v>6</v>
      </c>
      <c r="AD176" s="740"/>
      <c r="AE176" s="739"/>
      <c r="AF176" s="740" t="s">
        <v>6</v>
      </c>
      <c r="AG176" s="739"/>
      <c r="AH176" s="741"/>
      <c r="AK176" s="738" t="s">
        <v>6</v>
      </c>
      <c r="AL176" s="739"/>
      <c r="AM176" s="740"/>
      <c r="AN176" s="739"/>
      <c r="AO176" s="740"/>
      <c r="AP176" s="739"/>
      <c r="AQ176" s="740"/>
      <c r="AR176" s="739"/>
      <c r="AS176" s="740"/>
      <c r="AT176" s="739"/>
      <c r="AU176" s="740"/>
      <c r="AV176" s="739"/>
      <c r="AW176" s="740"/>
      <c r="AX176" s="739"/>
      <c r="AY176" s="740"/>
      <c r="AZ176" s="739"/>
      <c r="BA176" s="740"/>
      <c r="BB176" s="739"/>
      <c r="BC176" s="740" t="s">
        <v>6</v>
      </c>
      <c r="BD176" s="739"/>
      <c r="BE176" s="740"/>
      <c r="BF176" s="739"/>
      <c r="BG176" s="740"/>
      <c r="BH176" s="739"/>
      <c r="BI176" s="740"/>
      <c r="BJ176" s="739" t="s">
        <v>6</v>
      </c>
      <c r="BK176" s="740"/>
      <c r="BL176" s="739"/>
      <c r="BM176" s="740"/>
      <c r="BN176" s="739"/>
      <c r="BO176" s="740"/>
      <c r="BP176" s="739"/>
      <c r="BQ176" s="740" t="s">
        <v>6</v>
      </c>
      <c r="BR176" s="739"/>
      <c r="BS176" s="740"/>
      <c r="BT176" s="739"/>
      <c r="BU176" s="740"/>
      <c r="BV176" s="739"/>
      <c r="BW176" s="740"/>
      <c r="BX176" s="739"/>
      <c r="BY176" s="740"/>
      <c r="BZ176" s="739"/>
      <c r="CA176" s="740"/>
      <c r="CB176" s="739"/>
      <c r="CC176" s="740"/>
      <c r="CD176" s="739"/>
      <c r="CE176" s="740"/>
      <c r="CF176" s="739"/>
      <c r="CG176" s="740"/>
      <c r="CH176" s="739"/>
      <c r="CI176" s="740"/>
      <c r="CJ176" s="739"/>
      <c r="CK176" s="740"/>
      <c r="CL176" s="748" t="s">
        <v>6</v>
      </c>
      <c r="CN176" s="713"/>
      <c r="CO176" s="726"/>
    </row>
    <row r="177" spans="2:93">
      <c r="B177" s="161"/>
      <c r="C177" s="106" t="s">
        <v>402</v>
      </c>
      <c r="D177" s="126" t="s">
        <v>135</v>
      </c>
      <c r="E177" s="589"/>
      <c r="F177" s="589"/>
      <c r="G177" s="589"/>
      <c r="H177" s="589"/>
      <c r="I177" s="589"/>
      <c r="J177" s="589"/>
      <c r="K177" s="589"/>
      <c r="L177" s="589"/>
      <c r="M177" s="101"/>
      <c r="N177" s="163"/>
      <c r="O177" s="101"/>
      <c r="P177" s="577"/>
      <c r="Q177" s="162"/>
      <c r="T177" s="738" t="s">
        <v>6</v>
      </c>
      <c r="U177" s="739"/>
      <c r="V177" s="740"/>
      <c r="W177" s="739" t="s">
        <v>6</v>
      </c>
      <c r="X177" s="740"/>
      <c r="Y177" s="739"/>
      <c r="Z177" s="740" t="s">
        <v>6</v>
      </c>
      <c r="AA177" s="739"/>
      <c r="AB177" s="740"/>
      <c r="AC177" s="739" t="s">
        <v>6</v>
      </c>
      <c r="AD177" s="740"/>
      <c r="AE177" s="739"/>
      <c r="AF177" s="740" t="s">
        <v>6</v>
      </c>
      <c r="AG177" s="739"/>
      <c r="AH177" s="741"/>
      <c r="AK177" s="738" t="s">
        <v>6</v>
      </c>
      <c r="AL177" s="739"/>
      <c r="AM177" s="740"/>
      <c r="AN177" s="739"/>
      <c r="AO177" s="740"/>
      <c r="AP177" s="739"/>
      <c r="AQ177" s="740"/>
      <c r="AR177" s="739"/>
      <c r="AS177" s="740"/>
      <c r="AT177" s="739"/>
      <c r="AU177" s="740"/>
      <c r="AV177" s="739"/>
      <c r="AW177" s="740"/>
      <c r="AX177" s="739"/>
      <c r="AY177" s="740"/>
      <c r="AZ177" s="739"/>
      <c r="BA177" s="740"/>
      <c r="BB177" s="739"/>
      <c r="BC177" s="740" t="s">
        <v>6</v>
      </c>
      <c r="BD177" s="739"/>
      <c r="BE177" s="740"/>
      <c r="BF177" s="739"/>
      <c r="BG177" s="740"/>
      <c r="BH177" s="739"/>
      <c r="BI177" s="740"/>
      <c r="BJ177" s="739" t="s">
        <v>6</v>
      </c>
      <c r="BK177" s="740"/>
      <c r="BL177" s="739"/>
      <c r="BM177" s="740"/>
      <c r="BN177" s="739"/>
      <c r="BO177" s="740"/>
      <c r="BP177" s="739"/>
      <c r="BQ177" s="740" t="s">
        <v>6</v>
      </c>
      <c r="BR177" s="739"/>
      <c r="BS177" s="740"/>
      <c r="BT177" s="739"/>
      <c r="BU177" s="740"/>
      <c r="BV177" s="739"/>
      <c r="BW177" s="740"/>
      <c r="BX177" s="739"/>
      <c r="BY177" s="740"/>
      <c r="BZ177" s="739"/>
      <c r="CA177" s="740"/>
      <c r="CB177" s="739"/>
      <c r="CC177" s="740"/>
      <c r="CD177" s="739"/>
      <c r="CE177" s="740"/>
      <c r="CF177" s="739"/>
      <c r="CG177" s="740"/>
      <c r="CH177" s="739"/>
      <c r="CI177" s="740"/>
      <c r="CJ177" s="739"/>
      <c r="CK177" s="740"/>
      <c r="CL177" s="748" t="s">
        <v>6</v>
      </c>
      <c r="CN177" s="713"/>
      <c r="CO177" s="726"/>
    </row>
    <row r="178" spans="2:93">
      <c r="B178" s="161"/>
      <c r="C178" s="106" t="s">
        <v>403</v>
      </c>
      <c r="D178" s="126" t="s">
        <v>135</v>
      </c>
      <c r="E178" s="589"/>
      <c r="F178" s="589"/>
      <c r="G178" s="589"/>
      <c r="H178" s="589"/>
      <c r="I178" s="589"/>
      <c r="J178" s="589"/>
      <c r="K178" s="589"/>
      <c r="L178" s="589"/>
      <c r="M178" s="101"/>
      <c r="N178" s="163"/>
      <c r="O178" s="101"/>
      <c r="P178" s="577"/>
      <c r="Q178" s="162"/>
      <c r="T178" s="738" t="s">
        <v>6</v>
      </c>
      <c r="U178" s="739"/>
      <c r="V178" s="740"/>
      <c r="W178" s="739" t="s">
        <v>6</v>
      </c>
      <c r="X178" s="740"/>
      <c r="Y178" s="739"/>
      <c r="Z178" s="740" t="s">
        <v>6</v>
      </c>
      <c r="AA178" s="739"/>
      <c r="AB178" s="740"/>
      <c r="AC178" s="739" t="s">
        <v>6</v>
      </c>
      <c r="AD178" s="740"/>
      <c r="AE178" s="739"/>
      <c r="AF178" s="740" t="s">
        <v>6</v>
      </c>
      <c r="AG178" s="739"/>
      <c r="AH178" s="741"/>
      <c r="AK178" s="738" t="s">
        <v>6</v>
      </c>
      <c r="AL178" s="739"/>
      <c r="AM178" s="740"/>
      <c r="AN178" s="739"/>
      <c r="AO178" s="740"/>
      <c r="AP178" s="739"/>
      <c r="AQ178" s="740"/>
      <c r="AR178" s="739"/>
      <c r="AS178" s="740"/>
      <c r="AT178" s="739"/>
      <c r="AU178" s="740"/>
      <c r="AV178" s="739"/>
      <c r="AW178" s="740"/>
      <c r="AX178" s="739"/>
      <c r="AY178" s="740"/>
      <c r="AZ178" s="739"/>
      <c r="BA178" s="740"/>
      <c r="BB178" s="739"/>
      <c r="BC178" s="740" t="s">
        <v>6</v>
      </c>
      <c r="BD178" s="739"/>
      <c r="BE178" s="740"/>
      <c r="BF178" s="739"/>
      <c r="BG178" s="740"/>
      <c r="BH178" s="739"/>
      <c r="BI178" s="740"/>
      <c r="BJ178" s="739" t="s">
        <v>6</v>
      </c>
      <c r="BK178" s="740"/>
      <c r="BL178" s="739"/>
      <c r="BM178" s="740"/>
      <c r="BN178" s="739"/>
      <c r="BO178" s="740"/>
      <c r="BP178" s="739"/>
      <c r="BQ178" s="740" t="s">
        <v>6</v>
      </c>
      <c r="BR178" s="739"/>
      <c r="BS178" s="740"/>
      <c r="BT178" s="739"/>
      <c r="BU178" s="740"/>
      <c r="BV178" s="739"/>
      <c r="BW178" s="740"/>
      <c r="BX178" s="739"/>
      <c r="BY178" s="740"/>
      <c r="BZ178" s="739"/>
      <c r="CA178" s="740"/>
      <c r="CB178" s="739"/>
      <c r="CC178" s="740"/>
      <c r="CD178" s="739"/>
      <c r="CE178" s="740"/>
      <c r="CF178" s="739"/>
      <c r="CG178" s="740"/>
      <c r="CH178" s="739"/>
      <c r="CI178" s="740"/>
      <c r="CJ178" s="739"/>
      <c r="CK178" s="740"/>
      <c r="CL178" s="748" t="s">
        <v>6</v>
      </c>
      <c r="CN178" s="713"/>
      <c r="CO178" s="726"/>
    </row>
    <row r="179" spans="2:93">
      <c r="B179" s="161"/>
      <c r="C179" s="106" t="s">
        <v>404</v>
      </c>
      <c r="D179" s="126" t="s">
        <v>135</v>
      </c>
      <c r="E179" s="589"/>
      <c r="F179" s="589"/>
      <c r="G179" s="589"/>
      <c r="H179" s="589"/>
      <c r="I179" s="589"/>
      <c r="J179" s="589"/>
      <c r="K179" s="589"/>
      <c r="L179" s="589"/>
      <c r="M179" s="101"/>
      <c r="N179" s="163"/>
      <c r="O179" s="101"/>
      <c r="P179" s="577"/>
      <c r="Q179" s="162"/>
      <c r="T179" s="738" t="s">
        <v>6</v>
      </c>
      <c r="U179" s="739"/>
      <c r="V179" s="740"/>
      <c r="W179" s="739" t="s">
        <v>6</v>
      </c>
      <c r="X179" s="740"/>
      <c r="Y179" s="739"/>
      <c r="Z179" s="740" t="s">
        <v>6</v>
      </c>
      <c r="AA179" s="739"/>
      <c r="AB179" s="740"/>
      <c r="AC179" s="739" t="s">
        <v>6</v>
      </c>
      <c r="AD179" s="740"/>
      <c r="AE179" s="739"/>
      <c r="AF179" s="740" t="s">
        <v>6</v>
      </c>
      <c r="AG179" s="739"/>
      <c r="AH179" s="741"/>
      <c r="AK179" s="738" t="s">
        <v>6</v>
      </c>
      <c r="AL179" s="739"/>
      <c r="AM179" s="740"/>
      <c r="AN179" s="739"/>
      <c r="AO179" s="740"/>
      <c r="AP179" s="739"/>
      <c r="AQ179" s="740"/>
      <c r="AR179" s="739"/>
      <c r="AS179" s="740"/>
      <c r="AT179" s="739"/>
      <c r="AU179" s="740"/>
      <c r="AV179" s="739"/>
      <c r="AW179" s="740"/>
      <c r="AX179" s="739"/>
      <c r="AY179" s="740"/>
      <c r="AZ179" s="739"/>
      <c r="BA179" s="740"/>
      <c r="BB179" s="739"/>
      <c r="BC179" s="740" t="s">
        <v>6</v>
      </c>
      <c r="BD179" s="739"/>
      <c r="BE179" s="740"/>
      <c r="BF179" s="739"/>
      <c r="BG179" s="740"/>
      <c r="BH179" s="739"/>
      <c r="BI179" s="740"/>
      <c r="BJ179" s="739" t="s">
        <v>6</v>
      </c>
      <c r="BK179" s="740"/>
      <c r="BL179" s="739"/>
      <c r="BM179" s="740"/>
      <c r="BN179" s="739"/>
      <c r="BO179" s="740"/>
      <c r="BP179" s="739"/>
      <c r="BQ179" s="740" t="s">
        <v>6</v>
      </c>
      <c r="BR179" s="739"/>
      <c r="BS179" s="740"/>
      <c r="BT179" s="739"/>
      <c r="BU179" s="740"/>
      <c r="BV179" s="739"/>
      <c r="BW179" s="740"/>
      <c r="BX179" s="739"/>
      <c r="BY179" s="740"/>
      <c r="BZ179" s="739"/>
      <c r="CA179" s="740"/>
      <c r="CB179" s="739"/>
      <c r="CC179" s="740"/>
      <c r="CD179" s="739"/>
      <c r="CE179" s="740"/>
      <c r="CF179" s="739"/>
      <c r="CG179" s="740"/>
      <c r="CH179" s="739"/>
      <c r="CI179" s="740"/>
      <c r="CJ179" s="739"/>
      <c r="CK179" s="740"/>
      <c r="CL179" s="748" t="s">
        <v>6</v>
      </c>
      <c r="CN179" s="713"/>
      <c r="CO179" s="726"/>
    </row>
    <row r="180" spans="2:93">
      <c r="B180" s="161"/>
      <c r="C180" s="106" t="s">
        <v>405</v>
      </c>
      <c r="D180" s="126" t="s">
        <v>135</v>
      </c>
      <c r="E180" s="589"/>
      <c r="F180" s="589"/>
      <c r="G180" s="589"/>
      <c r="H180" s="589"/>
      <c r="I180" s="589"/>
      <c r="J180" s="589"/>
      <c r="K180" s="589"/>
      <c r="L180" s="589"/>
      <c r="M180" s="101"/>
      <c r="N180" s="163"/>
      <c r="O180" s="101"/>
      <c r="P180" s="577"/>
      <c r="Q180" s="162"/>
      <c r="T180" s="738" t="s">
        <v>6</v>
      </c>
      <c r="U180" s="739"/>
      <c r="V180" s="740"/>
      <c r="W180" s="739" t="s">
        <v>6</v>
      </c>
      <c r="X180" s="740"/>
      <c r="Y180" s="739"/>
      <c r="Z180" s="740" t="s">
        <v>6</v>
      </c>
      <c r="AA180" s="739"/>
      <c r="AB180" s="740"/>
      <c r="AC180" s="739" t="s">
        <v>6</v>
      </c>
      <c r="AD180" s="740"/>
      <c r="AE180" s="739"/>
      <c r="AF180" s="740" t="s">
        <v>6</v>
      </c>
      <c r="AG180" s="739"/>
      <c r="AH180" s="741"/>
      <c r="AK180" s="738" t="s">
        <v>6</v>
      </c>
      <c r="AL180" s="739"/>
      <c r="AM180" s="740"/>
      <c r="AN180" s="739"/>
      <c r="AO180" s="740"/>
      <c r="AP180" s="739"/>
      <c r="AQ180" s="740"/>
      <c r="AR180" s="739"/>
      <c r="AS180" s="740"/>
      <c r="AT180" s="739"/>
      <c r="AU180" s="740"/>
      <c r="AV180" s="739"/>
      <c r="AW180" s="740"/>
      <c r="AX180" s="739"/>
      <c r="AY180" s="740"/>
      <c r="AZ180" s="739"/>
      <c r="BA180" s="740"/>
      <c r="BB180" s="739"/>
      <c r="BC180" s="740" t="s">
        <v>6</v>
      </c>
      <c r="BD180" s="739"/>
      <c r="BE180" s="740"/>
      <c r="BF180" s="739"/>
      <c r="BG180" s="740"/>
      <c r="BH180" s="739"/>
      <c r="BI180" s="740"/>
      <c r="BJ180" s="739" t="s">
        <v>6</v>
      </c>
      <c r="BK180" s="740"/>
      <c r="BL180" s="739"/>
      <c r="BM180" s="740"/>
      <c r="BN180" s="739"/>
      <c r="BO180" s="740"/>
      <c r="BP180" s="739"/>
      <c r="BQ180" s="740" t="s">
        <v>6</v>
      </c>
      <c r="BR180" s="739"/>
      <c r="BS180" s="740"/>
      <c r="BT180" s="739"/>
      <c r="BU180" s="740"/>
      <c r="BV180" s="739"/>
      <c r="BW180" s="740"/>
      <c r="BX180" s="739"/>
      <c r="BY180" s="740"/>
      <c r="BZ180" s="739"/>
      <c r="CA180" s="740"/>
      <c r="CB180" s="739"/>
      <c r="CC180" s="740"/>
      <c r="CD180" s="739"/>
      <c r="CE180" s="740"/>
      <c r="CF180" s="739"/>
      <c r="CG180" s="740"/>
      <c r="CH180" s="739"/>
      <c r="CI180" s="740"/>
      <c r="CJ180" s="739"/>
      <c r="CK180" s="740"/>
      <c r="CL180" s="748" t="s">
        <v>6</v>
      </c>
      <c r="CN180" s="713"/>
      <c r="CO180" s="726"/>
    </row>
    <row r="181" spans="2:93">
      <c r="B181" s="161"/>
      <c r="C181" s="106" t="s">
        <v>406</v>
      </c>
      <c r="D181" s="126" t="s">
        <v>135</v>
      </c>
      <c r="E181" s="589"/>
      <c r="F181" s="589"/>
      <c r="G181" s="589"/>
      <c r="H181" s="589"/>
      <c r="I181" s="589"/>
      <c r="J181" s="589"/>
      <c r="K181" s="589"/>
      <c r="L181" s="589"/>
      <c r="M181" s="101"/>
      <c r="N181" s="163"/>
      <c r="O181" s="101"/>
      <c r="P181" s="577"/>
      <c r="Q181" s="162"/>
      <c r="T181" s="738" t="s">
        <v>6</v>
      </c>
      <c r="U181" s="739"/>
      <c r="V181" s="740"/>
      <c r="W181" s="739" t="s">
        <v>6</v>
      </c>
      <c r="X181" s="740"/>
      <c r="Y181" s="739"/>
      <c r="Z181" s="740" t="s">
        <v>6</v>
      </c>
      <c r="AA181" s="739"/>
      <c r="AB181" s="740"/>
      <c r="AC181" s="739" t="s">
        <v>6</v>
      </c>
      <c r="AD181" s="740"/>
      <c r="AE181" s="739"/>
      <c r="AF181" s="740" t="s">
        <v>6</v>
      </c>
      <c r="AG181" s="739"/>
      <c r="AH181" s="741"/>
      <c r="AK181" s="738" t="s">
        <v>6</v>
      </c>
      <c r="AL181" s="739"/>
      <c r="AM181" s="740"/>
      <c r="AN181" s="739"/>
      <c r="AO181" s="740"/>
      <c r="AP181" s="739"/>
      <c r="AQ181" s="740"/>
      <c r="AR181" s="739"/>
      <c r="AS181" s="740"/>
      <c r="AT181" s="739"/>
      <c r="AU181" s="740"/>
      <c r="AV181" s="739"/>
      <c r="AW181" s="740"/>
      <c r="AX181" s="739"/>
      <c r="AY181" s="740"/>
      <c r="AZ181" s="739"/>
      <c r="BA181" s="740"/>
      <c r="BB181" s="739"/>
      <c r="BC181" s="740" t="s">
        <v>6</v>
      </c>
      <c r="BD181" s="739"/>
      <c r="BE181" s="740"/>
      <c r="BF181" s="739"/>
      <c r="BG181" s="740"/>
      <c r="BH181" s="739"/>
      <c r="BI181" s="740"/>
      <c r="BJ181" s="739" t="s">
        <v>6</v>
      </c>
      <c r="BK181" s="740"/>
      <c r="BL181" s="739"/>
      <c r="BM181" s="740"/>
      <c r="BN181" s="739"/>
      <c r="BO181" s="740"/>
      <c r="BP181" s="739"/>
      <c r="BQ181" s="740" t="s">
        <v>6</v>
      </c>
      <c r="BR181" s="739"/>
      <c r="BS181" s="740"/>
      <c r="BT181" s="739"/>
      <c r="BU181" s="740"/>
      <c r="BV181" s="739"/>
      <c r="BW181" s="740"/>
      <c r="BX181" s="739"/>
      <c r="BY181" s="740"/>
      <c r="BZ181" s="739"/>
      <c r="CA181" s="740"/>
      <c r="CB181" s="739"/>
      <c r="CC181" s="740"/>
      <c r="CD181" s="739"/>
      <c r="CE181" s="740"/>
      <c r="CF181" s="739"/>
      <c r="CG181" s="740"/>
      <c r="CH181" s="739"/>
      <c r="CI181" s="740"/>
      <c r="CJ181" s="739"/>
      <c r="CK181" s="740"/>
      <c r="CL181" s="748" t="s">
        <v>6</v>
      </c>
      <c r="CN181" s="713"/>
      <c r="CO181" s="726"/>
    </row>
    <row r="182" spans="2:93">
      <c r="B182" s="161"/>
      <c r="C182" s="106" t="s">
        <v>407</v>
      </c>
      <c r="D182" s="126" t="s">
        <v>135</v>
      </c>
      <c r="E182" s="589"/>
      <c r="F182" s="589"/>
      <c r="G182" s="589"/>
      <c r="H182" s="589"/>
      <c r="I182" s="589"/>
      <c r="J182" s="589"/>
      <c r="K182" s="589"/>
      <c r="L182" s="589"/>
      <c r="M182" s="101"/>
      <c r="N182" s="163"/>
      <c r="O182" s="101"/>
      <c r="P182" s="577"/>
      <c r="Q182" s="162"/>
      <c r="T182" s="738" t="s">
        <v>6</v>
      </c>
      <c r="U182" s="739"/>
      <c r="V182" s="740"/>
      <c r="W182" s="739" t="s">
        <v>6</v>
      </c>
      <c r="X182" s="740"/>
      <c r="Y182" s="739"/>
      <c r="Z182" s="740" t="s">
        <v>6</v>
      </c>
      <c r="AA182" s="739"/>
      <c r="AB182" s="740"/>
      <c r="AC182" s="739" t="s">
        <v>6</v>
      </c>
      <c r="AD182" s="740"/>
      <c r="AE182" s="739"/>
      <c r="AF182" s="740" t="s">
        <v>6</v>
      </c>
      <c r="AG182" s="739"/>
      <c r="AH182" s="741"/>
      <c r="AK182" s="738" t="s">
        <v>6</v>
      </c>
      <c r="AL182" s="739"/>
      <c r="AM182" s="740"/>
      <c r="AN182" s="739"/>
      <c r="AO182" s="740"/>
      <c r="AP182" s="739"/>
      <c r="AQ182" s="740"/>
      <c r="AR182" s="739"/>
      <c r="AS182" s="740"/>
      <c r="AT182" s="739"/>
      <c r="AU182" s="740"/>
      <c r="AV182" s="739"/>
      <c r="AW182" s="740"/>
      <c r="AX182" s="739"/>
      <c r="AY182" s="740"/>
      <c r="AZ182" s="739"/>
      <c r="BA182" s="740"/>
      <c r="BB182" s="739"/>
      <c r="BC182" s="740" t="s">
        <v>6</v>
      </c>
      <c r="BD182" s="739"/>
      <c r="BE182" s="740"/>
      <c r="BF182" s="739"/>
      <c r="BG182" s="740"/>
      <c r="BH182" s="739"/>
      <c r="BI182" s="740"/>
      <c r="BJ182" s="739" t="s">
        <v>6</v>
      </c>
      <c r="BK182" s="740"/>
      <c r="BL182" s="739"/>
      <c r="BM182" s="740"/>
      <c r="BN182" s="739"/>
      <c r="BO182" s="740"/>
      <c r="BP182" s="739"/>
      <c r="BQ182" s="740" t="s">
        <v>6</v>
      </c>
      <c r="BR182" s="739"/>
      <c r="BS182" s="740"/>
      <c r="BT182" s="739"/>
      <c r="BU182" s="740"/>
      <c r="BV182" s="739"/>
      <c r="BW182" s="740"/>
      <c r="BX182" s="739"/>
      <c r="BY182" s="740"/>
      <c r="BZ182" s="739"/>
      <c r="CA182" s="740"/>
      <c r="CB182" s="739"/>
      <c r="CC182" s="740"/>
      <c r="CD182" s="739"/>
      <c r="CE182" s="740"/>
      <c r="CF182" s="739"/>
      <c r="CG182" s="740"/>
      <c r="CH182" s="739"/>
      <c r="CI182" s="740"/>
      <c r="CJ182" s="739"/>
      <c r="CK182" s="740"/>
      <c r="CL182" s="748" t="s">
        <v>6</v>
      </c>
      <c r="CN182" s="713"/>
      <c r="CO182" s="726"/>
    </row>
    <row r="183" spans="2:93">
      <c r="B183" s="161"/>
      <c r="C183" s="106" t="s">
        <v>408</v>
      </c>
      <c r="D183" s="126" t="s">
        <v>135</v>
      </c>
      <c r="E183" s="589"/>
      <c r="F183" s="589"/>
      <c r="G183" s="589"/>
      <c r="H183" s="589"/>
      <c r="I183" s="589"/>
      <c r="J183" s="589"/>
      <c r="K183" s="589"/>
      <c r="L183" s="589"/>
      <c r="M183" s="101"/>
      <c r="N183" s="163"/>
      <c r="O183" s="101"/>
      <c r="P183" s="577"/>
      <c r="Q183" s="162"/>
      <c r="T183" s="738" t="s">
        <v>6</v>
      </c>
      <c r="U183" s="739"/>
      <c r="V183" s="740"/>
      <c r="W183" s="739" t="s">
        <v>6</v>
      </c>
      <c r="X183" s="740"/>
      <c r="Y183" s="739"/>
      <c r="Z183" s="740" t="s">
        <v>6</v>
      </c>
      <c r="AA183" s="739"/>
      <c r="AB183" s="740"/>
      <c r="AC183" s="739" t="s">
        <v>6</v>
      </c>
      <c r="AD183" s="740"/>
      <c r="AE183" s="739"/>
      <c r="AF183" s="740" t="s">
        <v>6</v>
      </c>
      <c r="AG183" s="739"/>
      <c r="AH183" s="741"/>
      <c r="AK183" s="738" t="s">
        <v>6</v>
      </c>
      <c r="AL183" s="739"/>
      <c r="AM183" s="740"/>
      <c r="AN183" s="739"/>
      <c r="AO183" s="740"/>
      <c r="AP183" s="739"/>
      <c r="AQ183" s="740"/>
      <c r="AR183" s="739"/>
      <c r="AS183" s="740"/>
      <c r="AT183" s="739"/>
      <c r="AU183" s="740"/>
      <c r="AV183" s="739"/>
      <c r="AW183" s="740"/>
      <c r="AX183" s="739"/>
      <c r="AY183" s="740"/>
      <c r="AZ183" s="739"/>
      <c r="BA183" s="740"/>
      <c r="BB183" s="739"/>
      <c r="BC183" s="740" t="s">
        <v>6</v>
      </c>
      <c r="BD183" s="739"/>
      <c r="BE183" s="740"/>
      <c r="BF183" s="739"/>
      <c r="BG183" s="740"/>
      <c r="BH183" s="739"/>
      <c r="BI183" s="740"/>
      <c r="BJ183" s="739" t="s">
        <v>6</v>
      </c>
      <c r="BK183" s="740"/>
      <c r="BL183" s="739"/>
      <c r="BM183" s="740"/>
      <c r="BN183" s="739"/>
      <c r="BO183" s="740"/>
      <c r="BP183" s="739"/>
      <c r="BQ183" s="740" t="s">
        <v>6</v>
      </c>
      <c r="BR183" s="739"/>
      <c r="BS183" s="740"/>
      <c r="BT183" s="739"/>
      <c r="BU183" s="740"/>
      <c r="BV183" s="739"/>
      <c r="BW183" s="740"/>
      <c r="BX183" s="739"/>
      <c r="BY183" s="740"/>
      <c r="BZ183" s="739"/>
      <c r="CA183" s="740"/>
      <c r="CB183" s="739"/>
      <c r="CC183" s="740"/>
      <c r="CD183" s="739"/>
      <c r="CE183" s="740"/>
      <c r="CF183" s="739"/>
      <c r="CG183" s="740"/>
      <c r="CH183" s="739"/>
      <c r="CI183" s="740"/>
      <c r="CJ183" s="739"/>
      <c r="CK183" s="740"/>
      <c r="CL183" s="748" t="s">
        <v>6</v>
      </c>
      <c r="CN183" s="713"/>
      <c r="CO183" s="726"/>
    </row>
    <row r="184" spans="2:93">
      <c r="B184" s="161"/>
      <c r="C184" s="106" t="s">
        <v>409</v>
      </c>
      <c r="D184" s="126" t="s">
        <v>135</v>
      </c>
      <c r="E184" s="589"/>
      <c r="F184" s="589"/>
      <c r="G184" s="589"/>
      <c r="H184" s="589"/>
      <c r="I184" s="589"/>
      <c r="J184" s="589"/>
      <c r="K184" s="589"/>
      <c r="L184" s="589"/>
      <c r="M184" s="101"/>
      <c r="N184" s="163"/>
      <c r="O184" s="101"/>
      <c r="P184" s="577"/>
      <c r="Q184" s="162"/>
      <c r="T184" s="738" t="s">
        <v>6</v>
      </c>
      <c r="U184" s="739"/>
      <c r="V184" s="740"/>
      <c r="W184" s="739" t="s">
        <v>6</v>
      </c>
      <c r="X184" s="740"/>
      <c r="Y184" s="739"/>
      <c r="Z184" s="740" t="s">
        <v>6</v>
      </c>
      <c r="AA184" s="739"/>
      <c r="AB184" s="740"/>
      <c r="AC184" s="739" t="s">
        <v>6</v>
      </c>
      <c r="AD184" s="740"/>
      <c r="AE184" s="739"/>
      <c r="AF184" s="740" t="s">
        <v>6</v>
      </c>
      <c r="AG184" s="739"/>
      <c r="AH184" s="741"/>
      <c r="AK184" s="738" t="s">
        <v>6</v>
      </c>
      <c r="AL184" s="739"/>
      <c r="AM184" s="740"/>
      <c r="AN184" s="739"/>
      <c r="AO184" s="740"/>
      <c r="AP184" s="739"/>
      <c r="AQ184" s="740"/>
      <c r="AR184" s="739"/>
      <c r="AS184" s="740"/>
      <c r="AT184" s="739"/>
      <c r="AU184" s="740"/>
      <c r="AV184" s="739"/>
      <c r="AW184" s="740"/>
      <c r="AX184" s="739"/>
      <c r="AY184" s="740"/>
      <c r="AZ184" s="739"/>
      <c r="BA184" s="740"/>
      <c r="BB184" s="739"/>
      <c r="BC184" s="740" t="s">
        <v>6</v>
      </c>
      <c r="BD184" s="739"/>
      <c r="BE184" s="740"/>
      <c r="BF184" s="739"/>
      <c r="BG184" s="740"/>
      <c r="BH184" s="739"/>
      <c r="BI184" s="740"/>
      <c r="BJ184" s="739" t="s">
        <v>6</v>
      </c>
      <c r="BK184" s="740"/>
      <c r="BL184" s="739"/>
      <c r="BM184" s="740"/>
      <c r="BN184" s="739"/>
      <c r="BO184" s="740"/>
      <c r="BP184" s="739"/>
      <c r="BQ184" s="740" t="s">
        <v>6</v>
      </c>
      <c r="BR184" s="739"/>
      <c r="BS184" s="740"/>
      <c r="BT184" s="739"/>
      <c r="BU184" s="740"/>
      <c r="BV184" s="739"/>
      <c r="BW184" s="740"/>
      <c r="BX184" s="739"/>
      <c r="BY184" s="740"/>
      <c r="BZ184" s="739"/>
      <c r="CA184" s="740"/>
      <c r="CB184" s="739"/>
      <c r="CC184" s="740"/>
      <c r="CD184" s="739"/>
      <c r="CE184" s="740"/>
      <c r="CF184" s="739"/>
      <c r="CG184" s="740"/>
      <c r="CH184" s="739"/>
      <c r="CI184" s="740"/>
      <c r="CJ184" s="739"/>
      <c r="CK184" s="740"/>
      <c r="CL184" s="748" t="s">
        <v>6</v>
      </c>
      <c r="CN184" s="713"/>
      <c r="CO184" s="726"/>
    </row>
    <row r="185" spans="2:93">
      <c r="B185" s="161"/>
      <c r="C185" s="51" t="s">
        <v>131</v>
      </c>
      <c r="D185" s="126" t="s">
        <v>135</v>
      </c>
      <c r="E185" s="574">
        <f>SUM(E172:E184)</f>
        <v>0</v>
      </c>
      <c r="F185" s="574">
        <f>SUM(F172:F184)</f>
        <v>0</v>
      </c>
      <c r="G185" s="574">
        <f>SUM(G172:G184)</f>
        <v>0</v>
      </c>
      <c r="H185" s="574">
        <f>SUM(H172:H184)</f>
        <v>0</v>
      </c>
      <c r="I185" s="574">
        <f>SUM(I172:I184)</f>
        <v>0</v>
      </c>
      <c r="J185" s="574">
        <f>SUM(J172:J184)</f>
        <v>0</v>
      </c>
      <c r="K185" s="574">
        <f>SUM(K172:K184)</f>
        <v>0</v>
      </c>
      <c r="L185" s="574">
        <f>SUM(L172:L184)</f>
        <v>0</v>
      </c>
      <c r="M185" s="104"/>
      <c r="N185" s="163"/>
      <c r="O185" s="104"/>
      <c r="P185" s="29"/>
      <c r="Q185" s="162"/>
      <c r="T185" s="738" t="s">
        <v>6</v>
      </c>
      <c r="U185" s="739"/>
      <c r="V185" s="740"/>
      <c r="W185" s="739" t="s">
        <v>6</v>
      </c>
      <c r="X185" s="740"/>
      <c r="Y185" s="739"/>
      <c r="Z185" s="740" t="s">
        <v>6</v>
      </c>
      <c r="AA185" s="739"/>
      <c r="AB185" s="740"/>
      <c r="AC185" s="739" t="s">
        <v>6</v>
      </c>
      <c r="AD185" s="740"/>
      <c r="AE185" s="739"/>
      <c r="AF185" s="740" t="s">
        <v>6</v>
      </c>
      <c r="AG185" s="739"/>
      <c r="AH185" s="741"/>
      <c r="AK185" s="738" t="s">
        <v>6</v>
      </c>
      <c r="AL185" s="739"/>
      <c r="AM185" s="740"/>
      <c r="AN185" s="739"/>
      <c r="AO185" s="740"/>
      <c r="AP185" s="739"/>
      <c r="AQ185" s="740"/>
      <c r="AR185" s="739"/>
      <c r="AS185" s="740"/>
      <c r="AT185" s="739"/>
      <c r="AU185" s="740"/>
      <c r="AV185" s="739"/>
      <c r="AW185" s="740"/>
      <c r="AX185" s="739"/>
      <c r="AY185" s="740"/>
      <c r="AZ185" s="739"/>
      <c r="BA185" s="740"/>
      <c r="BB185" s="739"/>
      <c r="BC185" s="740" t="s">
        <v>6</v>
      </c>
      <c r="BD185" s="739"/>
      <c r="BE185" s="740"/>
      <c r="BF185" s="739"/>
      <c r="BG185" s="740"/>
      <c r="BH185" s="739"/>
      <c r="BI185" s="740"/>
      <c r="BJ185" s="739" t="s">
        <v>6</v>
      </c>
      <c r="BK185" s="740"/>
      <c r="BL185" s="739"/>
      <c r="BM185" s="740"/>
      <c r="BN185" s="739"/>
      <c r="BO185" s="740"/>
      <c r="BP185" s="739"/>
      <c r="BQ185" s="740" t="s">
        <v>6</v>
      </c>
      <c r="BR185" s="739"/>
      <c r="BS185" s="740"/>
      <c r="BT185" s="739"/>
      <c r="BU185" s="740"/>
      <c r="BV185" s="739"/>
      <c r="BW185" s="740"/>
      <c r="BX185" s="739"/>
      <c r="BY185" s="740"/>
      <c r="BZ185" s="739"/>
      <c r="CA185" s="740"/>
      <c r="CB185" s="739"/>
      <c r="CC185" s="740"/>
      <c r="CD185" s="739"/>
      <c r="CE185" s="740"/>
      <c r="CF185" s="739"/>
      <c r="CG185" s="740"/>
      <c r="CH185" s="739"/>
      <c r="CI185" s="740"/>
      <c r="CJ185" s="739"/>
      <c r="CK185" s="740"/>
      <c r="CL185" s="748" t="s">
        <v>6</v>
      </c>
      <c r="CN185" s="713"/>
      <c r="CO185" s="726"/>
    </row>
    <row r="186" spans="2:93">
      <c r="B186" s="161"/>
      <c r="C186" s="163"/>
      <c r="D186" s="171"/>
      <c r="E186" s="163"/>
      <c r="F186" s="163"/>
      <c r="G186" s="163"/>
      <c r="H186" s="163"/>
      <c r="I186" s="163"/>
      <c r="J186" s="163"/>
      <c r="K186" s="163"/>
      <c r="L186" s="163"/>
      <c r="M186" s="171"/>
      <c r="N186" s="163"/>
      <c r="O186" s="171"/>
      <c r="P186" s="29"/>
      <c r="Q186" s="162"/>
      <c r="T186" s="738" t="s">
        <v>6</v>
      </c>
      <c r="U186" s="739"/>
      <c r="V186" s="740"/>
      <c r="W186" s="739" t="s">
        <v>6</v>
      </c>
      <c r="X186" s="740"/>
      <c r="Y186" s="739"/>
      <c r="Z186" s="740" t="s">
        <v>6</v>
      </c>
      <c r="AA186" s="739"/>
      <c r="AB186" s="740"/>
      <c r="AC186" s="739" t="s">
        <v>6</v>
      </c>
      <c r="AD186" s="740"/>
      <c r="AE186" s="739"/>
      <c r="AF186" s="740" t="s">
        <v>6</v>
      </c>
      <c r="AG186" s="739"/>
      <c r="AH186" s="741"/>
      <c r="AK186" s="738" t="s">
        <v>6</v>
      </c>
      <c r="AL186" s="739"/>
      <c r="AM186" s="740"/>
      <c r="AN186" s="739"/>
      <c r="AO186" s="740"/>
      <c r="AP186" s="739"/>
      <c r="AQ186" s="740"/>
      <c r="AR186" s="739"/>
      <c r="AS186" s="740"/>
      <c r="AT186" s="739"/>
      <c r="AU186" s="740"/>
      <c r="AV186" s="739"/>
      <c r="AW186" s="740"/>
      <c r="AX186" s="739"/>
      <c r="AY186" s="740"/>
      <c r="AZ186" s="739"/>
      <c r="BA186" s="740"/>
      <c r="BB186" s="739"/>
      <c r="BC186" s="740" t="s">
        <v>6</v>
      </c>
      <c r="BD186" s="739"/>
      <c r="BE186" s="740"/>
      <c r="BF186" s="739"/>
      <c r="BG186" s="740"/>
      <c r="BH186" s="739"/>
      <c r="BI186" s="740"/>
      <c r="BJ186" s="739" t="s">
        <v>6</v>
      </c>
      <c r="BK186" s="740"/>
      <c r="BL186" s="739"/>
      <c r="BM186" s="740"/>
      <c r="BN186" s="739"/>
      <c r="BO186" s="740"/>
      <c r="BP186" s="739"/>
      <c r="BQ186" s="740" t="s">
        <v>6</v>
      </c>
      <c r="BR186" s="739"/>
      <c r="BS186" s="740"/>
      <c r="BT186" s="739"/>
      <c r="BU186" s="740"/>
      <c r="BV186" s="739"/>
      <c r="BW186" s="740"/>
      <c r="BX186" s="739"/>
      <c r="BY186" s="740"/>
      <c r="BZ186" s="739"/>
      <c r="CA186" s="740"/>
      <c r="CB186" s="739"/>
      <c r="CC186" s="740"/>
      <c r="CD186" s="739"/>
      <c r="CE186" s="740"/>
      <c r="CF186" s="739"/>
      <c r="CG186" s="740"/>
      <c r="CH186" s="739"/>
      <c r="CI186" s="740"/>
      <c r="CJ186" s="739"/>
      <c r="CK186" s="740"/>
      <c r="CL186" s="748" t="s">
        <v>6</v>
      </c>
      <c r="CN186" s="713"/>
      <c r="CO186" s="726"/>
    </row>
    <row r="187" spans="2:93">
      <c r="B187" s="161"/>
      <c r="C187" s="26" t="s">
        <v>128</v>
      </c>
      <c r="D187" s="104"/>
      <c r="E187" s="26"/>
      <c r="F187" s="26"/>
      <c r="G187" s="26"/>
      <c r="H187" s="26"/>
      <c r="I187" s="26"/>
      <c r="J187" s="26"/>
      <c r="K187" s="26"/>
      <c r="L187" s="26"/>
      <c r="M187" s="104"/>
      <c r="N187" s="163"/>
      <c r="O187" s="104"/>
      <c r="P187" s="136"/>
      <c r="Q187" s="162"/>
      <c r="T187" s="738" t="s">
        <v>6</v>
      </c>
      <c r="U187" s="739"/>
      <c r="V187" s="740"/>
      <c r="W187" s="739" t="s">
        <v>6</v>
      </c>
      <c r="X187" s="740"/>
      <c r="Y187" s="739"/>
      <c r="Z187" s="740" t="s">
        <v>6</v>
      </c>
      <c r="AA187" s="739"/>
      <c r="AB187" s="740"/>
      <c r="AC187" s="739" t="s">
        <v>6</v>
      </c>
      <c r="AD187" s="740"/>
      <c r="AE187" s="739"/>
      <c r="AF187" s="740" t="s">
        <v>6</v>
      </c>
      <c r="AG187" s="739"/>
      <c r="AH187" s="741"/>
      <c r="AK187" s="738" t="s">
        <v>6</v>
      </c>
      <c r="AL187" s="739"/>
      <c r="AM187" s="740"/>
      <c r="AN187" s="739"/>
      <c r="AO187" s="740"/>
      <c r="AP187" s="739"/>
      <c r="AQ187" s="740"/>
      <c r="AR187" s="739"/>
      <c r="AS187" s="740"/>
      <c r="AT187" s="739"/>
      <c r="AU187" s="740"/>
      <c r="AV187" s="739"/>
      <c r="AW187" s="740"/>
      <c r="AX187" s="739"/>
      <c r="AY187" s="740"/>
      <c r="AZ187" s="739"/>
      <c r="BA187" s="740"/>
      <c r="BB187" s="739"/>
      <c r="BC187" s="740" t="s">
        <v>6</v>
      </c>
      <c r="BD187" s="739"/>
      <c r="BE187" s="740"/>
      <c r="BF187" s="739"/>
      <c r="BG187" s="740"/>
      <c r="BH187" s="739"/>
      <c r="BI187" s="740"/>
      <c r="BJ187" s="739" t="s">
        <v>6</v>
      </c>
      <c r="BK187" s="740"/>
      <c r="BL187" s="739"/>
      <c r="BM187" s="740"/>
      <c r="BN187" s="739"/>
      <c r="BO187" s="740"/>
      <c r="BP187" s="739"/>
      <c r="BQ187" s="740" t="s">
        <v>6</v>
      </c>
      <c r="BR187" s="739"/>
      <c r="BS187" s="740"/>
      <c r="BT187" s="739"/>
      <c r="BU187" s="740"/>
      <c r="BV187" s="739"/>
      <c r="BW187" s="740"/>
      <c r="BX187" s="739"/>
      <c r="BY187" s="740"/>
      <c r="BZ187" s="739"/>
      <c r="CA187" s="740"/>
      <c r="CB187" s="739"/>
      <c r="CC187" s="740"/>
      <c r="CD187" s="739"/>
      <c r="CE187" s="740"/>
      <c r="CF187" s="739"/>
      <c r="CG187" s="740"/>
      <c r="CH187" s="739"/>
      <c r="CI187" s="740"/>
      <c r="CJ187" s="739"/>
      <c r="CK187" s="740"/>
      <c r="CL187" s="748" t="s">
        <v>6</v>
      </c>
      <c r="CN187" s="713"/>
      <c r="CO187" s="726"/>
    </row>
    <row r="188" spans="2:93">
      <c r="B188" s="161"/>
      <c r="C188" s="100" t="s">
        <v>410</v>
      </c>
      <c r="D188" s="126" t="s">
        <v>135</v>
      </c>
      <c r="E188" s="589"/>
      <c r="F188" s="589"/>
      <c r="G188" s="589"/>
      <c r="H188" s="589"/>
      <c r="I188" s="589"/>
      <c r="J188" s="589"/>
      <c r="K188" s="589"/>
      <c r="L188" s="589"/>
      <c r="M188" s="101"/>
      <c r="N188" s="163"/>
      <c r="O188" s="101"/>
      <c r="P188" s="577"/>
      <c r="Q188" s="162"/>
      <c r="T188" s="738" t="s">
        <v>6</v>
      </c>
      <c r="U188" s="739"/>
      <c r="V188" s="740"/>
      <c r="W188" s="739" t="s">
        <v>6</v>
      </c>
      <c r="X188" s="740"/>
      <c r="Y188" s="739"/>
      <c r="Z188" s="740" t="s">
        <v>6</v>
      </c>
      <c r="AA188" s="739"/>
      <c r="AB188" s="740"/>
      <c r="AC188" s="739" t="s">
        <v>6</v>
      </c>
      <c r="AD188" s="740"/>
      <c r="AE188" s="739"/>
      <c r="AF188" s="740" t="s">
        <v>6</v>
      </c>
      <c r="AG188" s="739"/>
      <c r="AH188" s="741"/>
      <c r="AK188" s="738" t="s">
        <v>6</v>
      </c>
      <c r="AL188" s="739"/>
      <c r="AM188" s="740"/>
      <c r="AN188" s="739"/>
      <c r="AO188" s="740"/>
      <c r="AP188" s="739"/>
      <c r="AQ188" s="740"/>
      <c r="AR188" s="739"/>
      <c r="AS188" s="740"/>
      <c r="AT188" s="739"/>
      <c r="AU188" s="740"/>
      <c r="AV188" s="739"/>
      <c r="AW188" s="740"/>
      <c r="AX188" s="739"/>
      <c r="AY188" s="740"/>
      <c r="AZ188" s="739"/>
      <c r="BA188" s="740"/>
      <c r="BB188" s="739"/>
      <c r="BC188" s="740" t="s">
        <v>6</v>
      </c>
      <c r="BD188" s="739"/>
      <c r="BE188" s="740"/>
      <c r="BF188" s="739"/>
      <c r="BG188" s="740"/>
      <c r="BH188" s="739"/>
      <c r="BI188" s="740"/>
      <c r="BJ188" s="739" t="s">
        <v>6</v>
      </c>
      <c r="BK188" s="740"/>
      <c r="BL188" s="739"/>
      <c r="BM188" s="740"/>
      <c r="BN188" s="739"/>
      <c r="BO188" s="740"/>
      <c r="BP188" s="739"/>
      <c r="BQ188" s="740" t="s">
        <v>6</v>
      </c>
      <c r="BR188" s="739"/>
      <c r="BS188" s="740"/>
      <c r="BT188" s="739"/>
      <c r="BU188" s="740"/>
      <c r="BV188" s="739"/>
      <c r="BW188" s="740"/>
      <c r="BX188" s="739"/>
      <c r="BY188" s="740"/>
      <c r="BZ188" s="739"/>
      <c r="CA188" s="740"/>
      <c r="CB188" s="739"/>
      <c r="CC188" s="740"/>
      <c r="CD188" s="739"/>
      <c r="CE188" s="740"/>
      <c r="CF188" s="739"/>
      <c r="CG188" s="740"/>
      <c r="CH188" s="739"/>
      <c r="CI188" s="740"/>
      <c r="CJ188" s="739"/>
      <c r="CK188" s="740"/>
      <c r="CL188" s="748" t="s">
        <v>6</v>
      </c>
      <c r="CN188" s="713"/>
      <c r="CO188" s="726"/>
    </row>
    <row r="189" spans="2:93">
      <c r="B189" s="161"/>
      <c r="C189" s="100" t="s">
        <v>411</v>
      </c>
      <c r="D189" s="126" t="s">
        <v>135</v>
      </c>
      <c r="E189" s="589"/>
      <c r="F189" s="589"/>
      <c r="G189" s="589"/>
      <c r="H189" s="589"/>
      <c r="I189" s="589"/>
      <c r="J189" s="589"/>
      <c r="K189" s="589"/>
      <c r="L189" s="589"/>
      <c r="M189" s="101"/>
      <c r="N189" s="163"/>
      <c r="O189" s="101"/>
      <c r="P189" s="577"/>
      <c r="Q189" s="162"/>
      <c r="T189" s="738" t="s">
        <v>6</v>
      </c>
      <c r="U189" s="739"/>
      <c r="V189" s="740"/>
      <c r="W189" s="739" t="s">
        <v>6</v>
      </c>
      <c r="X189" s="740"/>
      <c r="Y189" s="739"/>
      <c r="Z189" s="740" t="s">
        <v>6</v>
      </c>
      <c r="AA189" s="739"/>
      <c r="AB189" s="740"/>
      <c r="AC189" s="739" t="s">
        <v>6</v>
      </c>
      <c r="AD189" s="740"/>
      <c r="AE189" s="739"/>
      <c r="AF189" s="740" t="s">
        <v>6</v>
      </c>
      <c r="AG189" s="739"/>
      <c r="AH189" s="741"/>
      <c r="AK189" s="738" t="s">
        <v>6</v>
      </c>
      <c r="AL189" s="739"/>
      <c r="AM189" s="740"/>
      <c r="AN189" s="739"/>
      <c r="AO189" s="740"/>
      <c r="AP189" s="739"/>
      <c r="AQ189" s="740"/>
      <c r="AR189" s="739"/>
      <c r="AS189" s="740"/>
      <c r="AT189" s="739"/>
      <c r="AU189" s="740"/>
      <c r="AV189" s="739"/>
      <c r="AW189" s="740"/>
      <c r="AX189" s="739"/>
      <c r="AY189" s="740"/>
      <c r="AZ189" s="739"/>
      <c r="BA189" s="740"/>
      <c r="BB189" s="739"/>
      <c r="BC189" s="740" t="s">
        <v>6</v>
      </c>
      <c r="BD189" s="739"/>
      <c r="BE189" s="740"/>
      <c r="BF189" s="739"/>
      <c r="BG189" s="740"/>
      <c r="BH189" s="739"/>
      <c r="BI189" s="740"/>
      <c r="BJ189" s="739" t="s">
        <v>6</v>
      </c>
      <c r="BK189" s="740"/>
      <c r="BL189" s="739"/>
      <c r="BM189" s="740"/>
      <c r="BN189" s="739"/>
      <c r="BO189" s="740"/>
      <c r="BP189" s="739"/>
      <c r="BQ189" s="740" t="s">
        <v>6</v>
      </c>
      <c r="BR189" s="739"/>
      <c r="BS189" s="740"/>
      <c r="BT189" s="739"/>
      <c r="BU189" s="740"/>
      <c r="BV189" s="739"/>
      <c r="BW189" s="740"/>
      <c r="BX189" s="739"/>
      <c r="BY189" s="740"/>
      <c r="BZ189" s="739"/>
      <c r="CA189" s="740"/>
      <c r="CB189" s="739"/>
      <c r="CC189" s="740"/>
      <c r="CD189" s="739"/>
      <c r="CE189" s="740"/>
      <c r="CF189" s="739"/>
      <c r="CG189" s="740"/>
      <c r="CH189" s="739"/>
      <c r="CI189" s="740"/>
      <c r="CJ189" s="739"/>
      <c r="CK189" s="740"/>
      <c r="CL189" s="748" t="s">
        <v>6</v>
      </c>
      <c r="CN189" s="713"/>
      <c r="CO189" s="726"/>
    </row>
    <row r="190" spans="2:93">
      <c r="B190" s="161"/>
      <c r="C190" s="100" t="s">
        <v>412</v>
      </c>
      <c r="D190" s="126" t="s">
        <v>135</v>
      </c>
      <c r="E190" s="589"/>
      <c r="F190" s="589"/>
      <c r="G190" s="589"/>
      <c r="H190" s="589"/>
      <c r="I190" s="589"/>
      <c r="J190" s="589"/>
      <c r="K190" s="589"/>
      <c r="L190" s="589"/>
      <c r="M190" s="101"/>
      <c r="N190" s="163"/>
      <c r="O190" s="101"/>
      <c r="P190" s="577"/>
      <c r="Q190" s="162"/>
      <c r="T190" s="738" t="s">
        <v>6</v>
      </c>
      <c r="U190" s="739"/>
      <c r="V190" s="740"/>
      <c r="W190" s="739" t="s">
        <v>6</v>
      </c>
      <c r="X190" s="740"/>
      <c r="Y190" s="739"/>
      <c r="Z190" s="740" t="s">
        <v>6</v>
      </c>
      <c r="AA190" s="739"/>
      <c r="AB190" s="740"/>
      <c r="AC190" s="739" t="s">
        <v>6</v>
      </c>
      <c r="AD190" s="740"/>
      <c r="AE190" s="739"/>
      <c r="AF190" s="740" t="s">
        <v>6</v>
      </c>
      <c r="AG190" s="739"/>
      <c r="AH190" s="741"/>
      <c r="AK190" s="738" t="s">
        <v>6</v>
      </c>
      <c r="AL190" s="739"/>
      <c r="AM190" s="740"/>
      <c r="AN190" s="739"/>
      <c r="AO190" s="740"/>
      <c r="AP190" s="739"/>
      <c r="AQ190" s="740"/>
      <c r="AR190" s="739"/>
      <c r="AS190" s="740"/>
      <c r="AT190" s="739"/>
      <c r="AU190" s="740"/>
      <c r="AV190" s="739"/>
      <c r="AW190" s="740"/>
      <c r="AX190" s="739"/>
      <c r="AY190" s="740"/>
      <c r="AZ190" s="739"/>
      <c r="BA190" s="740"/>
      <c r="BB190" s="739"/>
      <c r="BC190" s="740" t="s">
        <v>6</v>
      </c>
      <c r="BD190" s="739"/>
      <c r="BE190" s="740"/>
      <c r="BF190" s="739"/>
      <c r="BG190" s="740"/>
      <c r="BH190" s="739"/>
      <c r="BI190" s="740"/>
      <c r="BJ190" s="739" t="s">
        <v>6</v>
      </c>
      <c r="BK190" s="740"/>
      <c r="BL190" s="739"/>
      <c r="BM190" s="740"/>
      <c r="BN190" s="739"/>
      <c r="BO190" s="740"/>
      <c r="BP190" s="739"/>
      <c r="BQ190" s="740" t="s">
        <v>6</v>
      </c>
      <c r="BR190" s="739"/>
      <c r="BS190" s="740"/>
      <c r="BT190" s="739"/>
      <c r="BU190" s="740"/>
      <c r="BV190" s="739"/>
      <c r="BW190" s="740"/>
      <c r="BX190" s="739"/>
      <c r="BY190" s="740"/>
      <c r="BZ190" s="739"/>
      <c r="CA190" s="740"/>
      <c r="CB190" s="739"/>
      <c r="CC190" s="740"/>
      <c r="CD190" s="739"/>
      <c r="CE190" s="740"/>
      <c r="CF190" s="739"/>
      <c r="CG190" s="740"/>
      <c r="CH190" s="739"/>
      <c r="CI190" s="740"/>
      <c r="CJ190" s="739"/>
      <c r="CK190" s="740"/>
      <c r="CL190" s="748" t="s">
        <v>6</v>
      </c>
      <c r="CN190" s="713"/>
      <c r="CO190" s="726"/>
    </row>
    <row r="191" spans="2:93">
      <c r="B191" s="161"/>
      <c r="C191" s="100" t="s">
        <v>413</v>
      </c>
      <c r="D191" s="126" t="s">
        <v>135</v>
      </c>
      <c r="E191" s="589"/>
      <c r="F191" s="589"/>
      <c r="G191" s="589"/>
      <c r="H191" s="589"/>
      <c r="I191" s="589"/>
      <c r="J191" s="589"/>
      <c r="K191" s="589"/>
      <c r="L191" s="589"/>
      <c r="M191" s="101"/>
      <c r="N191" s="163"/>
      <c r="O191" s="101"/>
      <c r="P191" s="577"/>
      <c r="Q191" s="162"/>
      <c r="T191" s="738" t="s">
        <v>6</v>
      </c>
      <c r="U191" s="739"/>
      <c r="V191" s="740"/>
      <c r="W191" s="739" t="s">
        <v>6</v>
      </c>
      <c r="X191" s="740"/>
      <c r="Y191" s="739"/>
      <c r="Z191" s="740" t="s">
        <v>6</v>
      </c>
      <c r="AA191" s="739"/>
      <c r="AB191" s="740"/>
      <c r="AC191" s="739" t="s">
        <v>6</v>
      </c>
      <c r="AD191" s="740"/>
      <c r="AE191" s="739"/>
      <c r="AF191" s="740" t="s">
        <v>6</v>
      </c>
      <c r="AG191" s="739"/>
      <c r="AH191" s="741"/>
      <c r="AK191" s="738" t="s">
        <v>6</v>
      </c>
      <c r="AL191" s="739"/>
      <c r="AM191" s="740"/>
      <c r="AN191" s="739"/>
      <c r="AO191" s="740"/>
      <c r="AP191" s="739"/>
      <c r="AQ191" s="740"/>
      <c r="AR191" s="739"/>
      <c r="AS191" s="740"/>
      <c r="AT191" s="739"/>
      <c r="AU191" s="740"/>
      <c r="AV191" s="739"/>
      <c r="AW191" s="740"/>
      <c r="AX191" s="739"/>
      <c r="AY191" s="740"/>
      <c r="AZ191" s="739"/>
      <c r="BA191" s="740"/>
      <c r="BB191" s="739"/>
      <c r="BC191" s="740" t="s">
        <v>6</v>
      </c>
      <c r="BD191" s="739"/>
      <c r="BE191" s="740"/>
      <c r="BF191" s="739"/>
      <c r="BG191" s="740"/>
      <c r="BH191" s="739"/>
      <c r="BI191" s="740"/>
      <c r="BJ191" s="739" t="s">
        <v>6</v>
      </c>
      <c r="BK191" s="740"/>
      <c r="BL191" s="739"/>
      <c r="BM191" s="740"/>
      <c r="BN191" s="739"/>
      <c r="BO191" s="740"/>
      <c r="BP191" s="739"/>
      <c r="BQ191" s="740" t="s">
        <v>6</v>
      </c>
      <c r="BR191" s="739"/>
      <c r="BS191" s="740"/>
      <c r="BT191" s="739"/>
      <c r="BU191" s="740"/>
      <c r="BV191" s="739"/>
      <c r="BW191" s="740"/>
      <c r="BX191" s="739"/>
      <c r="BY191" s="740"/>
      <c r="BZ191" s="739"/>
      <c r="CA191" s="740"/>
      <c r="CB191" s="739"/>
      <c r="CC191" s="740"/>
      <c r="CD191" s="739"/>
      <c r="CE191" s="740"/>
      <c r="CF191" s="739"/>
      <c r="CG191" s="740"/>
      <c r="CH191" s="739"/>
      <c r="CI191" s="740"/>
      <c r="CJ191" s="739"/>
      <c r="CK191" s="740"/>
      <c r="CL191" s="748" t="s">
        <v>6</v>
      </c>
      <c r="CN191" s="713"/>
      <c r="CO191" s="726"/>
    </row>
    <row r="192" spans="2:93">
      <c r="B192" s="161"/>
      <c r="C192" s="100" t="s">
        <v>414</v>
      </c>
      <c r="D192" s="126" t="s">
        <v>135</v>
      </c>
      <c r="E192" s="589"/>
      <c r="F192" s="589"/>
      <c r="G192" s="589"/>
      <c r="H192" s="589"/>
      <c r="I192" s="589"/>
      <c r="J192" s="589"/>
      <c r="K192" s="589"/>
      <c r="L192" s="589"/>
      <c r="M192" s="101"/>
      <c r="N192" s="163"/>
      <c r="O192" s="101"/>
      <c r="P192" s="577"/>
      <c r="Q192" s="162"/>
      <c r="T192" s="738" t="s">
        <v>6</v>
      </c>
      <c r="U192" s="739"/>
      <c r="V192" s="740"/>
      <c r="W192" s="739" t="s">
        <v>6</v>
      </c>
      <c r="X192" s="740"/>
      <c r="Y192" s="739"/>
      <c r="Z192" s="740" t="s">
        <v>6</v>
      </c>
      <c r="AA192" s="739"/>
      <c r="AB192" s="740"/>
      <c r="AC192" s="739" t="s">
        <v>6</v>
      </c>
      <c r="AD192" s="740"/>
      <c r="AE192" s="739"/>
      <c r="AF192" s="740" t="s">
        <v>6</v>
      </c>
      <c r="AG192" s="739"/>
      <c r="AH192" s="741"/>
      <c r="AK192" s="738" t="s">
        <v>6</v>
      </c>
      <c r="AL192" s="739"/>
      <c r="AM192" s="740"/>
      <c r="AN192" s="739"/>
      <c r="AO192" s="740"/>
      <c r="AP192" s="739"/>
      <c r="AQ192" s="740"/>
      <c r="AR192" s="739"/>
      <c r="AS192" s="740"/>
      <c r="AT192" s="739"/>
      <c r="AU192" s="740"/>
      <c r="AV192" s="739"/>
      <c r="AW192" s="740"/>
      <c r="AX192" s="739"/>
      <c r="AY192" s="740"/>
      <c r="AZ192" s="739"/>
      <c r="BA192" s="740"/>
      <c r="BB192" s="739"/>
      <c r="BC192" s="740" t="s">
        <v>6</v>
      </c>
      <c r="BD192" s="739"/>
      <c r="BE192" s="740"/>
      <c r="BF192" s="739"/>
      <c r="BG192" s="740"/>
      <c r="BH192" s="739"/>
      <c r="BI192" s="740"/>
      <c r="BJ192" s="739" t="s">
        <v>6</v>
      </c>
      <c r="BK192" s="740"/>
      <c r="BL192" s="739"/>
      <c r="BM192" s="740"/>
      <c r="BN192" s="739"/>
      <c r="BO192" s="740"/>
      <c r="BP192" s="739"/>
      <c r="BQ192" s="740" t="s">
        <v>6</v>
      </c>
      <c r="BR192" s="739"/>
      <c r="BS192" s="740"/>
      <c r="BT192" s="739"/>
      <c r="BU192" s="740"/>
      <c r="BV192" s="739"/>
      <c r="BW192" s="740"/>
      <c r="BX192" s="739"/>
      <c r="BY192" s="740"/>
      <c r="BZ192" s="739"/>
      <c r="CA192" s="740"/>
      <c r="CB192" s="739"/>
      <c r="CC192" s="740"/>
      <c r="CD192" s="739"/>
      <c r="CE192" s="740"/>
      <c r="CF192" s="739"/>
      <c r="CG192" s="740"/>
      <c r="CH192" s="739"/>
      <c r="CI192" s="740"/>
      <c r="CJ192" s="739"/>
      <c r="CK192" s="740"/>
      <c r="CL192" s="748" t="s">
        <v>6</v>
      </c>
      <c r="CN192" s="713"/>
      <c r="CO192" s="726"/>
    </row>
    <row r="193" spans="2:93">
      <c r="B193" s="161"/>
      <c r="C193" s="100" t="s">
        <v>415</v>
      </c>
      <c r="D193" s="126" t="s">
        <v>135</v>
      </c>
      <c r="E193" s="589"/>
      <c r="F193" s="589"/>
      <c r="G193" s="589"/>
      <c r="H193" s="589"/>
      <c r="I193" s="589"/>
      <c r="J193" s="589"/>
      <c r="K193" s="589"/>
      <c r="L193" s="589"/>
      <c r="M193" s="101"/>
      <c r="N193" s="163"/>
      <c r="O193" s="101"/>
      <c r="P193" s="577"/>
      <c r="Q193" s="162"/>
      <c r="T193" s="738" t="s">
        <v>6</v>
      </c>
      <c r="U193" s="739"/>
      <c r="V193" s="740"/>
      <c r="W193" s="739" t="s">
        <v>6</v>
      </c>
      <c r="X193" s="740"/>
      <c r="Y193" s="739"/>
      <c r="Z193" s="740" t="s">
        <v>6</v>
      </c>
      <c r="AA193" s="739"/>
      <c r="AB193" s="740"/>
      <c r="AC193" s="739" t="s">
        <v>6</v>
      </c>
      <c r="AD193" s="740"/>
      <c r="AE193" s="739"/>
      <c r="AF193" s="740" t="s">
        <v>6</v>
      </c>
      <c r="AG193" s="739"/>
      <c r="AH193" s="741"/>
      <c r="AK193" s="738" t="s">
        <v>6</v>
      </c>
      <c r="AL193" s="739"/>
      <c r="AM193" s="740"/>
      <c r="AN193" s="739"/>
      <c r="AO193" s="740"/>
      <c r="AP193" s="739"/>
      <c r="AQ193" s="740"/>
      <c r="AR193" s="739"/>
      <c r="AS193" s="740"/>
      <c r="AT193" s="739"/>
      <c r="AU193" s="740"/>
      <c r="AV193" s="739"/>
      <c r="AW193" s="740"/>
      <c r="AX193" s="739"/>
      <c r="AY193" s="740"/>
      <c r="AZ193" s="739"/>
      <c r="BA193" s="740"/>
      <c r="BB193" s="739"/>
      <c r="BC193" s="740" t="s">
        <v>6</v>
      </c>
      <c r="BD193" s="739"/>
      <c r="BE193" s="740"/>
      <c r="BF193" s="739"/>
      <c r="BG193" s="740"/>
      <c r="BH193" s="739"/>
      <c r="BI193" s="740"/>
      <c r="BJ193" s="739" t="s">
        <v>6</v>
      </c>
      <c r="BK193" s="740"/>
      <c r="BL193" s="739"/>
      <c r="BM193" s="740"/>
      <c r="BN193" s="739"/>
      <c r="BO193" s="740"/>
      <c r="BP193" s="739"/>
      <c r="BQ193" s="740" t="s">
        <v>6</v>
      </c>
      <c r="BR193" s="739"/>
      <c r="BS193" s="740"/>
      <c r="BT193" s="739"/>
      <c r="BU193" s="740"/>
      <c r="BV193" s="739"/>
      <c r="BW193" s="740"/>
      <c r="BX193" s="739"/>
      <c r="BY193" s="740"/>
      <c r="BZ193" s="739"/>
      <c r="CA193" s="740"/>
      <c r="CB193" s="739"/>
      <c r="CC193" s="740"/>
      <c r="CD193" s="739"/>
      <c r="CE193" s="740"/>
      <c r="CF193" s="739"/>
      <c r="CG193" s="740"/>
      <c r="CH193" s="739"/>
      <c r="CI193" s="740"/>
      <c r="CJ193" s="739"/>
      <c r="CK193" s="740"/>
      <c r="CL193" s="748" t="s">
        <v>6</v>
      </c>
      <c r="CN193" s="713"/>
      <c r="CO193" s="726"/>
    </row>
    <row r="194" spans="2:93">
      <c r="B194" s="161"/>
      <c r="C194" s="106" t="s">
        <v>416</v>
      </c>
      <c r="D194" s="126" t="s">
        <v>135</v>
      </c>
      <c r="E194" s="589"/>
      <c r="F194" s="589"/>
      <c r="G194" s="589"/>
      <c r="H194" s="589"/>
      <c r="I194" s="589"/>
      <c r="J194" s="589"/>
      <c r="K194" s="589"/>
      <c r="L194" s="589"/>
      <c r="M194" s="101"/>
      <c r="N194" s="163"/>
      <c r="O194" s="101"/>
      <c r="P194" s="578"/>
      <c r="Q194" s="162"/>
      <c r="T194" s="738" t="s">
        <v>6</v>
      </c>
      <c r="U194" s="739"/>
      <c r="V194" s="740"/>
      <c r="W194" s="739" t="s">
        <v>6</v>
      </c>
      <c r="X194" s="740"/>
      <c r="Y194" s="739"/>
      <c r="Z194" s="740" t="s">
        <v>6</v>
      </c>
      <c r="AA194" s="739"/>
      <c r="AB194" s="740"/>
      <c r="AC194" s="739" t="s">
        <v>6</v>
      </c>
      <c r="AD194" s="740"/>
      <c r="AE194" s="739"/>
      <c r="AF194" s="740" t="s">
        <v>6</v>
      </c>
      <c r="AG194" s="739"/>
      <c r="AH194" s="741"/>
      <c r="AK194" s="738" t="s">
        <v>6</v>
      </c>
      <c r="AL194" s="739"/>
      <c r="AM194" s="740"/>
      <c r="AN194" s="739"/>
      <c r="AO194" s="740"/>
      <c r="AP194" s="739"/>
      <c r="AQ194" s="740"/>
      <c r="AR194" s="739"/>
      <c r="AS194" s="740"/>
      <c r="AT194" s="739"/>
      <c r="AU194" s="740"/>
      <c r="AV194" s="739"/>
      <c r="AW194" s="740"/>
      <c r="AX194" s="739"/>
      <c r="AY194" s="740"/>
      <c r="AZ194" s="739"/>
      <c r="BA194" s="740"/>
      <c r="BB194" s="739"/>
      <c r="BC194" s="740" t="s">
        <v>6</v>
      </c>
      <c r="BD194" s="739"/>
      <c r="BE194" s="740"/>
      <c r="BF194" s="739"/>
      <c r="BG194" s="740"/>
      <c r="BH194" s="739"/>
      <c r="BI194" s="740"/>
      <c r="BJ194" s="739" t="s">
        <v>6</v>
      </c>
      <c r="BK194" s="740"/>
      <c r="BL194" s="739"/>
      <c r="BM194" s="740"/>
      <c r="BN194" s="739"/>
      <c r="BO194" s="740"/>
      <c r="BP194" s="739"/>
      <c r="BQ194" s="740" t="s">
        <v>6</v>
      </c>
      <c r="BR194" s="739"/>
      <c r="BS194" s="740"/>
      <c r="BT194" s="739"/>
      <c r="BU194" s="740"/>
      <c r="BV194" s="739"/>
      <c r="BW194" s="740"/>
      <c r="BX194" s="739"/>
      <c r="BY194" s="740"/>
      <c r="BZ194" s="739"/>
      <c r="CA194" s="740"/>
      <c r="CB194" s="739"/>
      <c r="CC194" s="740"/>
      <c r="CD194" s="739"/>
      <c r="CE194" s="740"/>
      <c r="CF194" s="739"/>
      <c r="CG194" s="740"/>
      <c r="CH194" s="739"/>
      <c r="CI194" s="740"/>
      <c r="CJ194" s="739"/>
      <c r="CK194" s="740"/>
      <c r="CL194" s="748" t="s">
        <v>6</v>
      </c>
      <c r="CN194" s="713"/>
      <c r="CO194" s="726"/>
    </row>
    <row r="195" spans="2:93">
      <c r="B195" s="161"/>
      <c r="C195" s="106" t="s">
        <v>417</v>
      </c>
      <c r="D195" s="126" t="s">
        <v>135</v>
      </c>
      <c r="E195" s="589"/>
      <c r="F195" s="589"/>
      <c r="G195" s="589"/>
      <c r="H195" s="589"/>
      <c r="I195" s="589"/>
      <c r="J195" s="589"/>
      <c r="K195" s="589"/>
      <c r="L195" s="589"/>
      <c r="M195" s="101"/>
      <c r="N195" s="163"/>
      <c r="O195" s="101"/>
      <c r="P195" s="577"/>
      <c r="Q195" s="162"/>
      <c r="T195" s="738" t="s">
        <v>6</v>
      </c>
      <c r="U195" s="739"/>
      <c r="V195" s="740"/>
      <c r="W195" s="739" t="s">
        <v>6</v>
      </c>
      <c r="X195" s="740"/>
      <c r="Y195" s="739"/>
      <c r="Z195" s="740" t="s">
        <v>6</v>
      </c>
      <c r="AA195" s="739"/>
      <c r="AB195" s="740"/>
      <c r="AC195" s="739" t="s">
        <v>6</v>
      </c>
      <c r="AD195" s="740"/>
      <c r="AE195" s="739"/>
      <c r="AF195" s="740" t="s">
        <v>6</v>
      </c>
      <c r="AG195" s="739"/>
      <c r="AH195" s="741"/>
      <c r="AK195" s="738" t="s">
        <v>6</v>
      </c>
      <c r="AL195" s="739"/>
      <c r="AM195" s="740"/>
      <c r="AN195" s="739"/>
      <c r="AO195" s="740"/>
      <c r="AP195" s="739"/>
      <c r="AQ195" s="740"/>
      <c r="AR195" s="739"/>
      <c r="AS195" s="740"/>
      <c r="AT195" s="739"/>
      <c r="AU195" s="740"/>
      <c r="AV195" s="739"/>
      <c r="AW195" s="740"/>
      <c r="AX195" s="739"/>
      <c r="AY195" s="740"/>
      <c r="AZ195" s="739"/>
      <c r="BA195" s="740"/>
      <c r="BB195" s="739"/>
      <c r="BC195" s="740" t="s">
        <v>6</v>
      </c>
      <c r="BD195" s="739"/>
      <c r="BE195" s="740"/>
      <c r="BF195" s="739"/>
      <c r="BG195" s="740"/>
      <c r="BH195" s="739"/>
      <c r="BI195" s="740"/>
      <c r="BJ195" s="739" t="s">
        <v>6</v>
      </c>
      <c r="BK195" s="740"/>
      <c r="BL195" s="739"/>
      <c r="BM195" s="740"/>
      <c r="BN195" s="739"/>
      <c r="BO195" s="740"/>
      <c r="BP195" s="739"/>
      <c r="BQ195" s="740" t="s">
        <v>6</v>
      </c>
      <c r="BR195" s="739"/>
      <c r="BS195" s="740"/>
      <c r="BT195" s="739"/>
      <c r="BU195" s="740"/>
      <c r="BV195" s="739"/>
      <c r="BW195" s="740"/>
      <c r="BX195" s="739"/>
      <c r="BY195" s="740"/>
      <c r="BZ195" s="739"/>
      <c r="CA195" s="740"/>
      <c r="CB195" s="739"/>
      <c r="CC195" s="740"/>
      <c r="CD195" s="739"/>
      <c r="CE195" s="740"/>
      <c r="CF195" s="739"/>
      <c r="CG195" s="740"/>
      <c r="CH195" s="739"/>
      <c r="CI195" s="740"/>
      <c r="CJ195" s="739"/>
      <c r="CK195" s="740"/>
      <c r="CL195" s="748" t="s">
        <v>6</v>
      </c>
      <c r="CN195" s="713"/>
      <c r="CO195" s="726"/>
    </row>
    <row r="196" spans="2:93">
      <c r="B196" s="161"/>
      <c r="C196" s="106" t="s">
        <v>418</v>
      </c>
      <c r="D196" s="126" t="s">
        <v>135</v>
      </c>
      <c r="E196" s="589"/>
      <c r="F196" s="589"/>
      <c r="G196" s="589"/>
      <c r="H196" s="589"/>
      <c r="I196" s="589"/>
      <c r="J196" s="589"/>
      <c r="K196" s="589"/>
      <c r="L196" s="589"/>
      <c r="M196" s="101"/>
      <c r="N196" s="163"/>
      <c r="O196" s="101"/>
      <c r="P196" s="577"/>
      <c r="Q196" s="162"/>
      <c r="T196" s="738" t="s">
        <v>6</v>
      </c>
      <c r="U196" s="739"/>
      <c r="V196" s="740"/>
      <c r="W196" s="739" t="s">
        <v>6</v>
      </c>
      <c r="X196" s="740"/>
      <c r="Y196" s="739"/>
      <c r="Z196" s="740" t="s">
        <v>6</v>
      </c>
      <c r="AA196" s="739"/>
      <c r="AB196" s="740"/>
      <c r="AC196" s="739" t="s">
        <v>6</v>
      </c>
      <c r="AD196" s="740"/>
      <c r="AE196" s="739"/>
      <c r="AF196" s="740" t="s">
        <v>6</v>
      </c>
      <c r="AG196" s="739"/>
      <c r="AH196" s="741"/>
      <c r="AK196" s="738" t="s">
        <v>6</v>
      </c>
      <c r="AL196" s="739"/>
      <c r="AM196" s="740"/>
      <c r="AN196" s="739"/>
      <c r="AO196" s="740"/>
      <c r="AP196" s="739"/>
      <c r="AQ196" s="740"/>
      <c r="AR196" s="739"/>
      <c r="AS196" s="740"/>
      <c r="AT196" s="739"/>
      <c r="AU196" s="740"/>
      <c r="AV196" s="739"/>
      <c r="AW196" s="740"/>
      <c r="AX196" s="739"/>
      <c r="AY196" s="740"/>
      <c r="AZ196" s="739"/>
      <c r="BA196" s="740"/>
      <c r="BB196" s="739"/>
      <c r="BC196" s="740" t="s">
        <v>6</v>
      </c>
      <c r="BD196" s="739"/>
      <c r="BE196" s="740"/>
      <c r="BF196" s="739"/>
      <c r="BG196" s="740"/>
      <c r="BH196" s="739"/>
      <c r="BI196" s="740"/>
      <c r="BJ196" s="739" t="s">
        <v>6</v>
      </c>
      <c r="BK196" s="740"/>
      <c r="BL196" s="739"/>
      <c r="BM196" s="740"/>
      <c r="BN196" s="739"/>
      <c r="BO196" s="740"/>
      <c r="BP196" s="739"/>
      <c r="BQ196" s="740" t="s">
        <v>6</v>
      </c>
      <c r="BR196" s="739"/>
      <c r="BS196" s="740"/>
      <c r="BT196" s="739"/>
      <c r="BU196" s="740"/>
      <c r="BV196" s="739"/>
      <c r="BW196" s="740"/>
      <c r="BX196" s="739"/>
      <c r="BY196" s="740"/>
      <c r="BZ196" s="739"/>
      <c r="CA196" s="740"/>
      <c r="CB196" s="739"/>
      <c r="CC196" s="740"/>
      <c r="CD196" s="739"/>
      <c r="CE196" s="740"/>
      <c r="CF196" s="739"/>
      <c r="CG196" s="740"/>
      <c r="CH196" s="739"/>
      <c r="CI196" s="740"/>
      <c r="CJ196" s="739"/>
      <c r="CK196" s="740"/>
      <c r="CL196" s="748" t="s">
        <v>6</v>
      </c>
      <c r="CN196" s="713"/>
      <c r="CO196" s="726"/>
    </row>
    <row r="197" spans="2:93">
      <c r="B197" s="161"/>
      <c r="C197" s="106" t="s">
        <v>419</v>
      </c>
      <c r="D197" s="126" t="s">
        <v>135</v>
      </c>
      <c r="E197" s="589"/>
      <c r="F197" s="589"/>
      <c r="G197" s="589"/>
      <c r="H197" s="589"/>
      <c r="I197" s="589"/>
      <c r="J197" s="589"/>
      <c r="K197" s="589"/>
      <c r="L197" s="589"/>
      <c r="M197" s="101"/>
      <c r="N197" s="163"/>
      <c r="O197" s="101"/>
      <c r="P197" s="577"/>
      <c r="Q197" s="162"/>
      <c r="T197" s="738" t="s">
        <v>6</v>
      </c>
      <c r="U197" s="739"/>
      <c r="V197" s="740"/>
      <c r="W197" s="739" t="s">
        <v>6</v>
      </c>
      <c r="X197" s="740"/>
      <c r="Y197" s="739"/>
      <c r="Z197" s="740" t="s">
        <v>6</v>
      </c>
      <c r="AA197" s="739"/>
      <c r="AB197" s="740"/>
      <c r="AC197" s="739" t="s">
        <v>6</v>
      </c>
      <c r="AD197" s="740"/>
      <c r="AE197" s="739"/>
      <c r="AF197" s="740" t="s">
        <v>6</v>
      </c>
      <c r="AG197" s="739"/>
      <c r="AH197" s="741"/>
      <c r="AK197" s="738" t="s">
        <v>6</v>
      </c>
      <c r="AL197" s="739"/>
      <c r="AM197" s="740"/>
      <c r="AN197" s="739"/>
      <c r="AO197" s="740"/>
      <c r="AP197" s="739"/>
      <c r="AQ197" s="740"/>
      <c r="AR197" s="739"/>
      <c r="AS197" s="740"/>
      <c r="AT197" s="739"/>
      <c r="AU197" s="740"/>
      <c r="AV197" s="739"/>
      <c r="AW197" s="740"/>
      <c r="AX197" s="739"/>
      <c r="AY197" s="740"/>
      <c r="AZ197" s="739"/>
      <c r="BA197" s="740"/>
      <c r="BB197" s="739"/>
      <c r="BC197" s="740" t="s">
        <v>6</v>
      </c>
      <c r="BD197" s="739"/>
      <c r="BE197" s="740"/>
      <c r="BF197" s="739"/>
      <c r="BG197" s="740"/>
      <c r="BH197" s="739"/>
      <c r="BI197" s="740"/>
      <c r="BJ197" s="739" t="s">
        <v>6</v>
      </c>
      <c r="BK197" s="740"/>
      <c r="BL197" s="739"/>
      <c r="BM197" s="740"/>
      <c r="BN197" s="739"/>
      <c r="BO197" s="740"/>
      <c r="BP197" s="739"/>
      <c r="BQ197" s="740" t="s">
        <v>6</v>
      </c>
      <c r="BR197" s="739"/>
      <c r="BS197" s="740"/>
      <c r="BT197" s="739"/>
      <c r="BU197" s="740"/>
      <c r="BV197" s="739"/>
      <c r="BW197" s="740"/>
      <c r="BX197" s="739"/>
      <c r="BY197" s="740"/>
      <c r="BZ197" s="739"/>
      <c r="CA197" s="740"/>
      <c r="CB197" s="739"/>
      <c r="CC197" s="740"/>
      <c r="CD197" s="739"/>
      <c r="CE197" s="740"/>
      <c r="CF197" s="739"/>
      <c r="CG197" s="740"/>
      <c r="CH197" s="739"/>
      <c r="CI197" s="740"/>
      <c r="CJ197" s="739"/>
      <c r="CK197" s="740"/>
      <c r="CL197" s="748" t="s">
        <v>6</v>
      </c>
      <c r="CN197" s="713"/>
      <c r="CO197" s="726"/>
    </row>
    <row r="198" spans="2:93">
      <c r="B198" s="161"/>
      <c r="C198" s="51" t="s">
        <v>131</v>
      </c>
      <c r="D198" s="126" t="s">
        <v>135</v>
      </c>
      <c r="E198" s="604">
        <f>SUM(E188:E197)</f>
        <v>0</v>
      </c>
      <c r="F198" s="604">
        <f>SUM(F188:F197)</f>
        <v>0</v>
      </c>
      <c r="G198" s="604">
        <f>SUM(G188:G197)</f>
        <v>0</v>
      </c>
      <c r="H198" s="604">
        <f>SUM(H188:H197)</f>
        <v>0</v>
      </c>
      <c r="I198" s="604">
        <f>SUM(I188:I197)</f>
        <v>0</v>
      </c>
      <c r="J198" s="604">
        <f>SUM(J188:J197)</f>
        <v>0</v>
      </c>
      <c r="K198" s="604">
        <f>SUM(K188:K197)</f>
        <v>0</v>
      </c>
      <c r="L198" s="604">
        <f>SUM(L188:L197)</f>
        <v>0</v>
      </c>
      <c r="M198" s="104"/>
      <c r="N198" s="163"/>
      <c r="O198" s="104"/>
      <c r="P198" s="163"/>
      <c r="Q198" s="162"/>
      <c r="T198" s="738" t="s">
        <v>6</v>
      </c>
      <c r="U198" s="739"/>
      <c r="V198" s="740"/>
      <c r="W198" s="739" t="s">
        <v>6</v>
      </c>
      <c r="X198" s="740"/>
      <c r="Y198" s="739"/>
      <c r="Z198" s="740" t="s">
        <v>6</v>
      </c>
      <c r="AA198" s="739"/>
      <c r="AB198" s="740"/>
      <c r="AC198" s="739" t="s">
        <v>6</v>
      </c>
      <c r="AD198" s="740"/>
      <c r="AE198" s="739"/>
      <c r="AF198" s="740" t="s">
        <v>6</v>
      </c>
      <c r="AG198" s="739"/>
      <c r="AH198" s="741"/>
      <c r="AK198" s="738" t="s">
        <v>6</v>
      </c>
      <c r="AL198" s="739"/>
      <c r="AM198" s="740"/>
      <c r="AN198" s="739"/>
      <c r="AO198" s="740"/>
      <c r="AP198" s="739"/>
      <c r="AQ198" s="740"/>
      <c r="AR198" s="739"/>
      <c r="AS198" s="740"/>
      <c r="AT198" s="739"/>
      <c r="AU198" s="740"/>
      <c r="AV198" s="739"/>
      <c r="AW198" s="740"/>
      <c r="AX198" s="739"/>
      <c r="AY198" s="740"/>
      <c r="AZ198" s="739"/>
      <c r="BA198" s="740"/>
      <c r="BB198" s="739"/>
      <c r="BC198" s="740" t="s">
        <v>6</v>
      </c>
      <c r="BD198" s="739"/>
      <c r="BE198" s="740"/>
      <c r="BF198" s="739"/>
      <c r="BG198" s="740"/>
      <c r="BH198" s="739"/>
      <c r="BI198" s="740"/>
      <c r="BJ198" s="739" t="s">
        <v>6</v>
      </c>
      <c r="BK198" s="740"/>
      <c r="BL198" s="739"/>
      <c r="BM198" s="740"/>
      <c r="BN198" s="739"/>
      <c r="BO198" s="740"/>
      <c r="BP198" s="739"/>
      <c r="BQ198" s="740" t="s">
        <v>6</v>
      </c>
      <c r="BR198" s="739"/>
      <c r="BS198" s="740"/>
      <c r="BT198" s="739"/>
      <c r="BU198" s="740"/>
      <c r="BV198" s="739"/>
      <c r="BW198" s="740"/>
      <c r="BX198" s="739"/>
      <c r="BY198" s="740"/>
      <c r="BZ198" s="739"/>
      <c r="CA198" s="740"/>
      <c r="CB198" s="739"/>
      <c r="CC198" s="740"/>
      <c r="CD198" s="739"/>
      <c r="CE198" s="740"/>
      <c r="CF198" s="739"/>
      <c r="CG198" s="740"/>
      <c r="CH198" s="739"/>
      <c r="CI198" s="740"/>
      <c r="CJ198" s="739"/>
      <c r="CK198" s="740"/>
      <c r="CL198" s="748" t="s">
        <v>6</v>
      </c>
      <c r="CN198" s="713"/>
      <c r="CO198" s="726"/>
    </row>
    <row r="199" spans="2:93">
      <c r="B199" s="161"/>
      <c r="C199" s="163"/>
      <c r="D199" s="171"/>
      <c r="E199" s="163"/>
      <c r="F199" s="163"/>
      <c r="G199" s="163"/>
      <c r="H199" s="163"/>
      <c r="I199" s="163"/>
      <c r="J199" s="163"/>
      <c r="K199" s="163"/>
      <c r="L199" s="163"/>
      <c r="M199" s="171"/>
      <c r="N199" s="163"/>
      <c r="O199" s="171"/>
      <c r="P199" s="163"/>
      <c r="Q199" s="162"/>
      <c r="T199" s="738" t="s">
        <v>6</v>
      </c>
      <c r="U199" s="739"/>
      <c r="V199" s="740"/>
      <c r="W199" s="739" t="s">
        <v>6</v>
      </c>
      <c r="X199" s="740"/>
      <c r="Y199" s="739"/>
      <c r="Z199" s="740" t="s">
        <v>6</v>
      </c>
      <c r="AA199" s="739"/>
      <c r="AB199" s="740"/>
      <c r="AC199" s="739" t="s">
        <v>6</v>
      </c>
      <c r="AD199" s="740"/>
      <c r="AE199" s="739"/>
      <c r="AF199" s="740" t="s">
        <v>6</v>
      </c>
      <c r="AG199" s="739"/>
      <c r="AH199" s="741"/>
      <c r="AK199" s="738" t="s">
        <v>6</v>
      </c>
      <c r="AL199" s="739"/>
      <c r="AM199" s="740"/>
      <c r="AN199" s="739"/>
      <c r="AO199" s="740"/>
      <c r="AP199" s="739"/>
      <c r="AQ199" s="740"/>
      <c r="AR199" s="739"/>
      <c r="AS199" s="740"/>
      <c r="AT199" s="739"/>
      <c r="AU199" s="740"/>
      <c r="AV199" s="739"/>
      <c r="AW199" s="740"/>
      <c r="AX199" s="739"/>
      <c r="AY199" s="740"/>
      <c r="AZ199" s="739"/>
      <c r="BA199" s="740"/>
      <c r="BB199" s="739"/>
      <c r="BC199" s="740" t="s">
        <v>6</v>
      </c>
      <c r="BD199" s="739"/>
      <c r="BE199" s="740"/>
      <c r="BF199" s="739"/>
      <c r="BG199" s="740"/>
      <c r="BH199" s="739"/>
      <c r="BI199" s="740"/>
      <c r="BJ199" s="739" t="s">
        <v>6</v>
      </c>
      <c r="BK199" s="740"/>
      <c r="BL199" s="739"/>
      <c r="BM199" s="740"/>
      <c r="BN199" s="739"/>
      <c r="BO199" s="740"/>
      <c r="BP199" s="739"/>
      <c r="BQ199" s="740" t="s">
        <v>6</v>
      </c>
      <c r="BR199" s="739"/>
      <c r="BS199" s="740"/>
      <c r="BT199" s="739"/>
      <c r="BU199" s="740"/>
      <c r="BV199" s="739"/>
      <c r="BW199" s="740"/>
      <c r="BX199" s="739"/>
      <c r="BY199" s="740"/>
      <c r="BZ199" s="739"/>
      <c r="CA199" s="740"/>
      <c r="CB199" s="739"/>
      <c r="CC199" s="740"/>
      <c r="CD199" s="739"/>
      <c r="CE199" s="740"/>
      <c r="CF199" s="739"/>
      <c r="CG199" s="740"/>
      <c r="CH199" s="739"/>
      <c r="CI199" s="740"/>
      <c r="CJ199" s="739"/>
      <c r="CK199" s="740"/>
      <c r="CL199" s="748" t="s">
        <v>6</v>
      </c>
      <c r="CN199" s="713"/>
      <c r="CO199" s="726"/>
    </row>
    <row r="200" spans="2:93">
      <c r="B200" s="161"/>
      <c r="C200" s="26" t="s">
        <v>420</v>
      </c>
      <c r="D200" s="104"/>
      <c r="E200" s="26"/>
      <c r="F200" s="26"/>
      <c r="G200" s="26"/>
      <c r="H200" s="26"/>
      <c r="I200" s="26"/>
      <c r="J200" s="26"/>
      <c r="K200" s="26"/>
      <c r="L200" s="26"/>
      <c r="M200" s="104"/>
      <c r="N200" s="163"/>
      <c r="O200" s="104"/>
      <c r="P200" s="163"/>
      <c r="Q200" s="162"/>
      <c r="T200" s="738" t="s">
        <v>6</v>
      </c>
      <c r="U200" s="739"/>
      <c r="V200" s="740"/>
      <c r="W200" s="739" t="s">
        <v>6</v>
      </c>
      <c r="X200" s="740"/>
      <c r="Y200" s="739"/>
      <c r="Z200" s="740" t="s">
        <v>6</v>
      </c>
      <c r="AA200" s="739"/>
      <c r="AB200" s="740"/>
      <c r="AC200" s="739" t="s">
        <v>6</v>
      </c>
      <c r="AD200" s="740"/>
      <c r="AE200" s="739"/>
      <c r="AF200" s="740" t="s">
        <v>6</v>
      </c>
      <c r="AG200" s="739"/>
      <c r="AH200" s="741"/>
      <c r="AK200" s="738" t="s">
        <v>6</v>
      </c>
      <c r="AL200" s="739"/>
      <c r="AM200" s="740"/>
      <c r="AN200" s="739"/>
      <c r="AO200" s="740"/>
      <c r="AP200" s="739"/>
      <c r="AQ200" s="740"/>
      <c r="AR200" s="739"/>
      <c r="AS200" s="740"/>
      <c r="AT200" s="739"/>
      <c r="AU200" s="740"/>
      <c r="AV200" s="739"/>
      <c r="AW200" s="740"/>
      <c r="AX200" s="739"/>
      <c r="AY200" s="740"/>
      <c r="AZ200" s="739"/>
      <c r="BA200" s="740"/>
      <c r="BB200" s="739"/>
      <c r="BC200" s="740" t="s">
        <v>6</v>
      </c>
      <c r="BD200" s="739"/>
      <c r="BE200" s="740"/>
      <c r="BF200" s="739"/>
      <c r="BG200" s="740"/>
      <c r="BH200" s="739"/>
      <c r="BI200" s="740"/>
      <c r="BJ200" s="739" t="s">
        <v>6</v>
      </c>
      <c r="BK200" s="740"/>
      <c r="BL200" s="739"/>
      <c r="BM200" s="740"/>
      <c r="BN200" s="739"/>
      <c r="BO200" s="740"/>
      <c r="BP200" s="739"/>
      <c r="BQ200" s="740" t="s">
        <v>6</v>
      </c>
      <c r="BR200" s="739"/>
      <c r="BS200" s="740"/>
      <c r="BT200" s="739"/>
      <c r="BU200" s="740"/>
      <c r="BV200" s="739"/>
      <c r="BW200" s="740"/>
      <c r="BX200" s="739"/>
      <c r="BY200" s="740"/>
      <c r="BZ200" s="739"/>
      <c r="CA200" s="740"/>
      <c r="CB200" s="739"/>
      <c r="CC200" s="740"/>
      <c r="CD200" s="739"/>
      <c r="CE200" s="740"/>
      <c r="CF200" s="739"/>
      <c r="CG200" s="740"/>
      <c r="CH200" s="739"/>
      <c r="CI200" s="740"/>
      <c r="CJ200" s="739"/>
      <c r="CK200" s="740"/>
      <c r="CL200" s="748" t="s">
        <v>6</v>
      </c>
      <c r="CN200" s="713"/>
      <c r="CO200" s="726"/>
    </row>
    <row r="201" spans="2:93">
      <c r="B201" s="161"/>
      <c r="C201" s="100" t="s">
        <v>421</v>
      </c>
      <c r="D201" s="126" t="s">
        <v>135</v>
      </c>
      <c r="E201" s="589"/>
      <c r="F201" s="589"/>
      <c r="G201" s="589"/>
      <c r="H201" s="589"/>
      <c r="I201" s="589"/>
      <c r="J201" s="589"/>
      <c r="K201" s="589"/>
      <c r="L201" s="589"/>
      <c r="M201" s="101"/>
      <c r="N201" s="163"/>
      <c r="O201" s="101"/>
      <c r="P201" s="577"/>
      <c r="Q201" s="162"/>
      <c r="T201" s="738" t="s">
        <v>6</v>
      </c>
      <c r="U201" s="739"/>
      <c r="V201" s="740"/>
      <c r="W201" s="739" t="s">
        <v>6</v>
      </c>
      <c r="X201" s="740"/>
      <c r="Y201" s="739"/>
      <c r="Z201" s="740" t="s">
        <v>6</v>
      </c>
      <c r="AA201" s="739"/>
      <c r="AB201" s="740"/>
      <c r="AC201" s="739" t="s">
        <v>6</v>
      </c>
      <c r="AD201" s="740"/>
      <c r="AE201" s="739"/>
      <c r="AF201" s="740" t="s">
        <v>6</v>
      </c>
      <c r="AG201" s="739"/>
      <c r="AH201" s="741"/>
      <c r="AK201" s="738" t="s">
        <v>6</v>
      </c>
      <c r="AL201" s="739"/>
      <c r="AM201" s="740"/>
      <c r="AN201" s="739"/>
      <c r="AO201" s="740"/>
      <c r="AP201" s="739"/>
      <c r="AQ201" s="740"/>
      <c r="AR201" s="739"/>
      <c r="AS201" s="740"/>
      <c r="AT201" s="739"/>
      <c r="AU201" s="740"/>
      <c r="AV201" s="739"/>
      <c r="AW201" s="740"/>
      <c r="AX201" s="739"/>
      <c r="AY201" s="740"/>
      <c r="AZ201" s="739"/>
      <c r="BA201" s="740"/>
      <c r="BB201" s="739"/>
      <c r="BC201" s="740" t="s">
        <v>6</v>
      </c>
      <c r="BD201" s="739"/>
      <c r="BE201" s="740"/>
      <c r="BF201" s="739"/>
      <c r="BG201" s="740"/>
      <c r="BH201" s="739"/>
      <c r="BI201" s="740"/>
      <c r="BJ201" s="739" t="s">
        <v>6</v>
      </c>
      <c r="BK201" s="740"/>
      <c r="BL201" s="739"/>
      <c r="BM201" s="740"/>
      <c r="BN201" s="739"/>
      <c r="BO201" s="740"/>
      <c r="BP201" s="739"/>
      <c r="BQ201" s="740" t="s">
        <v>6</v>
      </c>
      <c r="BR201" s="739"/>
      <c r="BS201" s="740"/>
      <c r="BT201" s="739"/>
      <c r="BU201" s="740"/>
      <c r="BV201" s="739"/>
      <c r="BW201" s="740"/>
      <c r="BX201" s="739"/>
      <c r="BY201" s="740"/>
      <c r="BZ201" s="739"/>
      <c r="CA201" s="740"/>
      <c r="CB201" s="739"/>
      <c r="CC201" s="740"/>
      <c r="CD201" s="739"/>
      <c r="CE201" s="740"/>
      <c r="CF201" s="739"/>
      <c r="CG201" s="740"/>
      <c r="CH201" s="739"/>
      <c r="CI201" s="740"/>
      <c r="CJ201" s="739"/>
      <c r="CK201" s="740"/>
      <c r="CL201" s="748" t="s">
        <v>6</v>
      </c>
      <c r="CN201" s="713"/>
      <c r="CO201" s="726"/>
    </row>
    <row r="202" spans="2:93">
      <c r="B202" s="161"/>
      <c r="C202" s="100" t="s">
        <v>422</v>
      </c>
      <c r="D202" s="126" t="s">
        <v>135</v>
      </c>
      <c r="E202" s="589"/>
      <c r="F202" s="589"/>
      <c r="G202" s="589"/>
      <c r="H202" s="589"/>
      <c r="I202" s="589"/>
      <c r="J202" s="589"/>
      <c r="K202" s="589"/>
      <c r="L202" s="589"/>
      <c r="M202" s="101"/>
      <c r="N202" s="163"/>
      <c r="O202" s="101"/>
      <c r="P202" s="577"/>
      <c r="Q202" s="162"/>
      <c r="T202" s="738" t="s">
        <v>6</v>
      </c>
      <c r="U202" s="739"/>
      <c r="V202" s="740"/>
      <c r="W202" s="739" t="s">
        <v>6</v>
      </c>
      <c r="X202" s="740"/>
      <c r="Y202" s="739"/>
      <c r="Z202" s="740" t="s">
        <v>6</v>
      </c>
      <c r="AA202" s="739"/>
      <c r="AB202" s="740"/>
      <c r="AC202" s="739" t="s">
        <v>6</v>
      </c>
      <c r="AD202" s="740"/>
      <c r="AE202" s="739"/>
      <c r="AF202" s="740" t="s">
        <v>6</v>
      </c>
      <c r="AG202" s="739"/>
      <c r="AH202" s="741"/>
      <c r="AK202" s="738" t="s">
        <v>6</v>
      </c>
      <c r="AL202" s="739"/>
      <c r="AM202" s="740"/>
      <c r="AN202" s="739"/>
      <c r="AO202" s="740"/>
      <c r="AP202" s="739"/>
      <c r="AQ202" s="740"/>
      <c r="AR202" s="739"/>
      <c r="AS202" s="740"/>
      <c r="AT202" s="739"/>
      <c r="AU202" s="740"/>
      <c r="AV202" s="739"/>
      <c r="AW202" s="740"/>
      <c r="AX202" s="739"/>
      <c r="AY202" s="740"/>
      <c r="AZ202" s="739"/>
      <c r="BA202" s="740"/>
      <c r="BB202" s="739"/>
      <c r="BC202" s="740" t="s">
        <v>6</v>
      </c>
      <c r="BD202" s="739"/>
      <c r="BE202" s="740"/>
      <c r="BF202" s="739"/>
      <c r="BG202" s="740"/>
      <c r="BH202" s="739"/>
      <c r="BI202" s="740"/>
      <c r="BJ202" s="739" t="s">
        <v>6</v>
      </c>
      <c r="BK202" s="740"/>
      <c r="BL202" s="739"/>
      <c r="BM202" s="740"/>
      <c r="BN202" s="739"/>
      <c r="BO202" s="740"/>
      <c r="BP202" s="739"/>
      <c r="BQ202" s="740" t="s">
        <v>6</v>
      </c>
      <c r="BR202" s="739"/>
      <c r="BS202" s="740"/>
      <c r="BT202" s="739"/>
      <c r="BU202" s="740"/>
      <c r="BV202" s="739"/>
      <c r="BW202" s="740"/>
      <c r="BX202" s="739"/>
      <c r="BY202" s="740"/>
      <c r="BZ202" s="739"/>
      <c r="CA202" s="740"/>
      <c r="CB202" s="739"/>
      <c r="CC202" s="740"/>
      <c r="CD202" s="739"/>
      <c r="CE202" s="740"/>
      <c r="CF202" s="739"/>
      <c r="CG202" s="740"/>
      <c r="CH202" s="739"/>
      <c r="CI202" s="740"/>
      <c r="CJ202" s="739"/>
      <c r="CK202" s="740"/>
      <c r="CL202" s="748" t="s">
        <v>6</v>
      </c>
      <c r="CN202" s="713"/>
      <c r="CO202" s="726"/>
    </row>
    <row r="203" spans="2:93">
      <c r="B203" s="161"/>
      <c r="C203" s="100" t="s">
        <v>423</v>
      </c>
      <c r="D203" s="126" t="s">
        <v>135</v>
      </c>
      <c r="E203" s="589"/>
      <c r="F203" s="589"/>
      <c r="G203" s="589"/>
      <c r="H203" s="589"/>
      <c r="I203" s="589"/>
      <c r="J203" s="589"/>
      <c r="K203" s="589"/>
      <c r="L203" s="589"/>
      <c r="M203" s="101"/>
      <c r="N203" s="163"/>
      <c r="O203" s="101"/>
      <c r="P203" s="577"/>
      <c r="Q203" s="162"/>
      <c r="T203" s="738" t="s">
        <v>6</v>
      </c>
      <c r="U203" s="739"/>
      <c r="V203" s="740"/>
      <c r="W203" s="739" t="s">
        <v>6</v>
      </c>
      <c r="X203" s="740"/>
      <c r="Y203" s="739"/>
      <c r="Z203" s="740" t="s">
        <v>6</v>
      </c>
      <c r="AA203" s="739"/>
      <c r="AB203" s="740"/>
      <c r="AC203" s="739" t="s">
        <v>6</v>
      </c>
      <c r="AD203" s="740"/>
      <c r="AE203" s="739"/>
      <c r="AF203" s="740" t="s">
        <v>6</v>
      </c>
      <c r="AG203" s="739"/>
      <c r="AH203" s="741"/>
      <c r="AK203" s="738" t="s">
        <v>6</v>
      </c>
      <c r="AL203" s="739"/>
      <c r="AM203" s="740"/>
      <c r="AN203" s="739"/>
      <c r="AO203" s="740"/>
      <c r="AP203" s="739"/>
      <c r="AQ203" s="740"/>
      <c r="AR203" s="739"/>
      <c r="AS203" s="740"/>
      <c r="AT203" s="739"/>
      <c r="AU203" s="740"/>
      <c r="AV203" s="739"/>
      <c r="AW203" s="740"/>
      <c r="AX203" s="739"/>
      <c r="AY203" s="740"/>
      <c r="AZ203" s="739"/>
      <c r="BA203" s="740"/>
      <c r="BB203" s="739"/>
      <c r="BC203" s="740" t="s">
        <v>6</v>
      </c>
      <c r="BD203" s="739"/>
      <c r="BE203" s="740"/>
      <c r="BF203" s="739"/>
      <c r="BG203" s="740"/>
      <c r="BH203" s="739"/>
      <c r="BI203" s="740"/>
      <c r="BJ203" s="739" t="s">
        <v>6</v>
      </c>
      <c r="BK203" s="740"/>
      <c r="BL203" s="739"/>
      <c r="BM203" s="740"/>
      <c r="BN203" s="739"/>
      <c r="BO203" s="740"/>
      <c r="BP203" s="739"/>
      <c r="BQ203" s="740" t="s">
        <v>6</v>
      </c>
      <c r="BR203" s="739"/>
      <c r="BS203" s="740"/>
      <c r="BT203" s="739"/>
      <c r="BU203" s="740"/>
      <c r="BV203" s="739"/>
      <c r="BW203" s="740"/>
      <c r="BX203" s="739"/>
      <c r="BY203" s="740"/>
      <c r="BZ203" s="739"/>
      <c r="CA203" s="740"/>
      <c r="CB203" s="739"/>
      <c r="CC203" s="740"/>
      <c r="CD203" s="739"/>
      <c r="CE203" s="740"/>
      <c r="CF203" s="739"/>
      <c r="CG203" s="740"/>
      <c r="CH203" s="739"/>
      <c r="CI203" s="740"/>
      <c r="CJ203" s="739"/>
      <c r="CK203" s="740"/>
      <c r="CL203" s="748" t="s">
        <v>6</v>
      </c>
      <c r="CN203" s="713"/>
      <c r="CO203" s="726"/>
    </row>
    <row r="204" spans="2:93">
      <c r="B204" s="161"/>
      <c r="C204" s="100" t="s">
        <v>424</v>
      </c>
      <c r="D204" s="126" t="s">
        <v>135</v>
      </c>
      <c r="E204" s="589"/>
      <c r="F204" s="589"/>
      <c r="G204" s="589"/>
      <c r="H204" s="589"/>
      <c r="I204" s="589"/>
      <c r="J204" s="589"/>
      <c r="K204" s="589"/>
      <c r="L204" s="589"/>
      <c r="M204" s="101"/>
      <c r="N204" s="163"/>
      <c r="O204" s="101"/>
      <c r="P204" s="577"/>
      <c r="Q204" s="162"/>
      <c r="T204" s="738" t="s">
        <v>6</v>
      </c>
      <c r="U204" s="739"/>
      <c r="V204" s="740"/>
      <c r="W204" s="739" t="s">
        <v>6</v>
      </c>
      <c r="X204" s="740"/>
      <c r="Y204" s="739"/>
      <c r="Z204" s="740" t="s">
        <v>6</v>
      </c>
      <c r="AA204" s="739"/>
      <c r="AB204" s="740"/>
      <c r="AC204" s="739" t="s">
        <v>6</v>
      </c>
      <c r="AD204" s="740"/>
      <c r="AE204" s="739"/>
      <c r="AF204" s="740" t="s">
        <v>6</v>
      </c>
      <c r="AG204" s="739"/>
      <c r="AH204" s="741"/>
      <c r="AK204" s="738" t="s">
        <v>6</v>
      </c>
      <c r="AL204" s="739"/>
      <c r="AM204" s="740"/>
      <c r="AN204" s="739"/>
      <c r="AO204" s="740"/>
      <c r="AP204" s="739"/>
      <c r="AQ204" s="740"/>
      <c r="AR204" s="739"/>
      <c r="AS204" s="740"/>
      <c r="AT204" s="739"/>
      <c r="AU204" s="740"/>
      <c r="AV204" s="739"/>
      <c r="AW204" s="740"/>
      <c r="AX204" s="739"/>
      <c r="AY204" s="740"/>
      <c r="AZ204" s="739"/>
      <c r="BA204" s="740"/>
      <c r="BB204" s="739"/>
      <c r="BC204" s="740" t="s">
        <v>6</v>
      </c>
      <c r="BD204" s="739"/>
      <c r="BE204" s="740"/>
      <c r="BF204" s="739"/>
      <c r="BG204" s="740"/>
      <c r="BH204" s="739"/>
      <c r="BI204" s="740"/>
      <c r="BJ204" s="739" t="s">
        <v>6</v>
      </c>
      <c r="BK204" s="740"/>
      <c r="BL204" s="739"/>
      <c r="BM204" s="740"/>
      <c r="BN204" s="739"/>
      <c r="BO204" s="740"/>
      <c r="BP204" s="739"/>
      <c r="BQ204" s="740" t="s">
        <v>6</v>
      </c>
      <c r="BR204" s="739"/>
      <c r="BS204" s="740"/>
      <c r="BT204" s="739"/>
      <c r="BU204" s="740"/>
      <c r="BV204" s="739"/>
      <c r="BW204" s="740"/>
      <c r="BX204" s="739"/>
      <c r="BY204" s="740"/>
      <c r="BZ204" s="739"/>
      <c r="CA204" s="740"/>
      <c r="CB204" s="739"/>
      <c r="CC204" s="740"/>
      <c r="CD204" s="739"/>
      <c r="CE204" s="740"/>
      <c r="CF204" s="739"/>
      <c r="CG204" s="740"/>
      <c r="CH204" s="739"/>
      <c r="CI204" s="740"/>
      <c r="CJ204" s="739"/>
      <c r="CK204" s="740"/>
      <c r="CL204" s="748" t="s">
        <v>6</v>
      </c>
      <c r="CN204" s="713"/>
      <c r="CO204" s="726"/>
    </row>
    <row r="205" spans="2:93">
      <c r="B205" s="161"/>
      <c r="C205" s="106" t="s">
        <v>425</v>
      </c>
      <c r="D205" s="126" t="s">
        <v>135</v>
      </c>
      <c r="E205" s="589"/>
      <c r="F205" s="589"/>
      <c r="G205" s="589"/>
      <c r="H205" s="589"/>
      <c r="I205" s="589"/>
      <c r="J205" s="589"/>
      <c r="K205" s="589"/>
      <c r="L205" s="589"/>
      <c r="M205" s="101"/>
      <c r="N205" s="163"/>
      <c r="O205" s="101"/>
      <c r="P205" s="577"/>
      <c r="Q205" s="162"/>
      <c r="T205" s="738" t="s">
        <v>6</v>
      </c>
      <c r="U205" s="739"/>
      <c r="V205" s="740"/>
      <c r="W205" s="739" t="s">
        <v>6</v>
      </c>
      <c r="X205" s="740"/>
      <c r="Y205" s="739"/>
      <c r="Z205" s="740" t="s">
        <v>6</v>
      </c>
      <c r="AA205" s="739"/>
      <c r="AB205" s="740"/>
      <c r="AC205" s="739" t="s">
        <v>6</v>
      </c>
      <c r="AD205" s="740"/>
      <c r="AE205" s="739"/>
      <c r="AF205" s="740" t="s">
        <v>6</v>
      </c>
      <c r="AG205" s="739"/>
      <c r="AH205" s="741"/>
      <c r="AK205" s="738" t="s">
        <v>6</v>
      </c>
      <c r="AL205" s="739"/>
      <c r="AM205" s="740"/>
      <c r="AN205" s="739"/>
      <c r="AO205" s="740"/>
      <c r="AP205" s="739"/>
      <c r="AQ205" s="740"/>
      <c r="AR205" s="739"/>
      <c r="AS205" s="740"/>
      <c r="AT205" s="739"/>
      <c r="AU205" s="740"/>
      <c r="AV205" s="739"/>
      <c r="AW205" s="740"/>
      <c r="AX205" s="739"/>
      <c r="AY205" s="740"/>
      <c r="AZ205" s="739"/>
      <c r="BA205" s="740"/>
      <c r="BB205" s="739"/>
      <c r="BC205" s="740" t="s">
        <v>6</v>
      </c>
      <c r="BD205" s="739"/>
      <c r="BE205" s="740"/>
      <c r="BF205" s="739"/>
      <c r="BG205" s="740"/>
      <c r="BH205" s="739"/>
      <c r="BI205" s="740"/>
      <c r="BJ205" s="739" t="s">
        <v>6</v>
      </c>
      <c r="BK205" s="740"/>
      <c r="BL205" s="739"/>
      <c r="BM205" s="740"/>
      <c r="BN205" s="739"/>
      <c r="BO205" s="740"/>
      <c r="BP205" s="739"/>
      <c r="BQ205" s="740" t="s">
        <v>6</v>
      </c>
      <c r="BR205" s="739"/>
      <c r="BS205" s="740"/>
      <c r="BT205" s="739"/>
      <c r="BU205" s="740"/>
      <c r="BV205" s="739"/>
      <c r="BW205" s="740"/>
      <c r="BX205" s="739"/>
      <c r="BY205" s="740"/>
      <c r="BZ205" s="739"/>
      <c r="CA205" s="740"/>
      <c r="CB205" s="739"/>
      <c r="CC205" s="740"/>
      <c r="CD205" s="739"/>
      <c r="CE205" s="740"/>
      <c r="CF205" s="739"/>
      <c r="CG205" s="740"/>
      <c r="CH205" s="739"/>
      <c r="CI205" s="740"/>
      <c r="CJ205" s="739"/>
      <c r="CK205" s="740"/>
      <c r="CL205" s="748" t="s">
        <v>6</v>
      </c>
      <c r="CN205" s="713"/>
      <c r="CO205" s="726"/>
    </row>
    <row r="206" spans="2:93">
      <c r="B206" s="161"/>
      <c r="C206" s="106" t="s">
        <v>426</v>
      </c>
      <c r="D206" s="126" t="s">
        <v>135</v>
      </c>
      <c r="E206" s="589"/>
      <c r="F206" s="589"/>
      <c r="G206" s="589"/>
      <c r="H206" s="589"/>
      <c r="I206" s="589"/>
      <c r="J206" s="589"/>
      <c r="K206" s="589"/>
      <c r="L206" s="589"/>
      <c r="M206" s="101"/>
      <c r="N206" s="163"/>
      <c r="O206" s="101"/>
      <c r="P206" s="577"/>
      <c r="Q206" s="162"/>
      <c r="T206" s="738" t="s">
        <v>6</v>
      </c>
      <c r="U206" s="739"/>
      <c r="V206" s="740"/>
      <c r="W206" s="739" t="s">
        <v>6</v>
      </c>
      <c r="X206" s="740"/>
      <c r="Y206" s="739"/>
      <c r="Z206" s="740" t="s">
        <v>6</v>
      </c>
      <c r="AA206" s="739"/>
      <c r="AB206" s="740"/>
      <c r="AC206" s="739" t="s">
        <v>6</v>
      </c>
      <c r="AD206" s="740"/>
      <c r="AE206" s="739"/>
      <c r="AF206" s="740" t="s">
        <v>6</v>
      </c>
      <c r="AG206" s="739"/>
      <c r="AH206" s="741"/>
      <c r="AK206" s="738" t="s">
        <v>6</v>
      </c>
      <c r="AL206" s="739"/>
      <c r="AM206" s="740"/>
      <c r="AN206" s="739"/>
      <c r="AO206" s="740"/>
      <c r="AP206" s="739"/>
      <c r="AQ206" s="740"/>
      <c r="AR206" s="739"/>
      <c r="AS206" s="740"/>
      <c r="AT206" s="739"/>
      <c r="AU206" s="740"/>
      <c r="AV206" s="739"/>
      <c r="AW206" s="740"/>
      <c r="AX206" s="739"/>
      <c r="AY206" s="740"/>
      <c r="AZ206" s="739"/>
      <c r="BA206" s="740"/>
      <c r="BB206" s="739"/>
      <c r="BC206" s="740" t="s">
        <v>6</v>
      </c>
      <c r="BD206" s="739"/>
      <c r="BE206" s="740"/>
      <c r="BF206" s="739"/>
      <c r="BG206" s="740"/>
      <c r="BH206" s="739"/>
      <c r="BI206" s="740"/>
      <c r="BJ206" s="739" t="s">
        <v>6</v>
      </c>
      <c r="BK206" s="740"/>
      <c r="BL206" s="739"/>
      <c r="BM206" s="740"/>
      <c r="BN206" s="739"/>
      <c r="BO206" s="740"/>
      <c r="BP206" s="739"/>
      <c r="BQ206" s="740" t="s">
        <v>6</v>
      </c>
      <c r="BR206" s="739"/>
      <c r="BS206" s="740"/>
      <c r="BT206" s="739"/>
      <c r="BU206" s="740"/>
      <c r="BV206" s="739"/>
      <c r="BW206" s="740"/>
      <c r="BX206" s="739"/>
      <c r="BY206" s="740"/>
      <c r="BZ206" s="739"/>
      <c r="CA206" s="740"/>
      <c r="CB206" s="739"/>
      <c r="CC206" s="740"/>
      <c r="CD206" s="739"/>
      <c r="CE206" s="740"/>
      <c r="CF206" s="739"/>
      <c r="CG206" s="740"/>
      <c r="CH206" s="739"/>
      <c r="CI206" s="740"/>
      <c r="CJ206" s="739"/>
      <c r="CK206" s="740"/>
      <c r="CL206" s="748" t="s">
        <v>6</v>
      </c>
      <c r="CN206" s="713"/>
      <c r="CO206" s="726"/>
    </row>
    <row r="207" spans="2:93">
      <c r="B207" s="161"/>
      <c r="C207" s="106" t="s">
        <v>427</v>
      </c>
      <c r="D207" s="126" t="s">
        <v>135</v>
      </c>
      <c r="E207" s="589"/>
      <c r="F207" s="589"/>
      <c r="G207" s="589"/>
      <c r="H207" s="589"/>
      <c r="I207" s="589"/>
      <c r="J207" s="589"/>
      <c r="K207" s="589"/>
      <c r="L207" s="589"/>
      <c r="M207" s="101"/>
      <c r="N207" s="163"/>
      <c r="O207" s="101"/>
      <c r="P207" s="577"/>
      <c r="Q207" s="162"/>
      <c r="T207" s="738" t="s">
        <v>6</v>
      </c>
      <c r="U207" s="739"/>
      <c r="V207" s="740"/>
      <c r="W207" s="739" t="s">
        <v>6</v>
      </c>
      <c r="X207" s="740"/>
      <c r="Y207" s="739"/>
      <c r="Z207" s="740" t="s">
        <v>6</v>
      </c>
      <c r="AA207" s="739"/>
      <c r="AB207" s="740"/>
      <c r="AC207" s="739" t="s">
        <v>6</v>
      </c>
      <c r="AD207" s="740"/>
      <c r="AE207" s="739"/>
      <c r="AF207" s="740" t="s">
        <v>6</v>
      </c>
      <c r="AG207" s="739"/>
      <c r="AH207" s="741"/>
      <c r="AK207" s="738" t="s">
        <v>6</v>
      </c>
      <c r="AL207" s="739"/>
      <c r="AM207" s="740"/>
      <c r="AN207" s="739"/>
      <c r="AO207" s="740"/>
      <c r="AP207" s="739"/>
      <c r="AQ207" s="740"/>
      <c r="AR207" s="739"/>
      <c r="AS207" s="740"/>
      <c r="AT207" s="739"/>
      <c r="AU207" s="740"/>
      <c r="AV207" s="739"/>
      <c r="AW207" s="740"/>
      <c r="AX207" s="739"/>
      <c r="AY207" s="740"/>
      <c r="AZ207" s="739"/>
      <c r="BA207" s="740"/>
      <c r="BB207" s="739"/>
      <c r="BC207" s="740" t="s">
        <v>6</v>
      </c>
      <c r="BD207" s="739"/>
      <c r="BE207" s="740"/>
      <c r="BF207" s="739"/>
      <c r="BG207" s="740"/>
      <c r="BH207" s="739"/>
      <c r="BI207" s="740"/>
      <c r="BJ207" s="739" t="s">
        <v>6</v>
      </c>
      <c r="BK207" s="740"/>
      <c r="BL207" s="739"/>
      <c r="BM207" s="740"/>
      <c r="BN207" s="739"/>
      <c r="BO207" s="740"/>
      <c r="BP207" s="739"/>
      <c r="BQ207" s="740" t="s">
        <v>6</v>
      </c>
      <c r="BR207" s="739"/>
      <c r="BS207" s="740"/>
      <c r="BT207" s="739"/>
      <c r="BU207" s="740"/>
      <c r="BV207" s="739"/>
      <c r="BW207" s="740"/>
      <c r="BX207" s="739"/>
      <c r="BY207" s="740"/>
      <c r="BZ207" s="739"/>
      <c r="CA207" s="740"/>
      <c r="CB207" s="739"/>
      <c r="CC207" s="740"/>
      <c r="CD207" s="739"/>
      <c r="CE207" s="740"/>
      <c r="CF207" s="739"/>
      <c r="CG207" s="740"/>
      <c r="CH207" s="739"/>
      <c r="CI207" s="740"/>
      <c r="CJ207" s="739"/>
      <c r="CK207" s="740"/>
      <c r="CL207" s="748" t="s">
        <v>6</v>
      </c>
      <c r="CN207" s="713"/>
      <c r="CO207" s="726"/>
    </row>
    <row r="208" spans="2:93">
      <c r="B208" s="161"/>
      <c r="C208" s="106" t="s">
        <v>428</v>
      </c>
      <c r="D208" s="126" t="s">
        <v>135</v>
      </c>
      <c r="E208" s="589"/>
      <c r="F208" s="589"/>
      <c r="G208" s="589"/>
      <c r="H208" s="589"/>
      <c r="I208" s="589"/>
      <c r="J208" s="589"/>
      <c r="K208" s="589"/>
      <c r="L208" s="589"/>
      <c r="M208" s="101"/>
      <c r="N208" s="163"/>
      <c r="O208" s="101"/>
      <c r="P208" s="577"/>
      <c r="Q208" s="162"/>
      <c r="T208" s="738" t="s">
        <v>6</v>
      </c>
      <c r="U208" s="739"/>
      <c r="V208" s="740"/>
      <c r="W208" s="739" t="s">
        <v>6</v>
      </c>
      <c r="X208" s="740"/>
      <c r="Y208" s="739"/>
      <c r="Z208" s="740" t="s">
        <v>6</v>
      </c>
      <c r="AA208" s="739"/>
      <c r="AB208" s="740"/>
      <c r="AC208" s="739" t="s">
        <v>6</v>
      </c>
      <c r="AD208" s="740"/>
      <c r="AE208" s="739"/>
      <c r="AF208" s="740" t="s">
        <v>6</v>
      </c>
      <c r="AG208" s="739"/>
      <c r="AH208" s="741"/>
      <c r="AK208" s="738" t="s">
        <v>6</v>
      </c>
      <c r="AL208" s="739"/>
      <c r="AM208" s="740"/>
      <c r="AN208" s="739"/>
      <c r="AO208" s="740"/>
      <c r="AP208" s="739"/>
      <c r="AQ208" s="740"/>
      <c r="AR208" s="739"/>
      <c r="AS208" s="740"/>
      <c r="AT208" s="739"/>
      <c r="AU208" s="740"/>
      <c r="AV208" s="739"/>
      <c r="AW208" s="740"/>
      <c r="AX208" s="739"/>
      <c r="AY208" s="740"/>
      <c r="AZ208" s="739"/>
      <c r="BA208" s="740"/>
      <c r="BB208" s="739"/>
      <c r="BC208" s="740" t="s">
        <v>6</v>
      </c>
      <c r="BD208" s="739"/>
      <c r="BE208" s="740"/>
      <c r="BF208" s="739"/>
      <c r="BG208" s="740"/>
      <c r="BH208" s="739"/>
      <c r="BI208" s="740"/>
      <c r="BJ208" s="739" t="s">
        <v>6</v>
      </c>
      <c r="BK208" s="740"/>
      <c r="BL208" s="739"/>
      <c r="BM208" s="740"/>
      <c r="BN208" s="739"/>
      <c r="BO208" s="740"/>
      <c r="BP208" s="739"/>
      <c r="BQ208" s="740" t="s">
        <v>6</v>
      </c>
      <c r="BR208" s="739"/>
      <c r="BS208" s="740"/>
      <c r="BT208" s="739"/>
      <c r="BU208" s="740"/>
      <c r="BV208" s="739"/>
      <c r="BW208" s="740"/>
      <c r="BX208" s="739"/>
      <c r="BY208" s="740"/>
      <c r="BZ208" s="739"/>
      <c r="CA208" s="740"/>
      <c r="CB208" s="739"/>
      <c r="CC208" s="740"/>
      <c r="CD208" s="739"/>
      <c r="CE208" s="740"/>
      <c r="CF208" s="739"/>
      <c r="CG208" s="740"/>
      <c r="CH208" s="739"/>
      <c r="CI208" s="740"/>
      <c r="CJ208" s="739"/>
      <c r="CK208" s="740"/>
      <c r="CL208" s="748" t="s">
        <v>6</v>
      </c>
      <c r="CN208" s="713"/>
      <c r="CO208" s="726"/>
    </row>
    <row r="209" spans="2:93">
      <c r="B209" s="161"/>
      <c r="C209" s="51" t="s">
        <v>131</v>
      </c>
      <c r="D209" s="126" t="s">
        <v>135</v>
      </c>
      <c r="E209" s="574">
        <f>SUM(E201:E208)</f>
        <v>0</v>
      </c>
      <c r="F209" s="574">
        <f>SUM(F201:F208)</f>
        <v>0</v>
      </c>
      <c r="G209" s="574">
        <f>SUM(G201:G208)</f>
        <v>0</v>
      </c>
      <c r="H209" s="574">
        <f>SUM(H201:H208)</f>
        <v>0</v>
      </c>
      <c r="I209" s="574">
        <f>SUM(I201:I208)</f>
        <v>0</v>
      </c>
      <c r="J209" s="574">
        <f>SUM(J201:J208)</f>
        <v>0</v>
      </c>
      <c r="K209" s="574">
        <f>SUM(K201:K208)</f>
        <v>0</v>
      </c>
      <c r="L209" s="574">
        <f>SUM(L201:L208)</f>
        <v>0</v>
      </c>
      <c r="M209" s="104"/>
      <c r="N209" s="163"/>
      <c r="O209" s="104"/>
      <c r="P209" s="163"/>
      <c r="Q209" s="162"/>
      <c r="T209" s="738" t="s">
        <v>6</v>
      </c>
      <c r="U209" s="739"/>
      <c r="V209" s="740"/>
      <c r="W209" s="739" t="s">
        <v>6</v>
      </c>
      <c r="X209" s="740"/>
      <c r="Y209" s="739"/>
      <c r="Z209" s="740" t="s">
        <v>6</v>
      </c>
      <c r="AA209" s="739"/>
      <c r="AB209" s="740"/>
      <c r="AC209" s="739" t="s">
        <v>6</v>
      </c>
      <c r="AD209" s="740"/>
      <c r="AE209" s="739"/>
      <c r="AF209" s="740" t="s">
        <v>6</v>
      </c>
      <c r="AG209" s="739"/>
      <c r="AH209" s="741"/>
      <c r="AK209" s="738" t="s">
        <v>6</v>
      </c>
      <c r="AL209" s="739"/>
      <c r="AM209" s="740"/>
      <c r="AN209" s="739"/>
      <c r="AO209" s="740"/>
      <c r="AP209" s="739"/>
      <c r="AQ209" s="740"/>
      <c r="AR209" s="739"/>
      <c r="AS209" s="740"/>
      <c r="AT209" s="739"/>
      <c r="AU209" s="740"/>
      <c r="AV209" s="739"/>
      <c r="AW209" s="740"/>
      <c r="AX209" s="739"/>
      <c r="AY209" s="740"/>
      <c r="AZ209" s="739"/>
      <c r="BA209" s="740"/>
      <c r="BB209" s="739"/>
      <c r="BC209" s="740" t="s">
        <v>6</v>
      </c>
      <c r="BD209" s="739"/>
      <c r="BE209" s="740"/>
      <c r="BF209" s="739"/>
      <c r="BG209" s="740"/>
      <c r="BH209" s="739"/>
      <c r="BI209" s="740"/>
      <c r="BJ209" s="739" t="s">
        <v>6</v>
      </c>
      <c r="BK209" s="740"/>
      <c r="BL209" s="739"/>
      <c r="BM209" s="740"/>
      <c r="BN209" s="739"/>
      <c r="BO209" s="740"/>
      <c r="BP209" s="739"/>
      <c r="BQ209" s="740" t="s">
        <v>6</v>
      </c>
      <c r="BR209" s="739"/>
      <c r="BS209" s="740"/>
      <c r="BT209" s="739"/>
      <c r="BU209" s="740"/>
      <c r="BV209" s="739"/>
      <c r="BW209" s="740"/>
      <c r="BX209" s="739"/>
      <c r="BY209" s="740"/>
      <c r="BZ209" s="739"/>
      <c r="CA209" s="740"/>
      <c r="CB209" s="739"/>
      <c r="CC209" s="740"/>
      <c r="CD209" s="739"/>
      <c r="CE209" s="740"/>
      <c r="CF209" s="739"/>
      <c r="CG209" s="740"/>
      <c r="CH209" s="739"/>
      <c r="CI209" s="740"/>
      <c r="CJ209" s="739"/>
      <c r="CK209" s="740"/>
      <c r="CL209" s="748" t="s">
        <v>6</v>
      </c>
      <c r="CN209" s="713"/>
      <c r="CO209" s="726"/>
    </row>
    <row r="210" spans="2:93">
      <c r="B210" s="161"/>
      <c r="C210" s="163"/>
      <c r="D210" s="171"/>
      <c r="E210" s="163"/>
      <c r="F210" s="163"/>
      <c r="G210" s="163"/>
      <c r="H210" s="163"/>
      <c r="I210" s="163"/>
      <c r="J210" s="163"/>
      <c r="K210" s="163"/>
      <c r="L210" s="163"/>
      <c r="M210" s="171"/>
      <c r="N210" s="163"/>
      <c r="O210" s="171"/>
      <c r="P210" s="163"/>
      <c r="Q210" s="162"/>
      <c r="T210" s="738" t="s">
        <v>6</v>
      </c>
      <c r="U210" s="739"/>
      <c r="V210" s="740"/>
      <c r="W210" s="739" t="s">
        <v>6</v>
      </c>
      <c r="X210" s="740"/>
      <c r="Y210" s="739"/>
      <c r="Z210" s="740" t="s">
        <v>6</v>
      </c>
      <c r="AA210" s="739"/>
      <c r="AB210" s="740"/>
      <c r="AC210" s="739" t="s">
        <v>6</v>
      </c>
      <c r="AD210" s="740"/>
      <c r="AE210" s="739"/>
      <c r="AF210" s="740" t="s">
        <v>6</v>
      </c>
      <c r="AG210" s="739"/>
      <c r="AH210" s="741"/>
      <c r="AK210" s="738" t="s">
        <v>6</v>
      </c>
      <c r="AL210" s="739"/>
      <c r="AM210" s="740"/>
      <c r="AN210" s="739"/>
      <c r="AO210" s="740"/>
      <c r="AP210" s="739"/>
      <c r="AQ210" s="740"/>
      <c r="AR210" s="739"/>
      <c r="AS210" s="740"/>
      <c r="AT210" s="739"/>
      <c r="AU210" s="740"/>
      <c r="AV210" s="739"/>
      <c r="AW210" s="740"/>
      <c r="AX210" s="739"/>
      <c r="AY210" s="740"/>
      <c r="AZ210" s="739"/>
      <c r="BA210" s="740"/>
      <c r="BB210" s="739"/>
      <c r="BC210" s="740" t="s">
        <v>6</v>
      </c>
      <c r="BD210" s="739"/>
      <c r="BE210" s="740"/>
      <c r="BF210" s="739"/>
      <c r="BG210" s="740"/>
      <c r="BH210" s="739"/>
      <c r="BI210" s="740"/>
      <c r="BJ210" s="739" t="s">
        <v>6</v>
      </c>
      <c r="BK210" s="740"/>
      <c r="BL210" s="739"/>
      <c r="BM210" s="740"/>
      <c r="BN210" s="739"/>
      <c r="BO210" s="740"/>
      <c r="BP210" s="739"/>
      <c r="BQ210" s="740" t="s">
        <v>6</v>
      </c>
      <c r="BR210" s="739"/>
      <c r="BS210" s="740"/>
      <c r="BT210" s="739"/>
      <c r="BU210" s="740"/>
      <c r="BV210" s="739"/>
      <c r="BW210" s="740"/>
      <c r="BX210" s="739"/>
      <c r="BY210" s="740"/>
      <c r="BZ210" s="739"/>
      <c r="CA210" s="740"/>
      <c r="CB210" s="739"/>
      <c r="CC210" s="740"/>
      <c r="CD210" s="739"/>
      <c r="CE210" s="740"/>
      <c r="CF210" s="739"/>
      <c r="CG210" s="740"/>
      <c r="CH210" s="739"/>
      <c r="CI210" s="740"/>
      <c r="CJ210" s="739"/>
      <c r="CK210" s="740"/>
      <c r="CL210" s="748" t="s">
        <v>6</v>
      </c>
      <c r="CN210" s="713"/>
      <c r="CO210" s="726"/>
    </row>
    <row r="211" spans="2:93">
      <c r="B211" s="161"/>
      <c r="C211" s="26" t="s">
        <v>429</v>
      </c>
      <c r="D211" s="104"/>
      <c r="E211" s="26"/>
      <c r="F211" s="26"/>
      <c r="G211" s="26"/>
      <c r="H211" s="26"/>
      <c r="I211" s="26"/>
      <c r="J211" s="26"/>
      <c r="K211" s="26"/>
      <c r="L211" s="26"/>
      <c r="M211" s="104"/>
      <c r="N211" s="163"/>
      <c r="O211" s="104"/>
      <c r="P211" s="163"/>
      <c r="Q211" s="162"/>
      <c r="T211" s="738" t="s">
        <v>6</v>
      </c>
      <c r="U211" s="739"/>
      <c r="V211" s="740"/>
      <c r="W211" s="739" t="s">
        <v>6</v>
      </c>
      <c r="X211" s="740"/>
      <c r="Y211" s="739"/>
      <c r="Z211" s="740" t="s">
        <v>6</v>
      </c>
      <c r="AA211" s="739"/>
      <c r="AB211" s="740"/>
      <c r="AC211" s="739" t="s">
        <v>6</v>
      </c>
      <c r="AD211" s="740"/>
      <c r="AE211" s="739"/>
      <c r="AF211" s="740" t="s">
        <v>6</v>
      </c>
      <c r="AG211" s="739"/>
      <c r="AH211" s="741"/>
      <c r="AK211" s="738" t="s">
        <v>6</v>
      </c>
      <c r="AL211" s="739"/>
      <c r="AM211" s="740"/>
      <c r="AN211" s="739"/>
      <c r="AO211" s="740"/>
      <c r="AP211" s="739"/>
      <c r="AQ211" s="740"/>
      <c r="AR211" s="739"/>
      <c r="AS211" s="740"/>
      <c r="AT211" s="739"/>
      <c r="AU211" s="740"/>
      <c r="AV211" s="739"/>
      <c r="AW211" s="740"/>
      <c r="AX211" s="739"/>
      <c r="AY211" s="740"/>
      <c r="AZ211" s="739"/>
      <c r="BA211" s="740"/>
      <c r="BB211" s="739"/>
      <c r="BC211" s="740" t="s">
        <v>6</v>
      </c>
      <c r="BD211" s="739"/>
      <c r="BE211" s="740"/>
      <c r="BF211" s="739"/>
      <c r="BG211" s="740"/>
      <c r="BH211" s="739"/>
      <c r="BI211" s="740"/>
      <c r="BJ211" s="739" t="s">
        <v>6</v>
      </c>
      <c r="BK211" s="740"/>
      <c r="BL211" s="739"/>
      <c r="BM211" s="740"/>
      <c r="BN211" s="739"/>
      <c r="BO211" s="740"/>
      <c r="BP211" s="739"/>
      <c r="BQ211" s="740" t="s">
        <v>6</v>
      </c>
      <c r="BR211" s="739"/>
      <c r="BS211" s="740"/>
      <c r="BT211" s="739"/>
      <c r="BU211" s="740"/>
      <c r="BV211" s="739"/>
      <c r="BW211" s="740"/>
      <c r="BX211" s="739"/>
      <c r="BY211" s="740"/>
      <c r="BZ211" s="739"/>
      <c r="CA211" s="740"/>
      <c r="CB211" s="739"/>
      <c r="CC211" s="740"/>
      <c r="CD211" s="739"/>
      <c r="CE211" s="740"/>
      <c r="CF211" s="739"/>
      <c r="CG211" s="740"/>
      <c r="CH211" s="739"/>
      <c r="CI211" s="740"/>
      <c r="CJ211" s="739"/>
      <c r="CK211" s="740"/>
      <c r="CL211" s="748" t="s">
        <v>6</v>
      </c>
      <c r="CN211" s="713"/>
      <c r="CO211" s="726"/>
    </row>
    <row r="212" spans="2:93">
      <c r="B212" s="161"/>
      <c r="C212" s="100" t="s">
        <v>430</v>
      </c>
      <c r="D212" s="126" t="s">
        <v>135</v>
      </c>
      <c r="E212" s="589"/>
      <c r="F212" s="589"/>
      <c r="G212" s="589"/>
      <c r="H212" s="589"/>
      <c r="I212" s="589"/>
      <c r="J212" s="589"/>
      <c r="K212" s="589"/>
      <c r="L212" s="589"/>
      <c r="M212" s="101"/>
      <c r="N212" s="163"/>
      <c r="O212" s="101"/>
      <c r="P212" s="577"/>
      <c r="Q212" s="162"/>
      <c r="T212" s="738" t="s">
        <v>6</v>
      </c>
      <c r="U212" s="739"/>
      <c r="V212" s="740"/>
      <c r="W212" s="739" t="s">
        <v>6</v>
      </c>
      <c r="X212" s="740"/>
      <c r="Y212" s="739"/>
      <c r="Z212" s="740" t="s">
        <v>6</v>
      </c>
      <c r="AA212" s="739"/>
      <c r="AB212" s="740"/>
      <c r="AC212" s="739" t="s">
        <v>6</v>
      </c>
      <c r="AD212" s="740"/>
      <c r="AE212" s="739"/>
      <c r="AF212" s="740" t="s">
        <v>6</v>
      </c>
      <c r="AG212" s="739"/>
      <c r="AH212" s="741"/>
      <c r="AK212" s="738" t="s">
        <v>6</v>
      </c>
      <c r="AL212" s="739"/>
      <c r="AM212" s="740"/>
      <c r="AN212" s="739"/>
      <c r="AO212" s="740"/>
      <c r="AP212" s="739"/>
      <c r="AQ212" s="740"/>
      <c r="AR212" s="739"/>
      <c r="AS212" s="740"/>
      <c r="AT212" s="739"/>
      <c r="AU212" s="740"/>
      <c r="AV212" s="739"/>
      <c r="AW212" s="740"/>
      <c r="AX212" s="739"/>
      <c r="AY212" s="740"/>
      <c r="AZ212" s="739"/>
      <c r="BA212" s="740"/>
      <c r="BB212" s="739"/>
      <c r="BC212" s="740" t="s">
        <v>6</v>
      </c>
      <c r="BD212" s="739"/>
      <c r="BE212" s="740"/>
      <c r="BF212" s="739"/>
      <c r="BG212" s="740"/>
      <c r="BH212" s="739"/>
      <c r="BI212" s="740"/>
      <c r="BJ212" s="739" t="s">
        <v>6</v>
      </c>
      <c r="BK212" s="740"/>
      <c r="BL212" s="739"/>
      <c r="BM212" s="740"/>
      <c r="BN212" s="739"/>
      <c r="BO212" s="740"/>
      <c r="BP212" s="739"/>
      <c r="BQ212" s="740" t="s">
        <v>6</v>
      </c>
      <c r="BR212" s="739"/>
      <c r="BS212" s="740"/>
      <c r="BT212" s="739"/>
      <c r="BU212" s="740"/>
      <c r="BV212" s="739"/>
      <c r="BW212" s="740"/>
      <c r="BX212" s="739"/>
      <c r="BY212" s="740"/>
      <c r="BZ212" s="739"/>
      <c r="CA212" s="740"/>
      <c r="CB212" s="739"/>
      <c r="CC212" s="740"/>
      <c r="CD212" s="739"/>
      <c r="CE212" s="740"/>
      <c r="CF212" s="739"/>
      <c r="CG212" s="740"/>
      <c r="CH212" s="739"/>
      <c r="CI212" s="740"/>
      <c r="CJ212" s="739"/>
      <c r="CK212" s="740"/>
      <c r="CL212" s="748" t="s">
        <v>6</v>
      </c>
      <c r="CN212" s="713"/>
      <c r="CO212" s="726"/>
    </row>
    <row r="213" spans="2:93">
      <c r="B213" s="161"/>
      <c r="C213" s="100" t="s">
        <v>431</v>
      </c>
      <c r="D213" s="126" t="s">
        <v>135</v>
      </c>
      <c r="E213" s="589"/>
      <c r="F213" s="589"/>
      <c r="G213" s="589"/>
      <c r="H213" s="589"/>
      <c r="I213" s="589"/>
      <c r="J213" s="589"/>
      <c r="K213" s="589"/>
      <c r="L213" s="589"/>
      <c r="M213" s="101"/>
      <c r="N213" s="163"/>
      <c r="O213" s="101"/>
      <c r="P213" s="577"/>
      <c r="Q213" s="162"/>
      <c r="T213" s="738" t="s">
        <v>6</v>
      </c>
      <c r="U213" s="739"/>
      <c r="V213" s="740"/>
      <c r="W213" s="739" t="s">
        <v>6</v>
      </c>
      <c r="X213" s="740"/>
      <c r="Y213" s="739"/>
      <c r="Z213" s="740" t="s">
        <v>6</v>
      </c>
      <c r="AA213" s="739"/>
      <c r="AB213" s="740"/>
      <c r="AC213" s="739" t="s">
        <v>6</v>
      </c>
      <c r="AD213" s="740"/>
      <c r="AE213" s="739"/>
      <c r="AF213" s="740" t="s">
        <v>6</v>
      </c>
      <c r="AG213" s="739"/>
      <c r="AH213" s="741"/>
      <c r="AK213" s="738" t="s">
        <v>6</v>
      </c>
      <c r="AL213" s="739"/>
      <c r="AM213" s="740"/>
      <c r="AN213" s="739"/>
      <c r="AO213" s="740"/>
      <c r="AP213" s="739"/>
      <c r="AQ213" s="740"/>
      <c r="AR213" s="739"/>
      <c r="AS213" s="740"/>
      <c r="AT213" s="739"/>
      <c r="AU213" s="740"/>
      <c r="AV213" s="739"/>
      <c r="AW213" s="740"/>
      <c r="AX213" s="739"/>
      <c r="AY213" s="740"/>
      <c r="AZ213" s="739"/>
      <c r="BA213" s="740"/>
      <c r="BB213" s="739"/>
      <c r="BC213" s="740" t="s">
        <v>6</v>
      </c>
      <c r="BD213" s="739"/>
      <c r="BE213" s="740"/>
      <c r="BF213" s="739"/>
      <c r="BG213" s="740"/>
      <c r="BH213" s="739"/>
      <c r="BI213" s="740"/>
      <c r="BJ213" s="739" t="s">
        <v>6</v>
      </c>
      <c r="BK213" s="740"/>
      <c r="BL213" s="739"/>
      <c r="BM213" s="740"/>
      <c r="BN213" s="739"/>
      <c r="BO213" s="740"/>
      <c r="BP213" s="739"/>
      <c r="BQ213" s="740" t="s">
        <v>6</v>
      </c>
      <c r="BR213" s="739"/>
      <c r="BS213" s="740"/>
      <c r="BT213" s="739"/>
      <c r="BU213" s="740"/>
      <c r="BV213" s="739"/>
      <c r="BW213" s="740"/>
      <c r="BX213" s="739"/>
      <c r="BY213" s="740"/>
      <c r="BZ213" s="739"/>
      <c r="CA213" s="740"/>
      <c r="CB213" s="739"/>
      <c r="CC213" s="740"/>
      <c r="CD213" s="739"/>
      <c r="CE213" s="740"/>
      <c r="CF213" s="739"/>
      <c r="CG213" s="740"/>
      <c r="CH213" s="739"/>
      <c r="CI213" s="740"/>
      <c r="CJ213" s="739"/>
      <c r="CK213" s="740"/>
      <c r="CL213" s="748" t="s">
        <v>6</v>
      </c>
      <c r="CN213" s="713"/>
      <c r="CO213" s="726"/>
    </row>
    <row r="214" spans="2:93">
      <c r="B214" s="161"/>
      <c r="C214" s="100" t="s">
        <v>432</v>
      </c>
      <c r="D214" s="126" t="s">
        <v>135</v>
      </c>
      <c r="E214" s="589"/>
      <c r="F214" s="589"/>
      <c r="G214" s="589"/>
      <c r="H214" s="589"/>
      <c r="I214" s="589"/>
      <c r="J214" s="589"/>
      <c r="K214" s="589"/>
      <c r="L214" s="589"/>
      <c r="M214" s="101"/>
      <c r="N214" s="163"/>
      <c r="O214" s="101"/>
      <c r="P214" s="577"/>
      <c r="Q214" s="162"/>
      <c r="T214" s="738" t="s">
        <v>6</v>
      </c>
      <c r="U214" s="739"/>
      <c r="V214" s="740"/>
      <c r="W214" s="739" t="s">
        <v>6</v>
      </c>
      <c r="X214" s="740"/>
      <c r="Y214" s="739"/>
      <c r="Z214" s="740" t="s">
        <v>6</v>
      </c>
      <c r="AA214" s="739"/>
      <c r="AB214" s="740"/>
      <c r="AC214" s="739" t="s">
        <v>6</v>
      </c>
      <c r="AD214" s="740"/>
      <c r="AE214" s="739"/>
      <c r="AF214" s="740" t="s">
        <v>6</v>
      </c>
      <c r="AG214" s="739"/>
      <c r="AH214" s="741"/>
      <c r="AK214" s="738" t="s">
        <v>6</v>
      </c>
      <c r="AL214" s="739"/>
      <c r="AM214" s="740"/>
      <c r="AN214" s="739"/>
      <c r="AO214" s="740"/>
      <c r="AP214" s="739"/>
      <c r="AQ214" s="740"/>
      <c r="AR214" s="739"/>
      <c r="AS214" s="740"/>
      <c r="AT214" s="739"/>
      <c r="AU214" s="740"/>
      <c r="AV214" s="739"/>
      <c r="AW214" s="740"/>
      <c r="AX214" s="739"/>
      <c r="AY214" s="740"/>
      <c r="AZ214" s="739"/>
      <c r="BA214" s="740"/>
      <c r="BB214" s="739"/>
      <c r="BC214" s="740" t="s">
        <v>6</v>
      </c>
      <c r="BD214" s="739"/>
      <c r="BE214" s="740"/>
      <c r="BF214" s="739"/>
      <c r="BG214" s="740"/>
      <c r="BH214" s="739"/>
      <c r="BI214" s="740"/>
      <c r="BJ214" s="739" t="s">
        <v>6</v>
      </c>
      <c r="BK214" s="740"/>
      <c r="BL214" s="739"/>
      <c r="BM214" s="740"/>
      <c r="BN214" s="739"/>
      <c r="BO214" s="740"/>
      <c r="BP214" s="739"/>
      <c r="BQ214" s="740" t="s">
        <v>6</v>
      </c>
      <c r="BR214" s="739"/>
      <c r="BS214" s="740"/>
      <c r="BT214" s="739"/>
      <c r="BU214" s="740"/>
      <c r="BV214" s="739"/>
      <c r="BW214" s="740"/>
      <c r="BX214" s="739"/>
      <c r="BY214" s="740"/>
      <c r="BZ214" s="739"/>
      <c r="CA214" s="740"/>
      <c r="CB214" s="739"/>
      <c r="CC214" s="740"/>
      <c r="CD214" s="739"/>
      <c r="CE214" s="740"/>
      <c r="CF214" s="739"/>
      <c r="CG214" s="740"/>
      <c r="CH214" s="739"/>
      <c r="CI214" s="740"/>
      <c r="CJ214" s="739"/>
      <c r="CK214" s="740"/>
      <c r="CL214" s="748" t="s">
        <v>6</v>
      </c>
      <c r="CN214" s="713"/>
      <c r="CO214" s="726"/>
    </row>
    <row r="215" spans="2:93">
      <c r="B215" s="161"/>
      <c r="C215" s="106" t="s">
        <v>433</v>
      </c>
      <c r="D215" s="126" t="s">
        <v>135</v>
      </c>
      <c r="E215" s="589"/>
      <c r="F215" s="589"/>
      <c r="G215" s="589"/>
      <c r="H215" s="589"/>
      <c r="I215" s="589"/>
      <c r="J215" s="589"/>
      <c r="K215" s="589"/>
      <c r="L215" s="589"/>
      <c r="M215" s="101"/>
      <c r="N215" s="163"/>
      <c r="O215" s="101"/>
      <c r="P215" s="577"/>
      <c r="Q215" s="162"/>
      <c r="T215" s="738" t="s">
        <v>6</v>
      </c>
      <c r="U215" s="739"/>
      <c r="V215" s="740"/>
      <c r="W215" s="739" t="s">
        <v>6</v>
      </c>
      <c r="X215" s="740"/>
      <c r="Y215" s="739"/>
      <c r="Z215" s="740" t="s">
        <v>6</v>
      </c>
      <c r="AA215" s="739"/>
      <c r="AB215" s="740"/>
      <c r="AC215" s="739" t="s">
        <v>6</v>
      </c>
      <c r="AD215" s="740"/>
      <c r="AE215" s="739"/>
      <c r="AF215" s="740" t="s">
        <v>6</v>
      </c>
      <c r="AG215" s="739"/>
      <c r="AH215" s="741"/>
      <c r="AK215" s="738" t="s">
        <v>6</v>
      </c>
      <c r="AL215" s="739"/>
      <c r="AM215" s="740"/>
      <c r="AN215" s="739"/>
      <c r="AO215" s="740"/>
      <c r="AP215" s="739"/>
      <c r="AQ215" s="740"/>
      <c r="AR215" s="739"/>
      <c r="AS215" s="740"/>
      <c r="AT215" s="739"/>
      <c r="AU215" s="740"/>
      <c r="AV215" s="739"/>
      <c r="AW215" s="740"/>
      <c r="AX215" s="739"/>
      <c r="AY215" s="740"/>
      <c r="AZ215" s="739"/>
      <c r="BA215" s="740"/>
      <c r="BB215" s="739"/>
      <c r="BC215" s="740" t="s">
        <v>6</v>
      </c>
      <c r="BD215" s="739"/>
      <c r="BE215" s="740"/>
      <c r="BF215" s="739"/>
      <c r="BG215" s="740"/>
      <c r="BH215" s="739"/>
      <c r="BI215" s="740"/>
      <c r="BJ215" s="739" t="s">
        <v>6</v>
      </c>
      <c r="BK215" s="740"/>
      <c r="BL215" s="739"/>
      <c r="BM215" s="740"/>
      <c r="BN215" s="739"/>
      <c r="BO215" s="740"/>
      <c r="BP215" s="739"/>
      <c r="BQ215" s="740" t="s">
        <v>6</v>
      </c>
      <c r="BR215" s="739"/>
      <c r="BS215" s="740"/>
      <c r="BT215" s="739"/>
      <c r="BU215" s="740"/>
      <c r="BV215" s="739"/>
      <c r="BW215" s="740"/>
      <c r="BX215" s="739"/>
      <c r="BY215" s="740"/>
      <c r="BZ215" s="739"/>
      <c r="CA215" s="740"/>
      <c r="CB215" s="739"/>
      <c r="CC215" s="740"/>
      <c r="CD215" s="739"/>
      <c r="CE215" s="740"/>
      <c r="CF215" s="739"/>
      <c r="CG215" s="740"/>
      <c r="CH215" s="739"/>
      <c r="CI215" s="740"/>
      <c r="CJ215" s="739"/>
      <c r="CK215" s="740"/>
      <c r="CL215" s="748" t="s">
        <v>6</v>
      </c>
      <c r="CN215" s="713"/>
      <c r="CO215" s="726"/>
    </row>
    <row r="216" spans="2:93">
      <c r="B216" s="161"/>
      <c r="C216" s="106" t="s">
        <v>434</v>
      </c>
      <c r="D216" s="126" t="s">
        <v>135</v>
      </c>
      <c r="E216" s="589"/>
      <c r="F216" s="589"/>
      <c r="G216" s="589"/>
      <c r="H216" s="589"/>
      <c r="I216" s="589"/>
      <c r="J216" s="589"/>
      <c r="K216" s="589"/>
      <c r="L216" s="589"/>
      <c r="M216" s="101"/>
      <c r="N216" s="163"/>
      <c r="O216" s="101"/>
      <c r="P216" s="577"/>
      <c r="Q216" s="162"/>
      <c r="T216" s="738" t="s">
        <v>6</v>
      </c>
      <c r="U216" s="739"/>
      <c r="V216" s="740"/>
      <c r="W216" s="739" t="s">
        <v>6</v>
      </c>
      <c r="X216" s="740"/>
      <c r="Y216" s="739"/>
      <c r="Z216" s="740" t="s">
        <v>6</v>
      </c>
      <c r="AA216" s="739"/>
      <c r="AB216" s="740"/>
      <c r="AC216" s="739" t="s">
        <v>6</v>
      </c>
      <c r="AD216" s="740"/>
      <c r="AE216" s="739"/>
      <c r="AF216" s="740" t="s">
        <v>6</v>
      </c>
      <c r="AG216" s="739"/>
      <c r="AH216" s="741"/>
      <c r="AK216" s="738" t="s">
        <v>6</v>
      </c>
      <c r="AL216" s="739"/>
      <c r="AM216" s="740"/>
      <c r="AN216" s="739"/>
      <c r="AO216" s="740"/>
      <c r="AP216" s="739"/>
      <c r="AQ216" s="740"/>
      <c r="AR216" s="739"/>
      <c r="AS216" s="740"/>
      <c r="AT216" s="739"/>
      <c r="AU216" s="740"/>
      <c r="AV216" s="739"/>
      <c r="AW216" s="740"/>
      <c r="AX216" s="739"/>
      <c r="AY216" s="740"/>
      <c r="AZ216" s="739"/>
      <c r="BA216" s="740"/>
      <c r="BB216" s="739"/>
      <c r="BC216" s="740" t="s">
        <v>6</v>
      </c>
      <c r="BD216" s="739"/>
      <c r="BE216" s="740"/>
      <c r="BF216" s="739"/>
      <c r="BG216" s="740"/>
      <c r="BH216" s="739"/>
      <c r="BI216" s="740"/>
      <c r="BJ216" s="739" t="s">
        <v>6</v>
      </c>
      <c r="BK216" s="740"/>
      <c r="BL216" s="739"/>
      <c r="BM216" s="740"/>
      <c r="BN216" s="739"/>
      <c r="BO216" s="740"/>
      <c r="BP216" s="739"/>
      <c r="BQ216" s="740" t="s">
        <v>6</v>
      </c>
      <c r="BR216" s="739"/>
      <c r="BS216" s="740"/>
      <c r="BT216" s="739"/>
      <c r="BU216" s="740"/>
      <c r="BV216" s="739"/>
      <c r="BW216" s="740"/>
      <c r="BX216" s="739"/>
      <c r="BY216" s="740"/>
      <c r="BZ216" s="739"/>
      <c r="CA216" s="740"/>
      <c r="CB216" s="739"/>
      <c r="CC216" s="740"/>
      <c r="CD216" s="739"/>
      <c r="CE216" s="740"/>
      <c r="CF216" s="739"/>
      <c r="CG216" s="740"/>
      <c r="CH216" s="739"/>
      <c r="CI216" s="740"/>
      <c r="CJ216" s="739"/>
      <c r="CK216" s="740"/>
      <c r="CL216" s="748" t="s">
        <v>6</v>
      </c>
      <c r="CN216" s="713"/>
      <c r="CO216" s="726"/>
    </row>
    <row r="217" spans="2:93">
      <c r="B217" s="161"/>
      <c r="C217" s="51" t="s">
        <v>131</v>
      </c>
      <c r="D217" s="126" t="s">
        <v>135</v>
      </c>
      <c r="E217" s="574">
        <f>SUM(E212:E216)</f>
        <v>0</v>
      </c>
      <c r="F217" s="574">
        <f>SUM(F212:F216)</f>
        <v>0</v>
      </c>
      <c r="G217" s="574">
        <f>SUM(G212:G216)</f>
        <v>0</v>
      </c>
      <c r="H217" s="574">
        <f>SUM(H212:H216)</f>
        <v>0</v>
      </c>
      <c r="I217" s="574">
        <f>SUM(I212:I216)</f>
        <v>0</v>
      </c>
      <c r="J217" s="574">
        <f>SUM(J212:J216)</f>
        <v>0</v>
      </c>
      <c r="K217" s="574">
        <f>SUM(K212:K216)</f>
        <v>0</v>
      </c>
      <c r="L217" s="574">
        <f>SUM(L212:L216)</f>
        <v>0</v>
      </c>
      <c r="M217" s="104"/>
      <c r="N217" s="163"/>
      <c r="O217" s="104"/>
      <c r="P217" s="163"/>
      <c r="Q217" s="162"/>
      <c r="T217" s="738" t="s">
        <v>6</v>
      </c>
      <c r="U217" s="739"/>
      <c r="V217" s="740"/>
      <c r="W217" s="739" t="s">
        <v>6</v>
      </c>
      <c r="X217" s="740"/>
      <c r="Y217" s="739"/>
      <c r="Z217" s="740" t="s">
        <v>6</v>
      </c>
      <c r="AA217" s="739"/>
      <c r="AB217" s="740"/>
      <c r="AC217" s="739" t="s">
        <v>6</v>
      </c>
      <c r="AD217" s="740"/>
      <c r="AE217" s="739"/>
      <c r="AF217" s="740" t="s">
        <v>6</v>
      </c>
      <c r="AG217" s="739"/>
      <c r="AH217" s="741"/>
      <c r="AK217" s="738" t="s">
        <v>6</v>
      </c>
      <c r="AL217" s="739"/>
      <c r="AM217" s="740"/>
      <c r="AN217" s="739"/>
      <c r="AO217" s="740"/>
      <c r="AP217" s="739"/>
      <c r="AQ217" s="740"/>
      <c r="AR217" s="739"/>
      <c r="AS217" s="740"/>
      <c r="AT217" s="739"/>
      <c r="AU217" s="740"/>
      <c r="AV217" s="739"/>
      <c r="AW217" s="740"/>
      <c r="AX217" s="739"/>
      <c r="AY217" s="740"/>
      <c r="AZ217" s="739"/>
      <c r="BA217" s="740"/>
      <c r="BB217" s="739"/>
      <c r="BC217" s="740" t="s">
        <v>6</v>
      </c>
      <c r="BD217" s="739"/>
      <c r="BE217" s="740"/>
      <c r="BF217" s="739"/>
      <c r="BG217" s="740"/>
      <c r="BH217" s="739"/>
      <c r="BI217" s="740"/>
      <c r="BJ217" s="739" t="s">
        <v>6</v>
      </c>
      <c r="BK217" s="740"/>
      <c r="BL217" s="739"/>
      <c r="BM217" s="740"/>
      <c r="BN217" s="739"/>
      <c r="BO217" s="740"/>
      <c r="BP217" s="739"/>
      <c r="BQ217" s="740" t="s">
        <v>6</v>
      </c>
      <c r="BR217" s="739"/>
      <c r="BS217" s="740"/>
      <c r="BT217" s="739"/>
      <c r="BU217" s="740"/>
      <c r="BV217" s="739"/>
      <c r="BW217" s="740"/>
      <c r="BX217" s="739"/>
      <c r="BY217" s="740"/>
      <c r="BZ217" s="739"/>
      <c r="CA217" s="740"/>
      <c r="CB217" s="739"/>
      <c r="CC217" s="740"/>
      <c r="CD217" s="739"/>
      <c r="CE217" s="740"/>
      <c r="CF217" s="739"/>
      <c r="CG217" s="740"/>
      <c r="CH217" s="739"/>
      <c r="CI217" s="740"/>
      <c r="CJ217" s="739"/>
      <c r="CK217" s="740"/>
      <c r="CL217" s="748" t="s">
        <v>6</v>
      </c>
      <c r="CN217" s="713"/>
      <c r="CO217" s="726"/>
    </row>
    <row r="218" spans="2:93">
      <c r="B218" s="161"/>
      <c r="C218" s="163"/>
      <c r="D218" s="171"/>
      <c r="E218" s="163"/>
      <c r="F218" s="163"/>
      <c r="G218" s="163"/>
      <c r="H218" s="163"/>
      <c r="I218" s="163"/>
      <c r="J218" s="163"/>
      <c r="K218" s="163"/>
      <c r="L218" s="163"/>
      <c r="M218" s="171"/>
      <c r="N218" s="163"/>
      <c r="O218" s="171"/>
      <c r="P218" s="163"/>
      <c r="Q218" s="162"/>
      <c r="T218" s="738" t="s">
        <v>6</v>
      </c>
      <c r="U218" s="739"/>
      <c r="V218" s="740"/>
      <c r="W218" s="739" t="s">
        <v>6</v>
      </c>
      <c r="X218" s="740"/>
      <c r="Y218" s="739"/>
      <c r="Z218" s="740" t="s">
        <v>6</v>
      </c>
      <c r="AA218" s="739"/>
      <c r="AB218" s="740"/>
      <c r="AC218" s="739" t="s">
        <v>6</v>
      </c>
      <c r="AD218" s="740"/>
      <c r="AE218" s="739"/>
      <c r="AF218" s="740" t="s">
        <v>6</v>
      </c>
      <c r="AG218" s="739"/>
      <c r="AH218" s="741"/>
      <c r="AK218" s="738" t="s">
        <v>6</v>
      </c>
      <c r="AL218" s="739"/>
      <c r="AM218" s="740"/>
      <c r="AN218" s="739"/>
      <c r="AO218" s="740"/>
      <c r="AP218" s="739"/>
      <c r="AQ218" s="740"/>
      <c r="AR218" s="739"/>
      <c r="AS218" s="740"/>
      <c r="AT218" s="739"/>
      <c r="AU218" s="740"/>
      <c r="AV218" s="739"/>
      <c r="AW218" s="740"/>
      <c r="AX218" s="739"/>
      <c r="AY218" s="740"/>
      <c r="AZ218" s="739"/>
      <c r="BA218" s="740"/>
      <c r="BB218" s="739"/>
      <c r="BC218" s="740" t="s">
        <v>6</v>
      </c>
      <c r="BD218" s="739"/>
      <c r="BE218" s="740"/>
      <c r="BF218" s="739"/>
      <c r="BG218" s="740"/>
      <c r="BH218" s="739"/>
      <c r="BI218" s="740"/>
      <c r="BJ218" s="739" t="s">
        <v>6</v>
      </c>
      <c r="BK218" s="740"/>
      <c r="BL218" s="739"/>
      <c r="BM218" s="740"/>
      <c r="BN218" s="739"/>
      <c r="BO218" s="740"/>
      <c r="BP218" s="739"/>
      <c r="BQ218" s="740" t="s">
        <v>6</v>
      </c>
      <c r="BR218" s="739"/>
      <c r="BS218" s="740"/>
      <c r="BT218" s="739"/>
      <c r="BU218" s="740"/>
      <c r="BV218" s="739"/>
      <c r="BW218" s="740"/>
      <c r="BX218" s="739"/>
      <c r="BY218" s="740"/>
      <c r="BZ218" s="739"/>
      <c r="CA218" s="740"/>
      <c r="CB218" s="739"/>
      <c r="CC218" s="740"/>
      <c r="CD218" s="739"/>
      <c r="CE218" s="740"/>
      <c r="CF218" s="739"/>
      <c r="CG218" s="740"/>
      <c r="CH218" s="739"/>
      <c r="CI218" s="740"/>
      <c r="CJ218" s="739"/>
      <c r="CK218" s="740"/>
      <c r="CL218" s="748" t="s">
        <v>6</v>
      </c>
      <c r="CN218" s="713"/>
      <c r="CO218" s="726"/>
    </row>
    <row r="219" spans="2:93">
      <c r="B219" s="161"/>
      <c r="C219" s="26" t="s">
        <v>435</v>
      </c>
      <c r="D219" s="104"/>
      <c r="E219" s="26"/>
      <c r="F219" s="26"/>
      <c r="G219" s="26"/>
      <c r="H219" s="26"/>
      <c r="I219" s="26"/>
      <c r="J219" s="26"/>
      <c r="K219" s="26"/>
      <c r="L219" s="26"/>
      <c r="M219" s="104"/>
      <c r="N219" s="163"/>
      <c r="O219" s="104"/>
      <c r="P219" s="163"/>
      <c r="Q219" s="162"/>
      <c r="T219" s="738" t="s">
        <v>6</v>
      </c>
      <c r="U219" s="739"/>
      <c r="V219" s="740"/>
      <c r="W219" s="739" t="s">
        <v>6</v>
      </c>
      <c r="X219" s="740"/>
      <c r="Y219" s="739"/>
      <c r="Z219" s="740" t="s">
        <v>6</v>
      </c>
      <c r="AA219" s="739"/>
      <c r="AB219" s="740"/>
      <c r="AC219" s="739" t="s">
        <v>6</v>
      </c>
      <c r="AD219" s="740"/>
      <c r="AE219" s="739"/>
      <c r="AF219" s="740" t="s">
        <v>6</v>
      </c>
      <c r="AG219" s="739"/>
      <c r="AH219" s="741"/>
      <c r="AK219" s="738" t="s">
        <v>6</v>
      </c>
      <c r="AL219" s="739"/>
      <c r="AM219" s="740"/>
      <c r="AN219" s="739"/>
      <c r="AO219" s="740"/>
      <c r="AP219" s="739"/>
      <c r="AQ219" s="740"/>
      <c r="AR219" s="739"/>
      <c r="AS219" s="740"/>
      <c r="AT219" s="739"/>
      <c r="AU219" s="740"/>
      <c r="AV219" s="739"/>
      <c r="AW219" s="740"/>
      <c r="AX219" s="739"/>
      <c r="AY219" s="740"/>
      <c r="AZ219" s="739"/>
      <c r="BA219" s="740"/>
      <c r="BB219" s="739"/>
      <c r="BC219" s="740" t="s">
        <v>6</v>
      </c>
      <c r="BD219" s="739"/>
      <c r="BE219" s="740"/>
      <c r="BF219" s="739"/>
      <c r="BG219" s="740"/>
      <c r="BH219" s="739"/>
      <c r="BI219" s="740"/>
      <c r="BJ219" s="739" t="s">
        <v>6</v>
      </c>
      <c r="BK219" s="740"/>
      <c r="BL219" s="739"/>
      <c r="BM219" s="740"/>
      <c r="BN219" s="739"/>
      <c r="BO219" s="740"/>
      <c r="BP219" s="739"/>
      <c r="BQ219" s="740" t="s">
        <v>6</v>
      </c>
      <c r="BR219" s="739"/>
      <c r="BS219" s="740"/>
      <c r="BT219" s="739"/>
      <c r="BU219" s="740"/>
      <c r="BV219" s="739"/>
      <c r="BW219" s="740"/>
      <c r="BX219" s="739"/>
      <c r="BY219" s="740"/>
      <c r="BZ219" s="739"/>
      <c r="CA219" s="740"/>
      <c r="CB219" s="739"/>
      <c r="CC219" s="740"/>
      <c r="CD219" s="739"/>
      <c r="CE219" s="740"/>
      <c r="CF219" s="739"/>
      <c r="CG219" s="740"/>
      <c r="CH219" s="739"/>
      <c r="CI219" s="740"/>
      <c r="CJ219" s="739"/>
      <c r="CK219" s="740"/>
      <c r="CL219" s="748" t="s">
        <v>6</v>
      </c>
      <c r="CN219" s="713"/>
      <c r="CO219" s="726"/>
    </row>
    <row r="220" spans="2:93">
      <c r="B220" s="161"/>
      <c r="C220" s="101" t="s">
        <v>436</v>
      </c>
      <c r="D220" s="126" t="s">
        <v>135</v>
      </c>
      <c r="E220" s="605">
        <f>IF(Insurance_Value="Yes",SUM(E8:E11,E19,E21,E26:E30,E34,E41:E42,E48:E49,E55:E56,E62:E63,E69:E70)*'Input Data'!$W$3,0)</f>
        <v>0</v>
      </c>
      <c r="F220" s="605">
        <f>IF(Insurance_Value="Yes",SUM(F8:F11,F19,F21,F26:F30,F34,F41:F42,F48:F49,F55:F56,F62:F63,F69:F70)*'Input Data'!$W$3,0)</f>
        <v>0</v>
      </c>
      <c r="G220" s="605">
        <f>IF(Insurance_Value="Yes",SUM(G8:G11,G19,G21,G26:G30,G34,G41:G42,G48:G49,G55:G56,G62:G63,G69:G70)*'Input Data'!$W$3,0)</f>
        <v>0</v>
      </c>
      <c r="H220" s="605">
        <f>IF(Insurance_Value="Yes",SUM(H8:H11,H19,H21,H26:H30,H34,H41:H42,H48:H49,H55:H56,H62:H63,H69:H70)*'Input Data'!$W$3,0)</f>
        <v>0</v>
      </c>
      <c r="I220" s="605">
        <f>IF(Insurance_Value="Yes",SUM(I8:I11,I19,I21,I26:I30,I34,I41:I42,I48:I49,I55:I56,I62:I63,I69:I70)*'Input Data'!$W$3,0)</f>
        <v>0</v>
      </c>
      <c r="J220" s="605">
        <f>IF(Insurance_Value="Yes",SUM(J8:J11,J19,J21,J26:J30,J34,J41:J42,J48:J49,J55:J56,J62:J63,J69:J70)*'Input Data'!$W$3,0)</f>
        <v>0</v>
      </c>
      <c r="K220" s="605">
        <f>IF(Insurance_Value="Yes",SUM(K8:K11,K19,K21,K26:K30,K34,K41:K42,K48:K49,K55:K56,K62:K63,K69:K70)*'Input Data'!$W$3,0)</f>
        <v>0</v>
      </c>
      <c r="L220" s="605">
        <f>IF(Insurance_Value="Yes",SUM(L8:L11,L19,L21,L26:L30,L34,L41:L42,L48:L49,L55:L56,L62:L63,L69:L70)*'Input Data'!$W$3,0)</f>
        <v>0</v>
      </c>
      <c r="M220" s="101"/>
      <c r="N220" s="163"/>
      <c r="O220" s="101"/>
      <c r="P220" s="163"/>
      <c r="Q220" s="162"/>
      <c r="T220" s="738" t="s">
        <v>6</v>
      </c>
      <c r="U220" s="739"/>
      <c r="V220" s="740"/>
      <c r="W220" s="739" t="s">
        <v>6</v>
      </c>
      <c r="X220" s="740"/>
      <c r="Y220" s="739"/>
      <c r="Z220" s="740" t="s">
        <v>6</v>
      </c>
      <c r="AA220" s="739"/>
      <c r="AB220" s="740"/>
      <c r="AC220" s="739" t="s">
        <v>6</v>
      </c>
      <c r="AD220" s="740"/>
      <c r="AE220" s="739"/>
      <c r="AF220" s="740" t="s">
        <v>6</v>
      </c>
      <c r="AG220" s="739"/>
      <c r="AH220" s="741"/>
      <c r="AK220" s="738" t="s">
        <v>6</v>
      </c>
      <c r="AL220" s="739"/>
      <c r="AM220" s="740"/>
      <c r="AN220" s="739"/>
      <c r="AO220" s="740"/>
      <c r="AP220" s="739"/>
      <c r="AQ220" s="740"/>
      <c r="AR220" s="739"/>
      <c r="AS220" s="740"/>
      <c r="AT220" s="739"/>
      <c r="AU220" s="740"/>
      <c r="AV220" s="739"/>
      <c r="AW220" s="740"/>
      <c r="AX220" s="739"/>
      <c r="AY220" s="740"/>
      <c r="AZ220" s="739"/>
      <c r="BA220" s="740"/>
      <c r="BB220" s="739"/>
      <c r="BC220" s="740" t="s">
        <v>6</v>
      </c>
      <c r="BD220" s="739"/>
      <c r="BE220" s="740"/>
      <c r="BF220" s="739"/>
      <c r="BG220" s="740"/>
      <c r="BH220" s="739"/>
      <c r="BI220" s="740"/>
      <c r="BJ220" s="739" t="s">
        <v>6</v>
      </c>
      <c r="BK220" s="740"/>
      <c r="BL220" s="739"/>
      <c r="BM220" s="740"/>
      <c r="BN220" s="739"/>
      <c r="BO220" s="740"/>
      <c r="BP220" s="739"/>
      <c r="BQ220" s="740" t="s">
        <v>6</v>
      </c>
      <c r="BR220" s="739"/>
      <c r="BS220" s="740"/>
      <c r="BT220" s="739"/>
      <c r="BU220" s="740"/>
      <c r="BV220" s="739"/>
      <c r="BW220" s="740"/>
      <c r="BX220" s="739"/>
      <c r="BY220" s="740"/>
      <c r="BZ220" s="739"/>
      <c r="CA220" s="740"/>
      <c r="CB220" s="739"/>
      <c r="CC220" s="740"/>
      <c r="CD220" s="739"/>
      <c r="CE220" s="740"/>
      <c r="CF220" s="739"/>
      <c r="CG220" s="740"/>
      <c r="CH220" s="739"/>
      <c r="CI220" s="740"/>
      <c r="CJ220" s="739"/>
      <c r="CK220" s="740"/>
      <c r="CL220" s="748" t="s">
        <v>6</v>
      </c>
      <c r="CN220" s="713" t="s">
        <v>6</v>
      </c>
      <c r="CO220" s="726" t="s">
        <v>5</v>
      </c>
    </row>
    <row r="221" spans="2:93" hidden="1">
      <c r="B221" s="161"/>
      <c r="C221" s="101" t="s">
        <v>437</v>
      </c>
      <c r="D221" s="126" t="s">
        <v>135</v>
      </c>
      <c r="E221" s="589"/>
      <c r="F221" s="589"/>
      <c r="G221" s="589"/>
      <c r="H221" s="589"/>
      <c r="I221" s="589"/>
      <c r="J221" s="589"/>
      <c r="K221" s="589"/>
      <c r="L221" s="589"/>
      <c r="M221" s="101"/>
      <c r="N221" s="163"/>
      <c r="O221" s="101"/>
      <c r="P221" s="577"/>
      <c r="Q221" s="162"/>
      <c r="T221" s="738" t="s">
        <v>5</v>
      </c>
      <c r="U221" s="739"/>
      <c r="V221" s="740"/>
      <c r="W221" s="739" t="s">
        <v>5</v>
      </c>
      <c r="X221" s="740"/>
      <c r="Y221" s="739"/>
      <c r="Z221" s="740" t="s">
        <v>5</v>
      </c>
      <c r="AA221" s="739"/>
      <c r="AB221" s="740"/>
      <c r="AC221" s="739" t="s">
        <v>5</v>
      </c>
      <c r="AD221" s="740"/>
      <c r="AE221" s="739"/>
      <c r="AF221" s="740" t="s">
        <v>5</v>
      </c>
      <c r="AG221" s="739"/>
      <c r="AH221" s="741"/>
      <c r="AK221" s="738" t="s">
        <v>5</v>
      </c>
      <c r="AL221" s="739"/>
      <c r="AM221" s="740"/>
      <c r="AN221" s="739"/>
      <c r="AO221" s="740"/>
      <c r="AP221" s="739"/>
      <c r="AQ221" s="740"/>
      <c r="AR221" s="739"/>
      <c r="AS221" s="740"/>
      <c r="AT221" s="739"/>
      <c r="AU221" s="740"/>
      <c r="AV221" s="739"/>
      <c r="AW221" s="740"/>
      <c r="AX221" s="739"/>
      <c r="AY221" s="740"/>
      <c r="AZ221" s="739"/>
      <c r="BA221" s="740"/>
      <c r="BB221" s="739"/>
      <c r="BC221" s="740" t="s">
        <v>5</v>
      </c>
      <c r="BD221" s="739"/>
      <c r="BE221" s="740"/>
      <c r="BF221" s="739"/>
      <c r="BG221" s="740"/>
      <c r="BH221" s="739"/>
      <c r="BI221" s="740"/>
      <c r="BJ221" s="739" t="s">
        <v>5</v>
      </c>
      <c r="BK221" s="740"/>
      <c r="BL221" s="739"/>
      <c r="BM221" s="740"/>
      <c r="BN221" s="739"/>
      <c r="BO221" s="740"/>
      <c r="BP221" s="739"/>
      <c r="BQ221" s="740" t="s">
        <v>5</v>
      </c>
      <c r="BR221" s="739"/>
      <c r="BS221" s="740"/>
      <c r="BT221" s="739"/>
      <c r="BU221" s="740"/>
      <c r="BV221" s="739"/>
      <c r="BW221" s="740"/>
      <c r="BX221" s="739"/>
      <c r="BY221" s="740"/>
      <c r="BZ221" s="739"/>
      <c r="CA221" s="740"/>
      <c r="CB221" s="739"/>
      <c r="CC221" s="740"/>
      <c r="CD221" s="739"/>
      <c r="CE221" s="740"/>
      <c r="CF221" s="739"/>
      <c r="CG221" s="740"/>
      <c r="CH221" s="739"/>
      <c r="CI221" s="740"/>
      <c r="CJ221" s="739"/>
      <c r="CK221" s="740"/>
      <c r="CL221" s="748" t="s">
        <v>5</v>
      </c>
      <c r="CN221" s="713" t="s">
        <v>5</v>
      </c>
      <c r="CO221" s="726" t="s">
        <v>6</v>
      </c>
    </row>
    <row r="222" spans="2:93">
      <c r="B222" s="161"/>
      <c r="C222" s="100" t="s">
        <v>438</v>
      </c>
      <c r="D222" s="126" t="s">
        <v>135</v>
      </c>
      <c r="E222" s="589"/>
      <c r="F222" s="589"/>
      <c r="G222" s="589"/>
      <c r="H222" s="589"/>
      <c r="I222" s="589"/>
      <c r="J222" s="589"/>
      <c r="K222" s="589"/>
      <c r="L222" s="589"/>
      <c r="M222" s="101"/>
      <c r="N222" s="163"/>
      <c r="O222" s="101"/>
      <c r="P222" s="577"/>
      <c r="Q222" s="162"/>
      <c r="T222" s="738" t="s">
        <v>6</v>
      </c>
      <c r="U222" s="739"/>
      <c r="V222" s="740"/>
      <c r="W222" s="739" t="s">
        <v>6</v>
      </c>
      <c r="X222" s="740"/>
      <c r="Y222" s="739"/>
      <c r="Z222" s="740" t="s">
        <v>6</v>
      </c>
      <c r="AA222" s="739"/>
      <c r="AB222" s="740"/>
      <c r="AC222" s="739" t="s">
        <v>6</v>
      </c>
      <c r="AD222" s="740"/>
      <c r="AE222" s="739"/>
      <c r="AF222" s="740" t="s">
        <v>6</v>
      </c>
      <c r="AG222" s="739"/>
      <c r="AH222" s="741"/>
      <c r="AK222" s="738" t="s">
        <v>6</v>
      </c>
      <c r="AL222" s="739"/>
      <c r="AM222" s="740"/>
      <c r="AN222" s="739"/>
      <c r="AO222" s="740"/>
      <c r="AP222" s="739"/>
      <c r="AQ222" s="740"/>
      <c r="AR222" s="739"/>
      <c r="AS222" s="740"/>
      <c r="AT222" s="739"/>
      <c r="AU222" s="740"/>
      <c r="AV222" s="739"/>
      <c r="AW222" s="740"/>
      <c r="AX222" s="739"/>
      <c r="AY222" s="740"/>
      <c r="AZ222" s="739"/>
      <c r="BA222" s="740"/>
      <c r="BB222" s="739"/>
      <c r="BC222" s="740" t="s">
        <v>6</v>
      </c>
      <c r="BD222" s="739"/>
      <c r="BE222" s="740"/>
      <c r="BF222" s="739"/>
      <c r="BG222" s="740"/>
      <c r="BH222" s="739"/>
      <c r="BI222" s="740"/>
      <c r="BJ222" s="739" t="s">
        <v>6</v>
      </c>
      <c r="BK222" s="740"/>
      <c r="BL222" s="739"/>
      <c r="BM222" s="740"/>
      <c r="BN222" s="739"/>
      <c r="BO222" s="740"/>
      <c r="BP222" s="739"/>
      <c r="BQ222" s="740" t="s">
        <v>6</v>
      </c>
      <c r="BR222" s="739"/>
      <c r="BS222" s="740"/>
      <c r="BT222" s="739"/>
      <c r="BU222" s="740"/>
      <c r="BV222" s="739"/>
      <c r="BW222" s="740"/>
      <c r="BX222" s="739"/>
      <c r="BY222" s="740"/>
      <c r="BZ222" s="739"/>
      <c r="CA222" s="740"/>
      <c r="CB222" s="739"/>
      <c r="CC222" s="740"/>
      <c r="CD222" s="739"/>
      <c r="CE222" s="740"/>
      <c r="CF222" s="739"/>
      <c r="CG222" s="740"/>
      <c r="CH222" s="739"/>
      <c r="CI222" s="740"/>
      <c r="CJ222" s="739"/>
      <c r="CK222" s="740"/>
      <c r="CL222" s="748" t="s">
        <v>6</v>
      </c>
      <c r="CN222" s="713"/>
      <c r="CO222" s="726"/>
    </row>
    <row r="223" spans="2:93">
      <c r="B223" s="161"/>
      <c r="C223" s="100" t="s">
        <v>129</v>
      </c>
      <c r="D223" s="126" t="s">
        <v>135</v>
      </c>
      <c r="E223" s="589"/>
      <c r="F223" s="589"/>
      <c r="G223" s="589"/>
      <c r="H223" s="589"/>
      <c r="I223" s="589"/>
      <c r="J223" s="589"/>
      <c r="K223" s="589"/>
      <c r="L223" s="589"/>
      <c r="M223" s="101"/>
      <c r="N223" s="163"/>
      <c r="O223" s="101"/>
      <c r="P223" s="577"/>
      <c r="Q223" s="162"/>
      <c r="T223" s="738" t="s">
        <v>6</v>
      </c>
      <c r="U223" s="739"/>
      <c r="V223" s="740"/>
      <c r="W223" s="739" t="s">
        <v>6</v>
      </c>
      <c r="X223" s="740"/>
      <c r="Y223" s="739"/>
      <c r="Z223" s="740" t="s">
        <v>6</v>
      </c>
      <c r="AA223" s="739"/>
      <c r="AB223" s="740"/>
      <c r="AC223" s="739" t="s">
        <v>6</v>
      </c>
      <c r="AD223" s="740"/>
      <c r="AE223" s="739"/>
      <c r="AF223" s="740" t="s">
        <v>6</v>
      </c>
      <c r="AG223" s="739"/>
      <c r="AH223" s="741"/>
      <c r="AK223" s="738" t="s">
        <v>6</v>
      </c>
      <c r="AL223" s="739"/>
      <c r="AM223" s="740"/>
      <c r="AN223" s="739"/>
      <c r="AO223" s="740"/>
      <c r="AP223" s="739"/>
      <c r="AQ223" s="740"/>
      <c r="AR223" s="739"/>
      <c r="AS223" s="740"/>
      <c r="AT223" s="739"/>
      <c r="AU223" s="740"/>
      <c r="AV223" s="739"/>
      <c r="AW223" s="740"/>
      <c r="AX223" s="739"/>
      <c r="AY223" s="740"/>
      <c r="AZ223" s="739"/>
      <c r="BA223" s="740"/>
      <c r="BB223" s="739"/>
      <c r="BC223" s="740" t="s">
        <v>6</v>
      </c>
      <c r="BD223" s="739"/>
      <c r="BE223" s="740"/>
      <c r="BF223" s="739"/>
      <c r="BG223" s="740"/>
      <c r="BH223" s="739"/>
      <c r="BI223" s="740"/>
      <c r="BJ223" s="739" t="s">
        <v>6</v>
      </c>
      <c r="BK223" s="740"/>
      <c r="BL223" s="739"/>
      <c r="BM223" s="740"/>
      <c r="BN223" s="739"/>
      <c r="BO223" s="740"/>
      <c r="BP223" s="739"/>
      <c r="BQ223" s="740" t="s">
        <v>6</v>
      </c>
      <c r="BR223" s="739"/>
      <c r="BS223" s="740"/>
      <c r="BT223" s="739"/>
      <c r="BU223" s="740"/>
      <c r="BV223" s="739"/>
      <c r="BW223" s="740"/>
      <c r="BX223" s="739"/>
      <c r="BY223" s="740"/>
      <c r="BZ223" s="739"/>
      <c r="CA223" s="740"/>
      <c r="CB223" s="739"/>
      <c r="CC223" s="740"/>
      <c r="CD223" s="739"/>
      <c r="CE223" s="740"/>
      <c r="CF223" s="739"/>
      <c r="CG223" s="740"/>
      <c r="CH223" s="739"/>
      <c r="CI223" s="740"/>
      <c r="CJ223" s="739"/>
      <c r="CK223" s="740"/>
      <c r="CL223" s="748" t="s">
        <v>6</v>
      </c>
      <c r="CN223" s="713"/>
      <c r="CO223" s="726"/>
    </row>
    <row r="224" spans="2:93">
      <c r="B224" s="161"/>
      <c r="C224" s="106" t="s">
        <v>439</v>
      </c>
      <c r="D224" s="126" t="s">
        <v>135</v>
      </c>
      <c r="E224" s="589"/>
      <c r="F224" s="589"/>
      <c r="G224" s="589"/>
      <c r="H224" s="589"/>
      <c r="I224" s="589"/>
      <c r="J224" s="589"/>
      <c r="K224" s="589"/>
      <c r="L224" s="589"/>
      <c r="M224" s="101"/>
      <c r="N224" s="163"/>
      <c r="O224" s="101"/>
      <c r="P224" s="577"/>
      <c r="Q224" s="162"/>
      <c r="T224" s="738" t="s">
        <v>6</v>
      </c>
      <c r="U224" s="739"/>
      <c r="V224" s="740"/>
      <c r="W224" s="739" t="s">
        <v>6</v>
      </c>
      <c r="X224" s="740"/>
      <c r="Y224" s="739"/>
      <c r="Z224" s="740" t="s">
        <v>6</v>
      </c>
      <c r="AA224" s="739"/>
      <c r="AB224" s="740"/>
      <c r="AC224" s="739" t="s">
        <v>6</v>
      </c>
      <c r="AD224" s="740"/>
      <c r="AE224" s="739"/>
      <c r="AF224" s="740" t="s">
        <v>6</v>
      </c>
      <c r="AG224" s="739"/>
      <c r="AH224" s="741"/>
      <c r="AK224" s="738" t="s">
        <v>6</v>
      </c>
      <c r="AL224" s="739"/>
      <c r="AM224" s="740"/>
      <c r="AN224" s="739"/>
      <c r="AO224" s="740"/>
      <c r="AP224" s="739"/>
      <c r="AQ224" s="740"/>
      <c r="AR224" s="739"/>
      <c r="AS224" s="740"/>
      <c r="AT224" s="739"/>
      <c r="AU224" s="740"/>
      <c r="AV224" s="739"/>
      <c r="AW224" s="740"/>
      <c r="AX224" s="739"/>
      <c r="AY224" s="740"/>
      <c r="AZ224" s="739"/>
      <c r="BA224" s="740"/>
      <c r="BB224" s="739"/>
      <c r="BC224" s="740" t="s">
        <v>6</v>
      </c>
      <c r="BD224" s="739"/>
      <c r="BE224" s="740"/>
      <c r="BF224" s="739"/>
      <c r="BG224" s="740"/>
      <c r="BH224" s="739"/>
      <c r="BI224" s="740"/>
      <c r="BJ224" s="739" t="s">
        <v>6</v>
      </c>
      <c r="BK224" s="740"/>
      <c r="BL224" s="739"/>
      <c r="BM224" s="740"/>
      <c r="BN224" s="739"/>
      <c r="BO224" s="740"/>
      <c r="BP224" s="739"/>
      <c r="BQ224" s="740" t="s">
        <v>6</v>
      </c>
      <c r="BR224" s="739"/>
      <c r="BS224" s="740"/>
      <c r="BT224" s="739"/>
      <c r="BU224" s="740"/>
      <c r="BV224" s="739"/>
      <c r="BW224" s="740"/>
      <c r="BX224" s="739"/>
      <c r="BY224" s="740"/>
      <c r="BZ224" s="739"/>
      <c r="CA224" s="740"/>
      <c r="CB224" s="739"/>
      <c r="CC224" s="740"/>
      <c r="CD224" s="739"/>
      <c r="CE224" s="740"/>
      <c r="CF224" s="739"/>
      <c r="CG224" s="740"/>
      <c r="CH224" s="739"/>
      <c r="CI224" s="740"/>
      <c r="CJ224" s="739"/>
      <c r="CK224" s="740"/>
      <c r="CL224" s="748" t="s">
        <v>6</v>
      </c>
      <c r="CN224" s="713"/>
      <c r="CO224" s="726"/>
    </row>
    <row r="225" spans="2:93">
      <c r="B225" s="161"/>
      <c r="C225" s="106" t="s">
        <v>440</v>
      </c>
      <c r="D225" s="126" t="s">
        <v>135</v>
      </c>
      <c r="E225" s="589"/>
      <c r="F225" s="589"/>
      <c r="G225" s="589"/>
      <c r="H225" s="589"/>
      <c r="I225" s="589"/>
      <c r="J225" s="589"/>
      <c r="K225" s="589"/>
      <c r="L225" s="589"/>
      <c r="M225" s="101"/>
      <c r="N225" s="163"/>
      <c r="O225" s="101"/>
      <c r="P225" s="577"/>
      <c r="Q225" s="162"/>
      <c r="T225" s="738" t="s">
        <v>6</v>
      </c>
      <c r="U225" s="739"/>
      <c r="V225" s="740"/>
      <c r="W225" s="739" t="s">
        <v>6</v>
      </c>
      <c r="X225" s="740"/>
      <c r="Y225" s="739"/>
      <c r="Z225" s="740" t="s">
        <v>6</v>
      </c>
      <c r="AA225" s="739"/>
      <c r="AB225" s="740"/>
      <c r="AC225" s="739" t="s">
        <v>6</v>
      </c>
      <c r="AD225" s="740"/>
      <c r="AE225" s="739"/>
      <c r="AF225" s="740" t="s">
        <v>6</v>
      </c>
      <c r="AG225" s="739"/>
      <c r="AH225" s="741"/>
      <c r="AK225" s="738" t="s">
        <v>6</v>
      </c>
      <c r="AL225" s="739"/>
      <c r="AM225" s="740"/>
      <c r="AN225" s="739"/>
      <c r="AO225" s="740"/>
      <c r="AP225" s="739"/>
      <c r="AQ225" s="740"/>
      <c r="AR225" s="739"/>
      <c r="AS225" s="740"/>
      <c r="AT225" s="739"/>
      <c r="AU225" s="740"/>
      <c r="AV225" s="739"/>
      <c r="AW225" s="740"/>
      <c r="AX225" s="739"/>
      <c r="AY225" s="740"/>
      <c r="AZ225" s="739"/>
      <c r="BA225" s="740"/>
      <c r="BB225" s="739"/>
      <c r="BC225" s="740" t="s">
        <v>6</v>
      </c>
      <c r="BD225" s="739"/>
      <c r="BE225" s="740"/>
      <c r="BF225" s="739"/>
      <c r="BG225" s="740"/>
      <c r="BH225" s="739"/>
      <c r="BI225" s="740"/>
      <c r="BJ225" s="739" t="s">
        <v>6</v>
      </c>
      <c r="BK225" s="740"/>
      <c r="BL225" s="739"/>
      <c r="BM225" s="740"/>
      <c r="BN225" s="739"/>
      <c r="BO225" s="740"/>
      <c r="BP225" s="739"/>
      <c r="BQ225" s="740" t="s">
        <v>6</v>
      </c>
      <c r="BR225" s="739"/>
      <c r="BS225" s="740"/>
      <c r="BT225" s="739"/>
      <c r="BU225" s="740"/>
      <c r="BV225" s="739"/>
      <c r="BW225" s="740"/>
      <c r="BX225" s="739"/>
      <c r="BY225" s="740"/>
      <c r="BZ225" s="739"/>
      <c r="CA225" s="740"/>
      <c r="CB225" s="739"/>
      <c r="CC225" s="740"/>
      <c r="CD225" s="739"/>
      <c r="CE225" s="740"/>
      <c r="CF225" s="739"/>
      <c r="CG225" s="740"/>
      <c r="CH225" s="739"/>
      <c r="CI225" s="740"/>
      <c r="CJ225" s="739"/>
      <c r="CK225" s="740"/>
      <c r="CL225" s="748" t="s">
        <v>6</v>
      </c>
      <c r="CN225" s="713"/>
      <c r="CO225" s="726"/>
    </row>
    <row r="226" spans="2:93">
      <c r="B226" s="161"/>
      <c r="C226" s="106" t="s">
        <v>441</v>
      </c>
      <c r="D226" s="126" t="s">
        <v>135</v>
      </c>
      <c r="E226" s="589"/>
      <c r="F226" s="589"/>
      <c r="G226" s="589"/>
      <c r="H226" s="589"/>
      <c r="I226" s="589"/>
      <c r="J226" s="589"/>
      <c r="K226" s="589"/>
      <c r="L226" s="589"/>
      <c r="M226" s="101"/>
      <c r="N226" s="163"/>
      <c r="O226" s="101"/>
      <c r="P226" s="577"/>
      <c r="Q226" s="162"/>
      <c r="T226" s="738" t="s">
        <v>6</v>
      </c>
      <c r="U226" s="739"/>
      <c r="V226" s="740"/>
      <c r="W226" s="739" t="s">
        <v>6</v>
      </c>
      <c r="X226" s="740"/>
      <c r="Y226" s="739"/>
      <c r="Z226" s="740" t="s">
        <v>6</v>
      </c>
      <c r="AA226" s="739"/>
      <c r="AB226" s="740"/>
      <c r="AC226" s="739" t="s">
        <v>6</v>
      </c>
      <c r="AD226" s="740"/>
      <c r="AE226" s="739"/>
      <c r="AF226" s="740" t="s">
        <v>6</v>
      </c>
      <c r="AG226" s="739"/>
      <c r="AH226" s="741"/>
      <c r="AK226" s="738" t="s">
        <v>6</v>
      </c>
      <c r="AL226" s="739"/>
      <c r="AM226" s="740"/>
      <c r="AN226" s="739"/>
      <c r="AO226" s="740"/>
      <c r="AP226" s="739"/>
      <c r="AQ226" s="740"/>
      <c r="AR226" s="739"/>
      <c r="AS226" s="740"/>
      <c r="AT226" s="739"/>
      <c r="AU226" s="740"/>
      <c r="AV226" s="739"/>
      <c r="AW226" s="740"/>
      <c r="AX226" s="739"/>
      <c r="AY226" s="740"/>
      <c r="AZ226" s="739"/>
      <c r="BA226" s="740"/>
      <c r="BB226" s="739"/>
      <c r="BC226" s="740" t="s">
        <v>6</v>
      </c>
      <c r="BD226" s="739"/>
      <c r="BE226" s="740"/>
      <c r="BF226" s="739"/>
      <c r="BG226" s="740"/>
      <c r="BH226" s="739"/>
      <c r="BI226" s="740"/>
      <c r="BJ226" s="739" t="s">
        <v>6</v>
      </c>
      <c r="BK226" s="740"/>
      <c r="BL226" s="739"/>
      <c r="BM226" s="740"/>
      <c r="BN226" s="739"/>
      <c r="BO226" s="740"/>
      <c r="BP226" s="739"/>
      <c r="BQ226" s="740" t="s">
        <v>6</v>
      </c>
      <c r="BR226" s="739"/>
      <c r="BS226" s="740"/>
      <c r="BT226" s="739"/>
      <c r="BU226" s="740"/>
      <c r="BV226" s="739"/>
      <c r="BW226" s="740"/>
      <c r="BX226" s="739"/>
      <c r="BY226" s="740"/>
      <c r="BZ226" s="739"/>
      <c r="CA226" s="740"/>
      <c r="CB226" s="739"/>
      <c r="CC226" s="740"/>
      <c r="CD226" s="739"/>
      <c r="CE226" s="740"/>
      <c r="CF226" s="739"/>
      <c r="CG226" s="740"/>
      <c r="CH226" s="739"/>
      <c r="CI226" s="740"/>
      <c r="CJ226" s="739"/>
      <c r="CK226" s="740"/>
      <c r="CL226" s="748" t="s">
        <v>6</v>
      </c>
      <c r="CN226" s="713"/>
      <c r="CO226" s="726"/>
    </row>
    <row r="227" spans="2:93">
      <c r="B227" s="161"/>
      <c r="C227" s="106" t="s">
        <v>442</v>
      </c>
      <c r="D227" s="126" t="s">
        <v>135</v>
      </c>
      <c r="E227" s="589"/>
      <c r="F227" s="589"/>
      <c r="G227" s="589"/>
      <c r="H227" s="589"/>
      <c r="I227" s="589"/>
      <c r="J227" s="589"/>
      <c r="K227" s="589"/>
      <c r="L227" s="589"/>
      <c r="M227" s="101"/>
      <c r="N227" s="163"/>
      <c r="O227" s="101"/>
      <c r="P227" s="577"/>
      <c r="Q227" s="162"/>
      <c r="T227" s="738" t="s">
        <v>6</v>
      </c>
      <c r="U227" s="739"/>
      <c r="V227" s="740"/>
      <c r="W227" s="739" t="s">
        <v>6</v>
      </c>
      <c r="X227" s="740"/>
      <c r="Y227" s="739"/>
      <c r="Z227" s="740" t="s">
        <v>6</v>
      </c>
      <c r="AA227" s="739"/>
      <c r="AB227" s="740"/>
      <c r="AC227" s="739" t="s">
        <v>6</v>
      </c>
      <c r="AD227" s="740"/>
      <c r="AE227" s="739"/>
      <c r="AF227" s="740" t="s">
        <v>6</v>
      </c>
      <c r="AG227" s="739"/>
      <c r="AH227" s="741"/>
      <c r="AK227" s="738" t="s">
        <v>6</v>
      </c>
      <c r="AL227" s="739"/>
      <c r="AM227" s="740"/>
      <c r="AN227" s="739"/>
      <c r="AO227" s="740"/>
      <c r="AP227" s="739"/>
      <c r="AQ227" s="740"/>
      <c r="AR227" s="739"/>
      <c r="AS227" s="740"/>
      <c r="AT227" s="739"/>
      <c r="AU227" s="740"/>
      <c r="AV227" s="739"/>
      <c r="AW227" s="740"/>
      <c r="AX227" s="739"/>
      <c r="AY227" s="740"/>
      <c r="AZ227" s="739"/>
      <c r="BA227" s="740"/>
      <c r="BB227" s="739"/>
      <c r="BC227" s="740" t="s">
        <v>6</v>
      </c>
      <c r="BD227" s="739"/>
      <c r="BE227" s="740"/>
      <c r="BF227" s="739"/>
      <c r="BG227" s="740"/>
      <c r="BH227" s="739"/>
      <c r="BI227" s="740"/>
      <c r="BJ227" s="739" t="s">
        <v>6</v>
      </c>
      <c r="BK227" s="740"/>
      <c r="BL227" s="739"/>
      <c r="BM227" s="740"/>
      <c r="BN227" s="739"/>
      <c r="BO227" s="740"/>
      <c r="BP227" s="739"/>
      <c r="BQ227" s="740" t="s">
        <v>6</v>
      </c>
      <c r="BR227" s="739"/>
      <c r="BS227" s="740"/>
      <c r="BT227" s="739"/>
      <c r="BU227" s="740"/>
      <c r="BV227" s="739"/>
      <c r="BW227" s="740"/>
      <c r="BX227" s="739"/>
      <c r="BY227" s="740"/>
      <c r="BZ227" s="739"/>
      <c r="CA227" s="740"/>
      <c r="CB227" s="739"/>
      <c r="CC227" s="740"/>
      <c r="CD227" s="739"/>
      <c r="CE227" s="740"/>
      <c r="CF227" s="739"/>
      <c r="CG227" s="740"/>
      <c r="CH227" s="739"/>
      <c r="CI227" s="740"/>
      <c r="CJ227" s="739"/>
      <c r="CK227" s="740"/>
      <c r="CL227" s="748" t="s">
        <v>6</v>
      </c>
      <c r="CN227" s="713"/>
      <c r="CO227" s="726"/>
    </row>
    <row r="228" spans="2:93">
      <c r="B228" s="161"/>
      <c r="C228" s="106" t="s">
        <v>443</v>
      </c>
      <c r="D228" s="126" t="s">
        <v>135</v>
      </c>
      <c r="E228" s="589"/>
      <c r="F228" s="589"/>
      <c r="G228" s="589"/>
      <c r="H228" s="589"/>
      <c r="I228" s="589"/>
      <c r="J228" s="589"/>
      <c r="K228" s="589"/>
      <c r="L228" s="589"/>
      <c r="M228" s="101"/>
      <c r="N228" s="163"/>
      <c r="O228" s="101"/>
      <c r="P228" s="577"/>
      <c r="Q228" s="162"/>
      <c r="T228" s="738" t="s">
        <v>6</v>
      </c>
      <c r="U228" s="739"/>
      <c r="V228" s="740"/>
      <c r="W228" s="739" t="s">
        <v>6</v>
      </c>
      <c r="X228" s="740"/>
      <c r="Y228" s="739"/>
      <c r="Z228" s="740" t="s">
        <v>6</v>
      </c>
      <c r="AA228" s="739"/>
      <c r="AB228" s="740"/>
      <c r="AC228" s="739" t="s">
        <v>6</v>
      </c>
      <c r="AD228" s="740"/>
      <c r="AE228" s="739"/>
      <c r="AF228" s="740" t="s">
        <v>6</v>
      </c>
      <c r="AG228" s="739"/>
      <c r="AH228" s="741"/>
      <c r="AK228" s="738" t="s">
        <v>6</v>
      </c>
      <c r="AL228" s="739"/>
      <c r="AM228" s="740"/>
      <c r="AN228" s="739"/>
      <c r="AO228" s="740"/>
      <c r="AP228" s="739"/>
      <c r="AQ228" s="740"/>
      <c r="AR228" s="739"/>
      <c r="AS228" s="740"/>
      <c r="AT228" s="739"/>
      <c r="AU228" s="740"/>
      <c r="AV228" s="739"/>
      <c r="AW228" s="740"/>
      <c r="AX228" s="739"/>
      <c r="AY228" s="740"/>
      <c r="AZ228" s="739"/>
      <c r="BA228" s="740"/>
      <c r="BB228" s="739"/>
      <c r="BC228" s="740" t="s">
        <v>6</v>
      </c>
      <c r="BD228" s="739"/>
      <c r="BE228" s="740"/>
      <c r="BF228" s="739"/>
      <c r="BG228" s="740"/>
      <c r="BH228" s="739"/>
      <c r="BI228" s="740"/>
      <c r="BJ228" s="739" t="s">
        <v>6</v>
      </c>
      <c r="BK228" s="740"/>
      <c r="BL228" s="739"/>
      <c r="BM228" s="740"/>
      <c r="BN228" s="739"/>
      <c r="BO228" s="740"/>
      <c r="BP228" s="739"/>
      <c r="BQ228" s="740" t="s">
        <v>6</v>
      </c>
      <c r="BR228" s="739"/>
      <c r="BS228" s="740"/>
      <c r="BT228" s="739"/>
      <c r="BU228" s="740"/>
      <c r="BV228" s="739"/>
      <c r="BW228" s="740"/>
      <c r="BX228" s="739"/>
      <c r="BY228" s="740"/>
      <c r="BZ228" s="739"/>
      <c r="CA228" s="740"/>
      <c r="CB228" s="739"/>
      <c r="CC228" s="740"/>
      <c r="CD228" s="739"/>
      <c r="CE228" s="740"/>
      <c r="CF228" s="739"/>
      <c r="CG228" s="740"/>
      <c r="CH228" s="739"/>
      <c r="CI228" s="740"/>
      <c r="CJ228" s="739"/>
      <c r="CK228" s="740"/>
      <c r="CL228" s="748" t="s">
        <v>6</v>
      </c>
      <c r="CN228" s="713"/>
      <c r="CO228" s="726"/>
    </row>
    <row r="229" spans="2:93">
      <c r="B229" s="161"/>
      <c r="C229" s="106" t="s">
        <v>444</v>
      </c>
      <c r="D229" s="126" t="s">
        <v>135</v>
      </c>
      <c r="E229" s="589"/>
      <c r="F229" s="589"/>
      <c r="G229" s="589"/>
      <c r="H229" s="589"/>
      <c r="I229" s="589"/>
      <c r="J229" s="589"/>
      <c r="K229" s="589"/>
      <c r="L229" s="589"/>
      <c r="M229" s="101"/>
      <c r="N229" s="163"/>
      <c r="O229" s="101"/>
      <c r="P229" s="577"/>
      <c r="Q229" s="162"/>
      <c r="T229" s="738" t="s">
        <v>6</v>
      </c>
      <c r="U229" s="739"/>
      <c r="V229" s="740"/>
      <c r="W229" s="739" t="s">
        <v>6</v>
      </c>
      <c r="X229" s="740"/>
      <c r="Y229" s="739"/>
      <c r="Z229" s="740" t="s">
        <v>6</v>
      </c>
      <c r="AA229" s="739"/>
      <c r="AB229" s="740"/>
      <c r="AC229" s="739" t="s">
        <v>6</v>
      </c>
      <c r="AD229" s="740"/>
      <c r="AE229" s="739"/>
      <c r="AF229" s="740" t="s">
        <v>6</v>
      </c>
      <c r="AG229" s="739"/>
      <c r="AH229" s="741"/>
      <c r="AK229" s="738" t="s">
        <v>6</v>
      </c>
      <c r="AL229" s="739"/>
      <c r="AM229" s="740"/>
      <c r="AN229" s="739"/>
      <c r="AO229" s="740"/>
      <c r="AP229" s="739"/>
      <c r="AQ229" s="740"/>
      <c r="AR229" s="739"/>
      <c r="AS229" s="740"/>
      <c r="AT229" s="739"/>
      <c r="AU229" s="740"/>
      <c r="AV229" s="739"/>
      <c r="AW229" s="740"/>
      <c r="AX229" s="739"/>
      <c r="AY229" s="740"/>
      <c r="AZ229" s="739"/>
      <c r="BA229" s="740"/>
      <c r="BB229" s="739"/>
      <c r="BC229" s="740" t="s">
        <v>6</v>
      </c>
      <c r="BD229" s="739"/>
      <c r="BE229" s="740"/>
      <c r="BF229" s="739"/>
      <c r="BG229" s="740"/>
      <c r="BH229" s="739"/>
      <c r="BI229" s="740"/>
      <c r="BJ229" s="739" t="s">
        <v>6</v>
      </c>
      <c r="BK229" s="740"/>
      <c r="BL229" s="739"/>
      <c r="BM229" s="740"/>
      <c r="BN229" s="739"/>
      <c r="BO229" s="740"/>
      <c r="BP229" s="739"/>
      <c r="BQ229" s="740" t="s">
        <v>6</v>
      </c>
      <c r="BR229" s="739"/>
      <c r="BS229" s="740"/>
      <c r="BT229" s="739"/>
      <c r="BU229" s="740"/>
      <c r="BV229" s="739"/>
      <c r="BW229" s="740"/>
      <c r="BX229" s="739"/>
      <c r="BY229" s="740"/>
      <c r="BZ229" s="739"/>
      <c r="CA229" s="740"/>
      <c r="CB229" s="739"/>
      <c r="CC229" s="740"/>
      <c r="CD229" s="739"/>
      <c r="CE229" s="740"/>
      <c r="CF229" s="739"/>
      <c r="CG229" s="740"/>
      <c r="CH229" s="739"/>
      <c r="CI229" s="740"/>
      <c r="CJ229" s="739"/>
      <c r="CK229" s="740"/>
      <c r="CL229" s="748" t="s">
        <v>6</v>
      </c>
      <c r="CN229" s="713"/>
      <c r="CO229" s="726"/>
    </row>
    <row r="230" spans="2:93">
      <c r="B230" s="161"/>
      <c r="C230" s="106" t="s">
        <v>445</v>
      </c>
      <c r="D230" s="126" t="s">
        <v>135</v>
      </c>
      <c r="E230" s="589"/>
      <c r="F230" s="589"/>
      <c r="G230" s="589"/>
      <c r="H230" s="589"/>
      <c r="I230" s="589"/>
      <c r="J230" s="589"/>
      <c r="K230" s="589"/>
      <c r="L230" s="589"/>
      <c r="M230" s="101"/>
      <c r="N230" s="163"/>
      <c r="O230" s="101"/>
      <c r="P230" s="577"/>
      <c r="Q230" s="162"/>
      <c r="T230" s="738" t="s">
        <v>6</v>
      </c>
      <c r="U230" s="739"/>
      <c r="V230" s="740"/>
      <c r="W230" s="739" t="s">
        <v>6</v>
      </c>
      <c r="X230" s="740"/>
      <c r="Y230" s="739"/>
      <c r="Z230" s="740" t="s">
        <v>6</v>
      </c>
      <c r="AA230" s="739"/>
      <c r="AB230" s="740"/>
      <c r="AC230" s="739" t="s">
        <v>6</v>
      </c>
      <c r="AD230" s="740"/>
      <c r="AE230" s="739"/>
      <c r="AF230" s="740" t="s">
        <v>6</v>
      </c>
      <c r="AG230" s="739"/>
      <c r="AH230" s="741"/>
      <c r="AK230" s="738" t="s">
        <v>6</v>
      </c>
      <c r="AL230" s="739"/>
      <c r="AM230" s="740"/>
      <c r="AN230" s="739"/>
      <c r="AO230" s="740"/>
      <c r="AP230" s="739"/>
      <c r="AQ230" s="740"/>
      <c r="AR230" s="739"/>
      <c r="AS230" s="740"/>
      <c r="AT230" s="739"/>
      <c r="AU230" s="740"/>
      <c r="AV230" s="739"/>
      <c r="AW230" s="740"/>
      <c r="AX230" s="739"/>
      <c r="AY230" s="740"/>
      <c r="AZ230" s="739"/>
      <c r="BA230" s="740"/>
      <c r="BB230" s="739"/>
      <c r="BC230" s="740" t="s">
        <v>6</v>
      </c>
      <c r="BD230" s="739"/>
      <c r="BE230" s="740"/>
      <c r="BF230" s="739"/>
      <c r="BG230" s="740"/>
      <c r="BH230" s="739"/>
      <c r="BI230" s="740"/>
      <c r="BJ230" s="739" t="s">
        <v>6</v>
      </c>
      <c r="BK230" s="740"/>
      <c r="BL230" s="739"/>
      <c r="BM230" s="740"/>
      <c r="BN230" s="739"/>
      <c r="BO230" s="740"/>
      <c r="BP230" s="739"/>
      <c r="BQ230" s="740" t="s">
        <v>6</v>
      </c>
      <c r="BR230" s="739"/>
      <c r="BS230" s="740"/>
      <c r="BT230" s="739"/>
      <c r="BU230" s="740"/>
      <c r="BV230" s="739"/>
      <c r="BW230" s="740"/>
      <c r="BX230" s="739"/>
      <c r="BY230" s="740"/>
      <c r="BZ230" s="739"/>
      <c r="CA230" s="740"/>
      <c r="CB230" s="739"/>
      <c r="CC230" s="740"/>
      <c r="CD230" s="739"/>
      <c r="CE230" s="740"/>
      <c r="CF230" s="739"/>
      <c r="CG230" s="740"/>
      <c r="CH230" s="739"/>
      <c r="CI230" s="740"/>
      <c r="CJ230" s="739"/>
      <c r="CK230" s="740"/>
      <c r="CL230" s="748" t="s">
        <v>6</v>
      </c>
      <c r="CN230" s="713"/>
      <c r="CO230" s="726"/>
    </row>
    <row r="231" spans="2:93">
      <c r="B231" s="161"/>
      <c r="C231" s="106" t="s">
        <v>446</v>
      </c>
      <c r="D231" s="126" t="s">
        <v>135</v>
      </c>
      <c r="E231" s="589"/>
      <c r="F231" s="589"/>
      <c r="G231" s="589"/>
      <c r="H231" s="589"/>
      <c r="I231" s="589"/>
      <c r="J231" s="589"/>
      <c r="K231" s="589"/>
      <c r="L231" s="589"/>
      <c r="M231" s="167"/>
      <c r="N231" s="163"/>
      <c r="O231" s="167"/>
      <c r="P231" s="577"/>
      <c r="Q231" s="162"/>
      <c r="T231" s="738" t="s">
        <v>6</v>
      </c>
      <c r="U231" s="739"/>
      <c r="V231" s="740"/>
      <c r="W231" s="739" t="s">
        <v>6</v>
      </c>
      <c r="X231" s="740"/>
      <c r="Y231" s="739"/>
      <c r="Z231" s="740" t="s">
        <v>6</v>
      </c>
      <c r="AA231" s="739"/>
      <c r="AB231" s="740"/>
      <c r="AC231" s="739" t="s">
        <v>6</v>
      </c>
      <c r="AD231" s="740"/>
      <c r="AE231" s="739"/>
      <c r="AF231" s="740" t="s">
        <v>6</v>
      </c>
      <c r="AG231" s="739"/>
      <c r="AH231" s="741"/>
      <c r="AK231" s="738" t="s">
        <v>6</v>
      </c>
      <c r="AL231" s="739"/>
      <c r="AM231" s="740"/>
      <c r="AN231" s="739"/>
      <c r="AO231" s="740"/>
      <c r="AP231" s="739"/>
      <c r="AQ231" s="740"/>
      <c r="AR231" s="739"/>
      <c r="AS231" s="740"/>
      <c r="AT231" s="739"/>
      <c r="AU231" s="740"/>
      <c r="AV231" s="739"/>
      <c r="AW231" s="740"/>
      <c r="AX231" s="739"/>
      <c r="AY231" s="740"/>
      <c r="AZ231" s="739"/>
      <c r="BA231" s="740"/>
      <c r="BB231" s="739"/>
      <c r="BC231" s="740" t="s">
        <v>6</v>
      </c>
      <c r="BD231" s="739"/>
      <c r="BE231" s="740"/>
      <c r="BF231" s="739"/>
      <c r="BG231" s="740"/>
      <c r="BH231" s="739"/>
      <c r="BI231" s="740"/>
      <c r="BJ231" s="739" t="s">
        <v>6</v>
      </c>
      <c r="BK231" s="740"/>
      <c r="BL231" s="739"/>
      <c r="BM231" s="740"/>
      <c r="BN231" s="739"/>
      <c r="BO231" s="740"/>
      <c r="BP231" s="739"/>
      <c r="BQ231" s="740" t="s">
        <v>6</v>
      </c>
      <c r="BR231" s="739"/>
      <c r="BS231" s="740"/>
      <c r="BT231" s="739"/>
      <c r="BU231" s="740"/>
      <c r="BV231" s="739"/>
      <c r="BW231" s="740"/>
      <c r="BX231" s="739"/>
      <c r="BY231" s="740"/>
      <c r="BZ231" s="739"/>
      <c r="CA231" s="740"/>
      <c r="CB231" s="739"/>
      <c r="CC231" s="740"/>
      <c r="CD231" s="739"/>
      <c r="CE231" s="740"/>
      <c r="CF231" s="739"/>
      <c r="CG231" s="740"/>
      <c r="CH231" s="739"/>
      <c r="CI231" s="740"/>
      <c r="CJ231" s="739"/>
      <c r="CK231" s="740"/>
      <c r="CL231" s="748" t="s">
        <v>6</v>
      </c>
      <c r="CN231" s="713"/>
      <c r="CO231" s="726"/>
    </row>
    <row r="232" spans="2:93">
      <c r="B232" s="161"/>
      <c r="C232" s="106" t="s">
        <v>447</v>
      </c>
      <c r="D232" s="126" t="s">
        <v>135</v>
      </c>
      <c r="E232" s="589"/>
      <c r="F232" s="589"/>
      <c r="G232" s="589"/>
      <c r="H232" s="589"/>
      <c r="I232" s="589"/>
      <c r="J232" s="589"/>
      <c r="K232" s="589"/>
      <c r="L232" s="589"/>
      <c r="M232" s="167"/>
      <c r="N232" s="163"/>
      <c r="O232" s="167"/>
      <c r="P232" s="577"/>
      <c r="Q232" s="162"/>
      <c r="T232" s="738" t="s">
        <v>6</v>
      </c>
      <c r="U232" s="739"/>
      <c r="V232" s="740"/>
      <c r="W232" s="739" t="s">
        <v>6</v>
      </c>
      <c r="X232" s="740"/>
      <c r="Y232" s="739"/>
      <c r="Z232" s="740" t="s">
        <v>6</v>
      </c>
      <c r="AA232" s="739"/>
      <c r="AB232" s="740"/>
      <c r="AC232" s="739" t="s">
        <v>6</v>
      </c>
      <c r="AD232" s="740"/>
      <c r="AE232" s="739"/>
      <c r="AF232" s="740" t="s">
        <v>6</v>
      </c>
      <c r="AG232" s="739"/>
      <c r="AH232" s="741"/>
      <c r="AK232" s="738" t="s">
        <v>6</v>
      </c>
      <c r="AL232" s="739"/>
      <c r="AM232" s="740"/>
      <c r="AN232" s="739"/>
      <c r="AO232" s="740"/>
      <c r="AP232" s="739"/>
      <c r="AQ232" s="740"/>
      <c r="AR232" s="739"/>
      <c r="AS232" s="740"/>
      <c r="AT232" s="739"/>
      <c r="AU232" s="740"/>
      <c r="AV232" s="739"/>
      <c r="AW232" s="740"/>
      <c r="AX232" s="739"/>
      <c r="AY232" s="740"/>
      <c r="AZ232" s="739"/>
      <c r="BA232" s="740"/>
      <c r="BB232" s="739"/>
      <c r="BC232" s="740" t="s">
        <v>6</v>
      </c>
      <c r="BD232" s="739"/>
      <c r="BE232" s="740"/>
      <c r="BF232" s="739"/>
      <c r="BG232" s="740"/>
      <c r="BH232" s="739"/>
      <c r="BI232" s="740"/>
      <c r="BJ232" s="739" t="s">
        <v>6</v>
      </c>
      <c r="BK232" s="740"/>
      <c r="BL232" s="739"/>
      <c r="BM232" s="740"/>
      <c r="BN232" s="739"/>
      <c r="BO232" s="740"/>
      <c r="BP232" s="739"/>
      <c r="BQ232" s="740" t="s">
        <v>6</v>
      </c>
      <c r="BR232" s="739"/>
      <c r="BS232" s="740"/>
      <c r="BT232" s="739"/>
      <c r="BU232" s="740"/>
      <c r="BV232" s="739"/>
      <c r="BW232" s="740"/>
      <c r="BX232" s="739"/>
      <c r="BY232" s="740"/>
      <c r="BZ232" s="739"/>
      <c r="CA232" s="740"/>
      <c r="CB232" s="739"/>
      <c r="CC232" s="740"/>
      <c r="CD232" s="739"/>
      <c r="CE232" s="740"/>
      <c r="CF232" s="739"/>
      <c r="CG232" s="740"/>
      <c r="CH232" s="739"/>
      <c r="CI232" s="740"/>
      <c r="CJ232" s="739"/>
      <c r="CK232" s="740"/>
      <c r="CL232" s="748" t="s">
        <v>6</v>
      </c>
      <c r="CN232" s="713"/>
      <c r="CO232" s="726"/>
    </row>
    <row r="233" spans="2:93">
      <c r="B233" s="161"/>
      <c r="C233" s="106" t="s">
        <v>448</v>
      </c>
      <c r="D233" s="126" t="s">
        <v>135</v>
      </c>
      <c r="E233" s="589"/>
      <c r="F233" s="589"/>
      <c r="G233" s="589"/>
      <c r="H233" s="589"/>
      <c r="I233" s="589"/>
      <c r="J233" s="589"/>
      <c r="K233" s="589"/>
      <c r="L233" s="589"/>
      <c r="M233" s="167"/>
      <c r="N233" s="163"/>
      <c r="O233" s="167"/>
      <c r="P233" s="577"/>
      <c r="Q233" s="162"/>
      <c r="T233" s="738" t="s">
        <v>6</v>
      </c>
      <c r="U233" s="739"/>
      <c r="V233" s="740"/>
      <c r="W233" s="739" t="s">
        <v>6</v>
      </c>
      <c r="X233" s="740"/>
      <c r="Y233" s="739"/>
      <c r="Z233" s="740" t="s">
        <v>6</v>
      </c>
      <c r="AA233" s="739"/>
      <c r="AB233" s="740"/>
      <c r="AC233" s="739" t="s">
        <v>6</v>
      </c>
      <c r="AD233" s="740"/>
      <c r="AE233" s="739"/>
      <c r="AF233" s="740" t="s">
        <v>6</v>
      </c>
      <c r="AG233" s="739"/>
      <c r="AH233" s="741"/>
      <c r="AK233" s="738" t="s">
        <v>6</v>
      </c>
      <c r="AL233" s="739"/>
      <c r="AM233" s="740"/>
      <c r="AN233" s="739"/>
      <c r="AO233" s="740"/>
      <c r="AP233" s="739"/>
      <c r="AQ233" s="740"/>
      <c r="AR233" s="739"/>
      <c r="AS233" s="740"/>
      <c r="AT233" s="739"/>
      <c r="AU233" s="740"/>
      <c r="AV233" s="739"/>
      <c r="AW233" s="740"/>
      <c r="AX233" s="739"/>
      <c r="AY233" s="740"/>
      <c r="AZ233" s="739"/>
      <c r="BA233" s="740"/>
      <c r="BB233" s="739"/>
      <c r="BC233" s="740" t="s">
        <v>6</v>
      </c>
      <c r="BD233" s="739"/>
      <c r="BE233" s="740"/>
      <c r="BF233" s="739"/>
      <c r="BG233" s="740"/>
      <c r="BH233" s="739"/>
      <c r="BI233" s="740"/>
      <c r="BJ233" s="739" t="s">
        <v>6</v>
      </c>
      <c r="BK233" s="740"/>
      <c r="BL233" s="739"/>
      <c r="BM233" s="740"/>
      <c r="BN233" s="739"/>
      <c r="BO233" s="740"/>
      <c r="BP233" s="739"/>
      <c r="BQ233" s="740" t="s">
        <v>6</v>
      </c>
      <c r="BR233" s="739"/>
      <c r="BS233" s="740"/>
      <c r="BT233" s="739"/>
      <c r="BU233" s="740"/>
      <c r="BV233" s="739"/>
      <c r="BW233" s="740"/>
      <c r="BX233" s="739"/>
      <c r="BY233" s="740"/>
      <c r="BZ233" s="739"/>
      <c r="CA233" s="740"/>
      <c r="CB233" s="739"/>
      <c r="CC233" s="740"/>
      <c r="CD233" s="739"/>
      <c r="CE233" s="740"/>
      <c r="CF233" s="739"/>
      <c r="CG233" s="740"/>
      <c r="CH233" s="739"/>
      <c r="CI233" s="740"/>
      <c r="CJ233" s="739"/>
      <c r="CK233" s="740"/>
      <c r="CL233" s="748" t="s">
        <v>6</v>
      </c>
      <c r="CN233" s="713"/>
      <c r="CO233" s="726"/>
    </row>
    <row r="234" spans="2:93">
      <c r="B234" s="161"/>
      <c r="C234" s="106" t="s">
        <v>449</v>
      </c>
      <c r="D234" s="126" t="s">
        <v>135</v>
      </c>
      <c r="E234" s="589"/>
      <c r="F234" s="589"/>
      <c r="G234" s="589"/>
      <c r="H234" s="589"/>
      <c r="I234" s="589"/>
      <c r="J234" s="589"/>
      <c r="K234" s="589"/>
      <c r="L234" s="589"/>
      <c r="M234" s="167"/>
      <c r="N234" s="163"/>
      <c r="O234" s="167"/>
      <c r="P234" s="577"/>
      <c r="Q234" s="162"/>
      <c r="T234" s="738" t="s">
        <v>6</v>
      </c>
      <c r="U234" s="739"/>
      <c r="V234" s="740"/>
      <c r="W234" s="739" t="s">
        <v>6</v>
      </c>
      <c r="X234" s="740"/>
      <c r="Y234" s="739"/>
      <c r="Z234" s="740" t="s">
        <v>6</v>
      </c>
      <c r="AA234" s="739"/>
      <c r="AB234" s="740"/>
      <c r="AC234" s="739" t="s">
        <v>6</v>
      </c>
      <c r="AD234" s="740"/>
      <c r="AE234" s="739"/>
      <c r="AF234" s="740" t="s">
        <v>6</v>
      </c>
      <c r="AG234" s="739"/>
      <c r="AH234" s="741"/>
      <c r="AK234" s="738" t="s">
        <v>6</v>
      </c>
      <c r="AL234" s="739"/>
      <c r="AM234" s="740"/>
      <c r="AN234" s="739"/>
      <c r="AO234" s="740"/>
      <c r="AP234" s="739"/>
      <c r="AQ234" s="740"/>
      <c r="AR234" s="739"/>
      <c r="AS234" s="740"/>
      <c r="AT234" s="739"/>
      <c r="AU234" s="740"/>
      <c r="AV234" s="739"/>
      <c r="AW234" s="740"/>
      <c r="AX234" s="739"/>
      <c r="AY234" s="740"/>
      <c r="AZ234" s="739"/>
      <c r="BA234" s="740"/>
      <c r="BB234" s="739"/>
      <c r="BC234" s="740" t="s">
        <v>6</v>
      </c>
      <c r="BD234" s="739"/>
      <c r="BE234" s="740"/>
      <c r="BF234" s="739"/>
      <c r="BG234" s="740"/>
      <c r="BH234" s="739"/>
      <c r="BI234" s="740"/>
      <c r="BJ234" s="739" t="s">
        <v>6</v>
      </c>
      <c r="BK234" s="740"/>
      <c r="BL234" s="739"/>
      <c r="BM234" s="740"/>
      <c r="BN234" s="739"/>
      <c r="BO234" s="740"/>
      <c r="BP234" s="739"/>
      <c r="BQ234" s="740" t="s">
        <v>6</v>
      </c>
      <c r="BR234" s="739"/>
      <c r="BS234" s="740"/>
      <c r="BT234" s="739"/>
      <c r="BU234" s="740"/>
      <c r="BV234" s="739"/>
      <c r="BW234" s="740"/>
      <c r="BX234" s="739"/>
      <c r="BY234" s="740"/>
      <c r="BZ234" s="739"/>
      <c r="CA234" s="740"/>
      <c r="CB234" s="739"/>
      <c r="CC234" s="740"/>
      <c r="CD234" s="739"/>
      <c r="CE234" s="740"/>
      <c r="CF234" s="739"/>
      <c r="CG234" s="740"/>
      <c r="CH234" s="739"/>
      <c r="CI234" s="740"/>
      <c r="CJ234" s="739"/>
      <c r="CK234" s="740"/>
      <c r="CL234" s="748" t="s">
        <v>6</v>
      </c>
      <c r="CN234" s="713"/>
      <c r="CO234" s="726"/>
    </row>
    <row r="235" spans="2:93">
      <c r="B235" s="161"/>
      <c r="C235" s="106" t="s">
        <v>450</v>
      </c>
      <c r="D235" s="126" t="s">
        <v>135</v>
      </c>
      <c r="E235" s="589"/>
      <c r="F235" s="589"/>
      <c r="G235" s="589"/>
      <c r="H235" s="589"/>
      <c r="I235" s="589"/>
      <c r="J235" s="589"/>
      <c r="K235" s="589"/>
      <c r="L235" s="589"/>
      <c r="M235" s="167"/>
      <c r="N235" s="163"/>
      <c r="O235" s="167"/>
      <c r="P235" s="577"/>
      <c r="Q235" s="162"/>
      <c r="T235" s="738" t="s">
        <v>6</v>
      </c>
      <c r="U235" s="739"/>
      <c r="V235" s="740"/>
      <c r="W235" s="739" t="s">
        <v>6</v>
      </c>
      <c r="X235" s="740"/>
      <c r="Y235" s="739"/>
      <c r="Z235" s="740" t="s">
        <v>6</v>
      </c>
      <c r="AA235" s="739"/>
      <c r="AB235" s="740"/>
      <c r="AC235" s="739" t="s">
        <v>6</v>
      </c>
      <c r="AD235" s="740"/>
      <c r="AE235" s="739"/>
      <c r="AF235" s="740" t="s">
        <v>6</v>
      </c>
      <c r="AG235" s="739"/>
      <c r="AH235" s="741"/>
      <c r="AK235" s="738" t="s">
        <v>6</v>
      </c>
      <c r="AL235" s="739"/>
      <c r="AM235" s="740"/>
      <c r="AN235" s="739"/>
      <c r="AO235" s="740"/>
      <c r="AP235" s="739"/>
      <c r="AQ235" s="740"/>
      <c r="AR235" s="739"/>
      <c r="AS235" s="740"/>
      <c r="AT235" s="739"/>
      <c r="AU235" s="740"/>
      <c r="AV235" s="739"/>
      <c r="AW235" s="740"/>
      <c r="AX235" s="739"/>
      <c r="AY235" s="740"/>
      <c r="AZ235" s="739"/>
      <c r="BA235" s="740"/>
      <c r="BB235" s="739"/>
      <c r="BC235" s="740" t="s">
        <v>6</v>
      </c>
      <c r="BD235" s="739"/>
      <c r="BE235" s="740"/>
      <c r="BF235" s="739"/>
      <c r="BG235" s="740"/>
      <c r="BH235" s="739"/>
      <c r="BI235" s="740"/>
      <c r="BJ235" s="739" t="s">
        <v>6</v>
      </c>
      <c r="BK235" s="740"/>
      <c r="BL235" s="739"/>
      <c r="BM235" s="740"/>
      <c r="BN235" s="739"/>
      <c r="BO235" s="740"/>
      <c r="BP235" s="739"/>
      <c r="BQ235" s="740" t="s">
        <v>6</v>
      </c>
      <c r="BR235" s="739"/>
      <c r="BS235" s="740"/>
      <c r="BT235" s="739"/>
      <c r="BU235" s="740"/>
      <c r="BV235" s="739"/>
      <c r="BW235" s="740"/>
      <c r="BX235" s="739"/>
      <c r="BY235" s="740"/>
      <c r="BZ235" s="739"/>
      <c r="CA235" s="740"/>
      <c r="CB235" s="739"/>
      <c r="CC235" s="740"/>
      <c r="CD235" s="739"/>
      <c r="CE235" s="740"/>
      <c r="CF235" s="739"/>
      <c r="CG235" s="740"/>
      <c r="CH235" s="739"/>
      <c r="CI235" s="740"/>
      <c r="CJ235" s="739"/>
      <c r="CK235" s="740"/>
      <c r="CL235" s="748" t="s">
        <v>6</v>
      </c>
      <c r="CN235" s="713"/>
      <c r="CO235" s="726"/>
    </row>
    <row r="236" spans="2:93">
      <c r="B236" s="161"/>
      <c r="C236" s="106" t="s">
        <v>451</v>
      </c>
      <c r="D236" s="126" t="s">
        <v>135</v>
      </c>
      <c r="E236" s="589"/>
      <c r="F236" s="589"/>
      <c r="G236" s="589"/>
      <c r="H236" s="589"/>
      <c r="I236" s="589"/>
      <c r="J236" s="589"/>
      <c r="K236" s="589"/>
      <c r="L236" s="589"/>
      <c r="M236" s="167"/>
      <c r="N236" s="163"/>
      <c r="O236" s="167"/>
      <c r="P236" s="577"/>
      <c r="Q236" s="162"/>
      <c r="T236" s="738" t="s">
        <v>6</v>
      </c>
      <c r="U236" s="739"/>
      <c r="V236" s="740"/>
      <c r="W236" s="739" t="s">
        <v>6</v>
      </c>
      <c r="X236" s="740"/>
      <c r="Y236" s="739"/>
      <c r="Z236" s="740" t="s">
        <v>6</v>
      </c>
      <c r="AA236" s="739"/>
      <c r="AB236" s="740"/>
      <c r="AC236" s="739" t="s">
        <v>6</v>
      </c>
      <c r="AD236" s="740"/>
      <c r="AE236" s="739"/>
      <c r="AF236" s="740" t="s">
        <v>6</v>
      </c>
      <c r="AG236" s="739"/>
      <c r="AH236" s="741"/>
      <c r="AK236" s="738" t="s">
        <v>6</v>
      </c>
      <c r="AL236" s="739"/>
      <c r="AM236" s="740"/>
      <c r="AN236" s="739"/>
      <c r="AO236" s="740"/>
      <c r="AP236" s="739"/>
      <c r="AQ236" s="740"/>
      <c r="AR236" s="739"/>
      <c r="AS236" s="740"/>
      <c r="AT236" s="739"/>
      <c r="AU236" s="740"/>
      <c r="AV236" s="739"/>
      <c r="AW236" s="740"/>
      <c r="AX236" s="739"/>
      <c r="AY236" s="740"/>
      <c r="AZ236" s="739"/>
      <c r="BA236" s="740"/>
      <c r="BB236" s="739"/>
      <c r="BC236" s="740" t="s">
        <v>6</v>
      </c>
      <c r="BD236" s="739"/>
      <c r="BE236" s="740"/>
      <c r="BF236" s="739"/>
      <c r="BG236" s="740"/>
      <c r="BH236" s="739"/>
      <c r="BI236" s="740"/>
      <c r="BJ236" s="739" t="s">
        <v>6</v>
      </c>
      <c r="BK236" s="740"/>
      <c r="BL236" s="739"/>
      <c r="BM236" s="740"/>
      <c r="BN236" s="739"/>
      <c r="BO236" s="740"/>
      <c r="BP236" s="739"/>
      <c r="BQ236" s="740" t="s">
        <v>6</v>
      </c>
      <c r="BR236" s="739"/>
      <c r="BS236" s="740"/>
      <c r="BT236" s="739"/>
      <c r="BU236" s="740"/>
      <c r="BV236" s="739"/>
      <c r="BW236" s="740"/>
      <c r="BX236" s="739"/>
      <c r="BY236" s="740"/>
      <c r="BZ236" s="739"/>
      <c r="CA236" s="740"/>
      <c r="CB236" s="739"/>
      <c r="CC236" s="740"/>
      <c r="CD236" s="739"/>
      <c r="CE236" s="740"/>
      <c r="CF236" s="739"/>
      <c r="CG236" s="740"/>
      <c r="CH236" s="739"/>
      <c r="CI236" s="740"/>
      <c r="CJ236" s="739"/>
      <c r="CK236" s="740"/>
      <c r="CL236" s="748" t="s">
        <v>6</v>
      </c>
      <c r="CN236" s="713"/>
      <c r="CO236" s="726"/>
    </row>
    <row r="237" spans="2:93">
      <c r="B237" s="161"/>
      <c r="C237" s="51" t="s">
        <v>131</v>
      </c>
      <c r="D237" s="126" t="s">
        <v>135</v>
      </c>
      <c r="E237" s="604">
        <f>SUM(E220:E236)</f>
        <v>0</v>
      </c>
      <c r="F237" s="604">
        <f>SUM(F220:F236)</f>
        <v>0</v>
      </c>
      <c r="G237" s="604">
        <f>SUM(G220:G236)</f>
        <v>0</v>
      </c>
      <c r="H237" s="604">
        <f>SUM(H220:H236)</f>
        <v>0</v>
      </c>
      <c r="I237" s="604">
        <f>SUM(I220:I236)</f>
        <v>0</v>
      </c>
      <c r="J237" s="604">
        <f>SUM(J220:J236)</f>
        <v>0</v>
      </c>
      <c r="K237" s="604">
        <f>SUM(K220:K236)</f>
        <v>0</v>
      </c>
      <c r="L237" s="604">
        <f>SUM(L220:L236)</f>
        <v>0</v>
      </c>
      <c r="M237" s="26"/>
      <c r="N237" s="26"/>
      <c r="O237" s="26"/>
      <c r="P237" s="26"/>
      <c r="Q237" s="162"/>
      <c r="T237" s="738" t="s">
        <v>6</v>
      </c>
      <c r="U237" s="739"/>
      <c r="V237" s="740"/>
      <c r="W237" s="739" t="s">
        <v>6</v>
      </c>
      <c r="X237" s="740"/>
      <c r="Y237" s="739"/>
      <c r="Z237" s="740" t="s">
        <v>6</v>
      </c>
      <c r="AA237" s="739"/>
      <c r="AB237" s="740"/>
      <c r="AC237" s="739" t="s">
        <v>6</v>
      </c>
      <c r="AD237" s="740"/>
      <c r="AE237" s="739"/>
      <c r="AF237" s="740" t="s">
        <v>6</v>
      </c>
      <c r="AG237" s="739"/>
      <c r="AH237" s="741"/>
      <c r="AK237" s="738" t="s">
        <v>6</v>
      </c>
      <c r="AL237" s="739"/>
      <c r="AM237" s="740"/>
      <c r="AN237" s="739"/>
      <c r="AO237" s="740"/>
      <c r="AP237" s="739"/>
      <c r="AQ237" s="740"/>
      <c r="AR237" s="739"/>
      <c r="AS237" s="740"/>
      <c r="AT237" s="739"/>
      <c r="AU237" s="740"/>
      <c r="AV237" s="739"/>
      <c r="AW237" s="740"/>
      <c r="AX237" s="739"/>
      <c r="AY237" s="740"/>
      <c r="AZ237" s="739"/>
      <c r="BA237" s="740"/>
      <c r="BB237" s="739"/>
      <c r="BC237" s="740" t="s">
        <v>6</v>
      </c>
      <c r="BD237" s="739"/>
      <c r="BE237" s="740"/>
      <c r="BF237" s="739"/>
      <c r="BG237" s="740"/>
      <c r="BH237" s="739"/>
      <c r="BI237" s="740"/>
      <c r="BJ237" s="739" t="s">
        <v>6</v>
      </c>
      <c r="BK237" s="740"/>
      <c r="BL237" s="739"/>
      <c r="BM237" s="740"/>
      <c r="BN237" s="739"/>
      <c r="BO237" s="740"/>
      <c r="BP237" s="739"/>
      <c r="BQ237" s="740" t="s">
        <v>6</v>
      </c>
      <c r="BR237" s="739"/>
      <c r="BS237" s="740"/>
      <c r="BT237" s="739"/>
      <c r="BU237" s="740"/>
      <c r="BV237" s="739"/>
      <c r="BW237" s="740"/>
      <c r="BX237" s="739"/>
      <c r="BY237" s="740"/>
      <c r="BZ237" s="739"/>
      <c r="CA237" s="740"/>
      <c r="CB237" s="739"/>
      <c r="CC237" s="740"/>
      <c r="CD237" s="739"/>
      <c r="CE237" s="740"/>
      <c r="CF237" s="739"/>
      <c r="CG237" s="740"/>
      <c r="CH237" s="739"/>
      <c r="CI237" s="740"/>
      <c r="CJ237" s="739"/>
      <c r="CK237" s="740"/>
      <c r="CL237" s="748" t="s">
        <v>6</v>
      </c>
      <c r="CN237" s="713"/>
      <c r="CO237" s="726"/>
    </row>
    <row r="238" spans="2:93">
      <c r="B238" s="161"/>
      <c r="C238" s="29"/>
      <c r="D238" s="29"/>
      <c r="E238" s="29"/>
      <c r="F238" s="29"/>
      <c r="G238" s="29"/>
      <c r="H238" s="29"/>
      <c r="I238" s="29"/>
      <c r="J238" s="29"/>
      <c r="K238" s="29"/>
      <c r="L238" s="29"/>
      <c r="M238" s="29"/>
      <c r="N238" s="29"/>
      <c r="O238" s="29"/>
      <c r="P238" s="29"/>
      <c r="Q238" s="162"/>
      <c r="T238" s="738" t="s">
        <v>6</v>
      </c>
      <c r="U238" s="739"/>
      <c r="V238" s="740"/>
      <c r="W238" s="739" t="s">
        <v>6</v>
      </c>
      <c r="X238" s="740"/>
      <c r="Y238" s="739"/>
      <c r="Z238" s="740" t="s">
        <v>6</v>
      </c>
      <c r="AA238" s="739"/>
      <c r="AB238" s="740"/>
      <c r="AC238" s="739" t="s">
        <v>6</v>
      </c>
      <c r="AD238" s="740"/>
      <c r="AE238" s="739"/>
      <c r="AF238" s="740" t="s">
        <v>6</v>
      </c>
      <c r="AG238" s="739"/>
      <c r="AH238" s="741"/>
      <c r="AK238" s="738" t="s">
        <v>6</v>
      </c>
      <c r="AL238" s="739"/>
      <c r="AM238" s="740"/>
      <c r="AN238" s="739"/>
      <c r="AO238" s="740"/>
      <c r="AP238" s="739"/>
      <c r="AQ238" s="740"/>
      <c r="AR238" s="739"/>
      <c r="AS238" s="740"/>
      <c r="AT238" s="739"/>
      <c r="AU238" s="740"/>
      <c r="AV238" s="739"/>
      <c r="AW238" s="740"/>
      <c r="AX238" s="739"/>
      <c r="AY238" s="740"/>
      <c r="AZ238" s="739"/>
      <c r="BA238" s="740"/>
      <c r="BB238" s="739"/>
      <c r="BC238" s="740" t="s">
        <v>6</v>
      </c>
      <c r="BD238" s="739"/>
      <c r="BE238" s="740"/>
      <c r="BF238" s="739"/>
      <c r="BG238" s="740"/>
      <c r="BH238" s="739"/>
      <c r="BI238" s="740"/>
      <c r="BJ238" s="739" t="s">
        <v>6</v>
      </c>
      <c r="BK238" s="740"/>
      <c r="BL238" s="739"/>
      <c r="BM238" s="740"/>
      <c r="BN238" s="739"/>
      <c r="BO238" s="740"/>
      <c r="BP238" s="739"/>
      <c r="BQ238" s="740" t="s">
        <v>6</v>
      </c>
      <c r="BR238" s="739"/>
      <c r="BS238" s="740"/>
      <c r="BT238" s="739"/>
      <c r="BU238" s="740"/>
      <c r="BV238" s="739"/>
      <c r="BW238" s="740"/>
      <c r="BX238" s="739"/>
      <c r="BY238" s="740"/>
      <c r="BZ238" s="739"/>
      <c r="CA238" s="740"/>
      <c r="CB238" s="739"/>
      <c r="CC238" s="740"/>
      <c r="CD238" s="739"/>
      <c r="CE238" s="740"/>
      <c r="CF238" s="739"/>
      <c r="CG238" s="740"/>
      <c r="CH238" s="739"/>
      <c r="CI238" s="740"/>
      <c r="CJ238" s="739"/>
      <c r="CK238" s="740"/>
      <c r="CL238" s="748" t="s">
        <v>6</v>
      </c>
      <c r="CN238" s="713"/>
      <c r="CO238" s="726"/>
    </row>
    <row r="239" spans="2:93">
      <c r="B239" s="161"/>
      <c r="C239" s="67" t="s">
        <v>452</v>
      </c>
      <c r="D239" s="125" t="s">
        <v>135</v>
      </c>
      <c r="E239" s="379">
        <f>SUM(E169,E185,E198,E209,E217,E237)</f>
        <v>0</v>
      </c>
      <c r="F239" s="379">
        <f>SUM(F169,F185,F198,F209,F217,F237)</f>
        <v>0</v>
      </c>
      <c r="G239" s="379">
        <f>SUM(G169,G185,G198,G209,G217,G237)</f>
        <v>0</v>
      </c>
      <c r="H239" s="379">
        <f>SUM(H169,H185,H198,H209,H217,H237)</f>
        <v>0</v>
      </c>
      <c r="I239" s="379">
        <f>SUM(I169,I185,I198,I209,I217,I237)</f>
        <v>0</v>
      </c>
      <c r="J239" s="379">
        <f>SUM(J169,J185,J198,J209,J217,J237)</f>
        <v>0</v>
      </c>
      <c r="K239" s="379">
        <f>SUM(K169,K185,K198,K209,K217,K237)</f>
        <v>0</v>
      </c>
      <c r="L239" s="379">
        <f>SUM(L169,L185,L198,L209,L217,L237)</f>
        <v>0</v>
      </c>
      <c r="M239" s="98"/>
      <c r="N239" s="98"/>
      <c r="O239" s="98"/>
      <c r="P239" s="98"/>
      <c r="Q239" s="162"/>
      <c r="T239" s="738" t="s">
        <v>6</v>
      </c>
      <c r="U239" s="739"/>
      <c r="V239" s="740"/>
      <c r="W239" s="739" t="s">
        <v>6</v>
      </c>
      <c r="X239" s="740"/>
      <c r="Y239" s="739"/>
      <c r="Z239" s="740" t="s">
        <v>6</v>
      </c>
      <c r="AA239" s="739"/>
      <c r="AB239" s="740"/>
      <c r="AC239" s="739" t="s">
        <v>6</v>
      </c>
      <c r="AD239" s="740"/>
      <c r="AE239" s="739"/>
      <c r="AF239" s="740" t="s">
        <v>6</v>
      </c>
      <c r="AG239" s="739"/>
      <c r="AH239" s="741"/>
      <c r="AK239" s="738" t="s">
        <v>6</v>
      </c>
      <c r="AL239" s="739"/>
      <c r="AM239" s="740"/>
      <c r="AN239" s="739"/>
      <c r="AO239" s="740"/>
      <c r="AP239" s="739"/>
      <c r="AQ239" s="740"/>
      <c r="AR239" s="739"/>
      <c r="AS239" s="740"/>
      <c r="AT239" s="739"/>
      <c r="AU239" s="740"/>
      <c r="AV239" s="739"/>
      <c r="AW239" s="740"/>
      <c r="AX239" s="739"/>
      <c r="AY239" s="740"/>
      <c r="AZ239" s="739"/>
      <c r="BA239" s="740"/>
      <c r="BB239" s="739"/>
      <c r="BC239" s="740" t="s">
        <v>6</v>
      </c>
      <c r="BD239" s="739"/>
      <c r="BE239" s="740"/>
      <c r="BF239" s="739"/>
      <c r="BG239" s="740"/>
      <c r="BH239" s="739"/>
      <c r="BI239" s="740"/>
      <c r="BJ239" s="739" t="s">
        <v>6</v>
      </c>
      <c r="BK239" s="740"/>
      <c r="BL239" s="739"/>
      <c r="BM239" s="740"/>
      <c r="BN239" s="739"/>
      <c r="BO239" s="740"/>
      <c r="BP239" s="739"/>
      <c r="BQ239" s="740" t="s">
        <v>6</v>
      </c>
      <c r="BR239" s="739"/>
      <c r="BS239" s="740"/>
      <c r="BT239" s="739"/>
      <c r="BU239" s="740"/>
      <c r="BV239" s="739"/>
      <c r="BW239" s="740"/>
      <c r="BX239" s="739"/>
      <c r="BY239" s="740"/>
      <c r="BZ239" s="739"/>
      <c r="CA239" s="740"/>
      <c r="CB239" s="739"/>
      <c r="CC239" s="740"/>
      <c r="CD239" s="739"/>
      <c r="CE239" s="740"/>
      <c r="CF239" s="739"/>
      <c r="CG239" s="740"/>
      <c r="CH239" s="739"/>
      <c r="CI239" s="740"/>
      <c r="CJ239" s="739"/>
      <c r="CK239" s="740"/>
      <c r="CL239" s="748" t="s">
        <v>6</v>
      </c>
      <c r="CN239" s="713"/>
      <c r="CO239" s="726"/>
    </row>
    <row r="240" spans="2:93">
      <c r="B240" s="161"/>
      <c r="C240" s="26"/>
      <c r="D240" s="26"/>
      <c r="E240" s="26"/>
      <c r="F240" s="26"/>
      <c r="G240" s="26"/>
      <c r="H240" s="26"/>
      <c r="I240" s="26"/>
      <c r="J240" s="26"/>
      <c r="K240" s="26"/>
      <c r="L240" s="26"/>
      <c r="M240" s="26"/>
      <c r="N240" s="26"/>
      <c r="O240" s="26"/>
      <c r="P240" s="26"/>
      <c r="Q240" s="162"/>
      <c r="T240" s="738" t="s">
        <v>6</v>
      </c>
      <c r="U240" s="739"/>
      <c r="V240" s="740"/>
      <c r="W240" s="739" t="s">
        <v>6</v>
      </c>
      <c r="X240" s="740"/>
      <c r="Y240" s="739"/>
      <c r="Z240" s="740" t="s">
        <v>6</v>
      </c>
      <c r="AA240" s="739"/>
      <c r="AB240" s="740"/>
      <c r="AC240" s="739" t="s">
        <v>6</v>
      </c>
      <c r="AD240" s="740"/>
      <c r="AE240" s="739"/>
      <c r="AF240" s="740" t="s">
        <v>6</v>
      </c>
      <c r="AG240" s="739"/>
      <c r="AH240" s="741"/>
      <c r="AK240" s="738" t="s">
        <v>6</v>
      </c>
      <c r="AL240" s="739"/>
      <c r="AM240" s="740"/>
      <c r="AN240" s="739"/>
      <c r="AO240" s="740"/>
      <c r="AP240" s="739"/>
      <c r="AQ240" s="740"/>
      <c r="AR240" s="739"/>
      <c r="AS240" s="740"/>
      <c r="AT240" s="739"/>
      <c r="AU240" s="740"/>
      <c r="AV240" s="739"/>
      <c r="AW240" s="740"/>
      <c r="AX240" s="739"/>
      <c r="AY240" s="740"/>
      <c r="AZ240" s="739"/>
      <c r="BA240" s="740"/>
      <c r="BB240" s="739"/>
      <c r="BC240" s="740" t="s">
        <v>6</v>
      </c>
      <c r="BD240" s="739"/>
      <c r="BE240" s="740"/>
      <c r="BF240" s="739"/>
      <c r="BG240" s="740"/>
      <c r="BH240" s="739"/>
      <c r="BI240" s="740"/>
      <c r="BJ240" s="739" t="s">
        <v>6</v>
      </c>
      <c r="BK240" s="740"/>
      <c r="BL240" s="739"/>
      <c r="BM240" s="740"/>
      <c r="BN240" s="739"/>
      <c r="BO240" s="740"/>
      <c r="BP240" s="739"/>
      <c r="BQ240" s="740" t="s">
        <v>6</v>
      </c>
      <c r="BR240" s="739"/>
      <c r="BS240" s="740"/>
      <c r="BT240" s="739"/>
      <c r="BU240" s="740"/>
      <c r="BV240" s="739"/>
      <c r="BW240" s="740"/>
      <c r="BX240" s="739"/>
      <c r="BY240" s="740"/>
      <c r="BZ240" s="739"/>
      <c r="CA240" s="740"/>
      <c r="CB240" s="739"/>
      <c r="CC240" s="740"/>
      <c r="CD240" s="739"/>
      <c r="CE240" s="740"/>
      <c r="CF240" s="739"/>
      <c r="CG240" s="740"/>
      <c r="CH240" s="739"/>
      <c r="CI240" s="740"/>
      <c r="CJ240" s="739"/>
      <c r="CK240" s="740"/>
      <c r="CL240" s="748" t="s">
        <v>6</v>
      </c>
      <c r="CN240" s="713"/>
      <c r="CO240" s="726"/>
    </row>
    <row r="241" spans="2:93" ht="15.75" thickBot="1">
      <c r="B241" s="161"/>
      <c r="C241" s="28"/>
      <c r="D241" s="28"/>
      <c r="E241" s="28"/>
      <c r="F241" s="28"/>
      <c r="G241" s="28"/>
      <c r="H241" s="28"/>
      <c r="I241" s="28"/>
      <c r="J241" s="28"/>
      <c r="K241" s="28"/>
      <c r="L241" s="28"/>
      <c r="M241" s="28"/>
      <c r="N241" s="28"/>
      <c r="O241" s="28"/>
      <c r="P241" s="28"/>
      <c r="Q241" s="162"/>
      <c r="T241" s="738" t="s">
        <v>6</v>
      </c>
      <c r="U241" s="739"/>
      <c r="V241" s="740"/>
      <c r="W241" s="739" t="s">
        <v>6</v>
      </c>
      <c r="X241" s="740"/>
      <c r="Y241" s="739"/>
      <c r="Z241" s="740" t="s">
        <v>6</v>
      </c>
      <c r="AA241" s="739"/>
      <c r="AB241" s="740"/>
      <c r="AC241" s="739" t="s">
        <v>6</v>
      </c>
      <c r="AD241" s="740"/>
      <c r="AE241" s="739"/>
      <c r="AF241" s="740" t="s">
        <v>6</v>
      </c>
      <c r="AG241" s="739"/>
      <c r="AH241" s="741"/>
      <c r="AK241" s="738" t="s">
        <v>6</v>
      </c>
      <c r="AL241" s="739"/>
      <c r="AM241" s="740"/>
      <c r="AN241" s="739"/>
      <c r="AO241" s="740"/>
      <c r="AP241" s="739"/>
      <c r="AQ241" s="740"/>
      <c r="AR241" s="739"/>
      <c r="AS241" s="740"/>
      <c r="AT241" s="739"/>
      <c r="AU241" s="740"/>
      <c r="AV241" s="739"/>
      <c r="AW241" s="740"/>
      <c r="AX241" s="739"/>
      <c r="AY241" s="740"/>
      <c r="AZ241" s="739"/>
      <c r="BA241" s="740"/>
      <c r="BB241" s="739"/>
      <c r="BC241" s="740" t="s">
        <v>6</v>
      </c>
      <c r="BD241" s="739"/>
      <c r="BE241" s="740"/>
      <c r="BF241" s="739"/>
      <c r="BG241" s="740"/>
      <c r="BH241" s="739"/>
      <c r="BI241" s="740"/>
      <c r="BJ241" s="739" t="s">
        <v>6</v>
      </c>
      <c r="BK241" s="740"/>
      <c r="BL241" s="739"/>
      <c r="BM241" s="740"/>
      <c r="BN241" s="739"/>
      <c r="BO241" s="740"/>
      <c r="BP241" s="739"/>
      <c r="BQ241" s="740" t="s">
        <v>6</v>
      </c>
      <c r="BR241" s="739"/>
      <c r="BS241" s="740"/>
      <c r="BT241" s="739"/>
      <c r="BU241" s="740"/>
      <c r="BV241" s="739"/>
      <c r="BW241" s="740"/>
      <c r="BX241" s="739"/>
      <c r="BY241" s="740"/>
      <c r="BZ241" s="739"/>
      <c r="CA241" s="740"/>
      <c r="CB241" s="739"/>
      <c r="CC241" s="740"/>
      <c r="CD241" s="739"/>
      <c r="CE241" s="740"/>
      <c r="CF241" s="739"/>
      <c r="CG241" s="740"/>
      <c r="CH241" s="739"/>
      <c r="CI241" s="740"/>
      <c r="CJ241" s="739"/>
      <c r="CK241" s="740"/>
      <c r="CL241" s="748" t="s">
        <v>6</v>
      </c>
      <c r="CN241" s="713"/>
      <c r="CO241" s="726"/>
    </row>
    <row r="242" spans="2:93" ht="15.75" thickBot="1">
      <c r="B242" s="161"/>
      <c r="C242" s="107" t="s">
        <v>453</v>
      </c>
      <c r="D242" s="125" t="s">
        <v>135</v>
      </c>
      <c r="E242" s="129">
        <f>E153-E239</f>
        <v>108000</v>
      </c>
      <c r="F242" s="129">
        <f>F153-F239</f>
        <v>27000</v>
      </c>
      <c r="G242" s="129">
        <f>G153-G239</f>
        <v>0</v>
      </c>
      <c r="H242" s="129">
        <f>H153-H239</f>
        <v>0</v>
      </c>
      <c r="I242" s="129">
        <f>I153-I239</f>
        <v>0</v>
      </c>
      <c r="J242" s="129">
        <f>J153-J239</f>
        <v>0</v>
      </c>
      <c r="K242" s="129">
        <f>K153-K239</f>
        <v>0</v>
      </c>
      <c r="L242" s="129">
        <f>L153-L239</f>
        <v>0</v>
      </c>
      <c r="M242" s="26"/>
      <c r="N242" s="26"/>
      <c r="O242" s="26"/>
      <c r="P242" s="26"/>
      <c r="Q242" s="162"/>
      <c r="T242" s="738" t="s">
        <v>6</v>
      </c>
      <c r="U242" s="739"/>
      <c r="V242" s="740"/>
      <c r="W242" s="739" t="s">
        <v>6</v>
      </c>
      <c r="X242" s="740"/>
      <c r="Y242" s="739"/>
      <c r="Z242" s="740" t="s">
        <v>6</v>
      </c>
      <c r="AA242" s="739"/>
      <c r="AB242" s="740"/>
      <c r="AC242" s="739" t="s">
        <v>6</v>
      </c>
      <c r="AD242" s="740"/>
      <c r="AE242" s="739"/>
      <c r="AF242" s="740" t="s">
        <v>6</v>
      </c>
      <c r="AG242" s="739"/>
      <c r="AH242" s="741"/>
      <c r="AK242" s="738" t="s">
        <v>6</v>
      </c>
      <c r="AL242" s="739"/>
      <c r="AM242" s="740"/>
      <c r="AN242" s="739"/>
      <c r="AO242" s="740"/>
      <c r="AP242" s="739"/>
      <c r="AQ242" s="740"/>
      <c r="AR242" s="739"/>
      <c r="AS242" s="740"/>
      <c r="AT242" s="739"/>
      <c r="AU242" s="740"/>
      <c r="AV242" s="739"/>
      <c r="AW242" s="740"/>
      <c r="AX242" s="739"/>
      <c r="AY242" s="740"/>
      <c r="AZ242" s="739"/>
      <c r="BA242" s="740"/>
      <c r="BB242" s="739"/>
      <c r="BC242" s="740" t="s">
        <v>6</v>
      </c>
      <c r="BD242" s="739"/>
      <c r="BE242" s="740"/>
      <c r="BF242" s="739"/>
      <c r="BG242" s="740"/>
      <c r="BH242" s="739"/>
      <c r="BI242" s="740"/>
      <c r="BJ242" s="739" t="s">
        <v>6</v>
      </c>
      <c r="BK242" s="740"/>
      <c r="BL242" s="739"/>
      <c r="BM242" s="740"/>
      <c r="BN242" s="739"/>
      <c r="BO242" s="740"/>
      <c r="BP242" s="739"/>
      <c r="BQ242" s="740" t="s">
        <v>6</v>
      </c>
      <c r="BR242" s="739"/>
      <c r="BS242" s="740"/>
      <c r="BT242" s="739"/>
      <c r="BU242" s="740"/>
      <c r="BV242" s="739"/>
      <c r="BW242" s="740"/>
      <c r="BX242" s="739"/>
      <c r="BY242" s="740"/>
      <c r="BZ242" s="739"/>
      <c r="CA242" s="740"/>
      <c r="CB242" s="739"/>
      <c r="CC242" s="740"/>
      <c r="CD242" s="739"/>
      <c r="CE242" s="740"/>
      <c r="CF242" s="739"/>
      <c r="CG242" s="740"/>
      <c r="CH242" s="739"/>
      <c r="CI242" s="740"/>
      <c r="CJ242" s="739"/>
      <c r="CK242" s="740"/>
      <c r="CL242" s="748" t="s">
        <v>6</v>
      </c>
      <c r="CN242" s="713"/>
      <c r="CO242" s="726"/>
    </row>
    <row r="243" spans="2:93" ht="15.75" thickBot="1">
      <c r="B243" s="161"/>
      <c r="C243" s="107" t="s">
        <v>454</v>
      </c>
      <c r="D243" s="125" t="s">
        <v>136</v>
      </c>
      <c r="E243" s="130">
        <f>IFERROR(E242/E153,0)</f>
        <v>1</v>
      </c>
      <c r="F243" s="130">
        <f>IFERROR(F242/F153,0)</f>
        <v>1</v>
      </c>
      <c r="G243" s="130">
        <f>IFERROR(G242/G153,0)</f>
        <v>0</v>
      </c>
      <c r="H243" s="130">
        <f>IFERROR(H242/H153,0)</f>
        <v>0</v>
      </c>
      <c r="I243" s="130">
        <f>IFERROR(I242/I153,0)</f>
        <v>0</v>
      </c>
      <c r="J243" s="130">
        <f>IFERROR(J242/J153,0)</f>
        <v>0</v>
      </c>
      <c r="K243" s="130">
        <f>IFERROR(K242/K153,0)</f>
        <v>0</v>
      </c>
      <c r="L243" s="130">
        <f>IFERROR(L242/L153,0)</f>
        <v>0</v>
      </c>
      <c r="M243" s="26"/>
      <c r="N243" s="26"/>
      <c r="O243" s="26"/>
      <c r="P243" s="26"/>
      <c r="Q243" s="162"/>
      <c r="T243" s="738" t="s">
        <v>6</v>
      </c>
      <c r="U243" s="739"/>
      <c r="V243" s="740"/>
      <c r="W243" s="739" t="s">
        <v>6</v>
      </c>
      <c r="X243" s="740"/>
      <c r="Y243" s="739"/>
      <c r="Z243" s="740" t="s">
        <v>6</v>
      </c>
      <c r="AA243" s="739"/>
      <c r="AB243" s="740"/>
      <c r="AC243" s="739" t="s">
        <v>6</v>
      </c>
      <c r="AD243" s="740"/>
      <c r="AE243" s="739"/>
      <c r="AF243" s="740" t="s">
        <v>6</v>
      </c>
      <c r="AG243" s="739"/>
      <c r="AH243" s="741"/>
      <c r="AK243" s="738" t="s">
        <v>6</v>
      </c>
      <c r="AL243" s="739"/>
      <c r="AM243" s="740"/>
      <c r="AN243" s="739"/>
      <c r="AO243" s="740"/>
      <c r="AP243" s="739"/>
      <c r="AQ243" s="740"/>
      <c r="AR243" s="739"/>
      <c r="AS243" s="740"/>
      <c r="AT243" s="739"/>
      <c r="AU243" s="740"/>
      <c r="AV243" s="739"/>
      <c r="AW243" s="740"/>
      <c r="AX243" s="739"/>
      <c r="AY243" s="740"/>
      <c r="AZ243" s="739"/>
      <c r="BA243" s="740"/>
      <c r="BB243" s="739"/>
      <c r="BC243" s="740" t="s">
        <v>6</v>
      </c>
      <c r="BD243" s="739"/>
      <c r="BE243" s="740"/>
      <c r="BF243" s="739"/>
      <c r="BG243" s="740"/>
      <c r="BH243" s="739"/>
      <c r="BI243" s="740"/>
      <c r="BJ243" s="739" t="s">
        <v>6</v>
      </c>
      <c r="BK243" s="740"/>
      <c r="BL243" s="739"/>
      <c r="BM243" s="740"/>
      <c r="BN243" s="739"/>
      <c r="BO243" s="740"/>
      <c r="BP243" s="739"/>
      <c r="BQ243" s="740" t="s">
        <v>6</v>
      </c>
      <c r="BR243" s="739"/>
      <c r="BS243" s="740"/>
      <c r="BT243" s="739"/>
      <c r="BU243" s="740"/>
      <c r="BV243" s="739"/>
      <c r="BW243" s="740"/>
      <c r="BX243" s="739"/>
      <c r="BY243" s="740"/>
      <c r="BZ243" s="739"/>
      <c r="CA243" s="740"/>
      <c r="CB243" s="739"/>
      <c r="CC243" s="740"/>
      <c r="CD243" s="739"/>
      <c r="CE243" s="740"/>
      <c r="CF243" s="739"/>
      <c r="CG243" s="740"/>
      <c r="CH243" s="739"/>
      <c r="CI243" s="740"/>
      <c r="CJ243" s="739"/>
      <c r="CK243" s="740"/>
      <c r="CL243" s="748" t="s">
        <v>6</v>
      </c>
      <c r="CN243" s="713"/>
      <c r="CO243" s="726"/>
    </row>
    <row r="244" spans="2:93" ht="15.75" thickBot="1">
      <c r="B244" s="161"/>
      <c r="C244" s="26"/>
      <c r="D244" s="26"/>
      <c r="E244" s="26"/>
      <c r="F244" s="26"/>
      <c r="G244" s="26"/>
      <c r="H244" s="26"/>
      <c r="I244" s="26"/>
      <c r="J244" s="26"/>
      <c r="K244" s="26"/>
      <c r="L244" s="26"/>
      <c r="M244" s="26"/>
      <c r="N244" s="26"/>
      <c r="O244" s="26"/>
      <c r="P244" s="26"/>
      <c r="Q244" s="162"/>
      <c r="T244" s="738" t="s">
        <v>6</v>
      </c>
      <c r="U244" s="739"/>
      <c r="V244" s="740"/>
      <c r="W244" s="739" t="s">
        <v>6</v>
      </c>
      <c r="X244" s="740"/>
      <c r="Y244" s="739"/>
      <c r="Z244" s="740" t="s">
        <v>6</v>
      </c>
      <c r="AA244" s="739"/>
      <c r="AB244" s="740"/>
      <c r="AC244" s="739" t="s">
        <v>6</v>
      </c>
      <c r="AD244" s="740"/>
      <c r="AE244" s="739"/>
      <c r="AF244" s="740" t="s">
        <v>6</v>
      </c>
      <c r="AG244" s="739"/>
      <c r="AH244" s="741"/>
      <c r="AK244" s="738" t="s">
        <v>6</v>
      </c>
      <c r="AL244" s="739"/>
      <c r="AM244" s="740"/>
      <c r="AN244" s="739"/>
      <c r="AO244" s="740"/>
      <c r="AP244" s="739"/>
      <c r="AQ244" s="740"/>
      <c r="AR244" s="739"/>
      <c r="AS244" s="740"/>
      <c r="AT244" s="739"/>
      <c r="AU244" s="740"/>
      <c r="AV244" s="739"/>
      <c r="AW244" s="740"/>
      <c r="AX244" s="739"/>
      <c r="AY244" s="740"/>
      <c r="AZ244" s="739"/>
      <c r="BA244" s="740"/>
      <c r="BB244" s="739"/>
      <c r="BC244" s="740" t="s">
        <v>6</v>
      </c>
      <c r="BD244" s="739"/>
      <c r="BE244" s="740"/>
      <c r="BF244" s="739"/>
      <c r="BG244" s="740"/>
      <c r="BH244" s="739"/>
      <c r="BI244" s="740"/>
      <c r="BJ244" s="739" t="s">
        <v>6</v>
      </c>
      <c r="BK244" s="740"/>
      <c r="BL244" s="739"/>
      <c r="BM244" s="740"/>
      <c r="BN244" s="739"/>
      <c r="BO244" s="740"/>
      <c r="BP244" s="739"/>
      <c r="BQ244" s="740" t="s">
        <v>6</v>
      </c>
      <c r="BR244" s="739"/>
      <c r="BS244" s="740"/>
      <c r="BT244" s="739"/>
      <c r="BU244" s="740"/>
      <c r="BV244" s="739"/>
      <c r="BW244" s="740"/>
      <c r="BX244" s="739"/>
      <c r="BY244" s="740"/>
      <c r="BZ244" s="739"/>
      <c r="CA244" s="740"/>
      <c r="CB244" s="739"/>
      <c r="CC244" s="740"/>
      <c r="CD244" s="739"/>
      <c r="CE244" s="740"/>
      <c r="CF244" s="739"/>
      <c r="CG244" s="740"/>
      <c r="CH244" s="739"/>
      <c r="CI244" s="740"/>
      <c r="CJ244" s="739"/>
      <c r="CK244" s="740"/>
      <c r="CL244" s="748" t="s">
        <v>6</v>
      </c>
      <c r="CN244" s="713"/>
      <c r="CO244" s="726"/>
    </row>
    <row r="245" spans="2:93" ht="15.75" thickBot="1">
      <c r="B245" s="161"/>
      <c r="C245" s="107" t="s">
        <v>455</v>
      </c>
      <c r="D245" s="125" t="s">
        <v>135</v>
      </c>
      <c r="E245" s="131">
        <f>E242</f>
        <v>108000</v>
      </c>
      <c r="F245" s="132">
        <f>SUM(E242:F242)</f>
        <v>135000</v>
      </c>
      <c r="G245" s="133">
        <f>SUM(E242:G242)</f>
        <v>135000</v>
      </c>
      <c r="H245" s="133">
        <f>SUM(E242:H242)</f>
        <v>135000</v>
      </c>
      <c r="I245" s="133">
        <f>SUM(E242:I242)</f>
        <v>135000</v>
      </c>
      <c r="J245" s="134">
        <f>SUM(E242:J242)</f>
        <v>135000</v>
      </c>
      <c r="K245" s="134">
        <f>SUM(E242:K242)</f>
        <v>135000</v>
      </c>
      <c r="L245" s="134">
        <f>SUM(E242:L242)</f>
        <v>135000</v>
      </c>
      <c r="M245" s="26"/>
      <c r="N245" s="26"/>
      <c r="O245" s="26"/>
      <c r="P245" s="26"/>
      <c r="Q245" s="162"/>
      <c r="T245" s="742" t="s">
        <v>6</v>
      </c>
      <c r="U245" s="743"/>
      <c r="V245" s="744"/>
      <c r="W245" s="743" t="s">
        <v>6</v>
      </c>
      <c r="X245" s="744"/>
      <c r="Y245" s="743"/>
      <c r="Z245" s="744" t="s">
        <v>6</v>
      </c>
      <c r="AA245" s="743"/>
      <c r="AB245" s="744"/>
      <c r="AC245" s="743" t="s">
        <v>6</v>
      </c>
      <c r="AD245" s="744"/>
      <c r="AE245" s="743"/>
      <c r="AF245" s="744" t="s">
        <v>6</v>
      </c>
      <c r="AG245" s="743"/>
      <c r="AH245" s="745"/>
      <c r="AK245" s="742" t="s">
        <v>6</v>
      </c>
      <c r="AL245" s="743"/>
      <c r="AM245" s="744"/>
      <c r="AN245" s="743"/>
      <c r="AO245" s="744"/>
      <c r="AP245" s="743"/>
      <c r="AQ245" s="744"/>
      <c r="AR245" s="743"/>
      <c r="AS245" s="744"/>
      <c r="AT245" s="743"/>
      <c r="AU245" s="744"/>
      <c r="AV245" s="743"/>
      <c r="AW245" s="744"/>
      <c r="AX245" s="743"/>
      <c r="AY245" s="744"/>
      <c r="AZ245" s="743"/>
      <c r="BA245" s="744"/>
      <c r="BB245" s="743"/>
      <c r="BC245" s="744" t="s">
        <v>6</v>
      </c>
      <c r="BD245" s="743"/>
      <c r="BE245" s="744"/>
      <c r="BF245" s="743"/>
      <c r="BG245" s="744"/>
      <c r="BH245" s="743"/>
      <c r="BI245" s="744"/>
      <c r="BJ245" s="743" t="s">
        <v>6</v>
      </c>
      <c r="BK245" s="744"/>
      <c r="BL245" s="743"/>
      <c r="BM245" s="744"/>
      <c r="BN245" s="743"/>
      <c r="BO245" s="744"/>
      <c r="BP245" s="743"/>
      <c r="BQ245" s="744" t="s">
        <v>6</v>
      </c>
      <c r="BR245" s="743"/>
      <c r="BS245" s="744"/>
      <c r="BT245" s="743"/>
      <c r="BU245" s="744"/>
      <c r="BV245" s="743"/>
      <c r="BW245" s="744"/>
      <c r="BX245" s="743"/>
      <c r="BY245" s="744"/>
      <c r="BZ245" s="743"/>
      <c r="CA245" s="744"/>
      <c r="CB245" s="743"/>
      <c r="CC245" s="744"/>
      <c r="CD245" s="743"/>
      <c r="CE245" s="744"/>
      <c r="CF245" s="743"/>
      <c r="CG245" s="744"/>
      <c r="CH245" s="743"/>
      <c r="CI245" s="744"/>
      <c r="CJ245" s="743"/>
      <c r="CK245" s="744"/>
      <c r="CL245" s="749" t="s">
        <v>6</v>
      </c>
      <c r="CN245" s="716"/>
      <c r="CO245" s="708"/>
    </row>
    <row r="246" spans="2:17">
      <c r="B246" s="164"/>
      <c r="C246" s="173"/>
      <c r="D246" s="173"/>
      <c r="E246" s="173"/>
      <c r="F246" s="173"/>
      <c r="G246" s="173"/>
      <c r="H246" s="173"/>
      <c r="I246" s="173"/>
      <c r="J246" s="173"/>
      <c r="K246" s="173"/>
      <c r="L246" s="173"/>
      <c r="M246" s="173"/>
      <c r="N246" s="173"/>
      <c r="O246" s="173"/>
      <c r="P246" s="173"/>
      <c r="Q246" s="165"/>
    </row>
    <row r="247"/>
    <row r="248"/>
    <row r="249"/>
    <row r="250"/>
    <row r="251"/>
    <row r="252"/>
    <row r="253"/>
    <row r="254"/>
    <row r="255"/>
  </sheetData>
  <sheetProtection algorithmName="SHA-512" hashValue="5epf+TO90xJpPsuA5tZ1PX5hg0MSJwoFOWiUsuSVgOx9Ix3KLgXEVpD1aClNGoADKGnOy/FC5ta9yMfBnvqc/w==" saltValue="Cs7lCazH3AzPzJgAtZCRng==" spinCount="100000" sheet="1" objects="1" scenarios="1"/>
  <mergeCells count="7">
    <mergeCell ref="CN4:CO4"/>
    <mergeCell ref="N170:N171"/>
    <mergeCell ref="P170:P171"/>
    <mergeCell ref="N87:N89"/>
    <mergeCell ref="N112:N114"/>
    <mergeCell ref="P112:P114"/>
    <mergeCell ref="P87:P93"/>
  </mergeCells>
  <conditionalFormatting sqref="E112:L112">
    <cfRule type="expression" dxfId="7" priority="1">
      <formula>post16_rr_override_used</formula>
    </cfRule>
  </conditionalFormatting>
  <dataValidations count="2">
    <dataValidation type="decimal" operator="equal" allowBlank="1" showInputMessage="1" showErrorMessage="1" errorTitle="Invalid Entry" error="You may only enter a number greater than zero.&#10;" sqref="N227">
      <formula1>0</formula1>
    </dataValidation>
    <dataValidation type="decimal" operator="greaterThanOrEqual" allowBlank="1" showInputMessage="1" showErrorMessage="1" errorTitle="Invalid Entry" error="You may only enter a number greater than or equal to zero.&#10;" sqref="E13:L16 E22:L22 E43:L44 E50:L51 E57:L58 E64:L65 E127:L130 E131 E147:G147 E172:L184 E201:L208 E212:L216 E188:L197 E221:L236 E121:L124 E132:L139">
      <formula1>0</formula1>
    </dataValidation>
  </dataValidations>
  <pageMargins left="0.7" right="0.7" top="0.75" bottom="0.75" header="0.3" footer="0.3"/>
  <pageSetup paperSize="9" orientation="portrait"/>
  <headerFooter scaleWithDoc="1" alignWithMargins="0" differentFirst="0" differentOddEven="0"/>
  <drawing r:id="rId2"/>
  <extLst>
    <ext xmlns:x14="http://schemas.microsoft.com/office/spreadsheetml/2009/9/main" uri="{78C0D931-6437-407d-A8EE-F0AAD7539E65}">
      <x14:conditionalFormattings>
        <x14:conditionalFormatting xmlns:xm="http://schemas.microsoft.com/office/excel/2006/main">
          <x14:cfRule type="expression" priority="5" id="{f4092c2b-b86b-4881-b28f-e4ed4d7e6a8a}">
            <xm:f>SUM('Pre 16 Ready Reckoner'!$G$29:$H$36)&gt;0</xm:f>
            <x14:dxf>
              <fill>
                <patternFill>
                  <bgColor rgb="FFFF0000"/>
                </patternFill>
              </fill>
            </x14:dxf>
          </x14:cfRule>
          <xm:sqref>E88:L88</xm:sqref>
        </x14:conditionalFormatting>
        <x14:conditionalFormatting xmlns:xm="http://schemas.microsoft.com/office/excel/2006/main">
          <x14:cfRule type="expression" priority="4" id="{1952ae2f-7af5-45e7-9861-baede9b388a6}">
            <xm:f>SUM('Pre 16 Ready Reckoner'!$G$38:$H$40,'Pre 16 Ready Reckoner'!$G$43:$H$47)&gt;0</xm:f>
            <x14:dxf>
              <fill>
                <patternFill>
                  <bgColor rgb="FFFF0000"/>
                </patternFill>
              </fill>
            </x14:dxf>
          </x14:cfRule>
          <xm:sqref>E89:L89</xm:sqref>
        </x14:conditionalFormatting>
        <x14:conditionalFormatting xmlns:xm="http://schemas.microsoft.com/office/excel/2006/main">
          <x14:cfRule type="expression" priority="2" id="{7d68db82-ac8f-4117-b0e4-b4cb83e51199}">
            <xm:f>SUM('Pre 16 Ready Reckoner'!$G$68:$H$70)&gt;0</xm:f>
            <x14:dxf>
              <fill>
                <patternFill>
                  <bgColor rgb="FFFF0000"/>
                </patternFill>
              </fill>
            </x14:dxf>
          </x14:cfRule>
          <xm:sqref>E117:L117</xm:sqref>
        </x14:conditionalFormatting>
      </x14:conditionalFormattings>
    </ext>
  </extLst>
</worksheet>
</file>

<file path=xl/worksheets/sheet7.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1">
    <pageSetUpPr fitToPage="1"/>
  </sheetPr>
  <dimension ref="A1:AF82"/>
  <sheetViews>
    <sheetView topLeftCell="A22" showGridLines="0" showRowColHeaders="0" zoomScale="70" view="normal" workbookViewId="0">
      <selection pane="topLeft" activeCell="A77" sqref="A77"/>
    </sheetView>
  </sheetViews>
  <sheetFormatPr defaultColWidth="0" zeroHeight="true" customHeight="true" defaultRowHeight="0"/>
  <cols>
    <col min="1" max="1" width="2.00390625" style="233" customWidth="1"/>
    <col min="2" max="2" width="3.00390625" style="233" customWidth="1"/>
    <col min="3" max="3" width="29.625" style="341" customWidth="1"/>
    <col min="4" max="4" width="40.375" style="342" customWidth="1"/>
    <col min="5" max="5" width="18.625" style="233" customWidth="1"/>
    <col min="6" max="6" width="17.25390625" style="233" customWidth="1"/>
    <col min="7" max="7" width="18.875" style="233" customWidth="1"/>
    <col min="8" max="8" width="17.875" style="233" customWidth="1"/>
    <col min="9" max="9" width="23.75390625" style="233" customWidth="1"/>
    <col min="10" max="10" width="26.00390625" style="233" customWidth="1"/>
    <col min="11" max="11" width="20.75390625" style="233" customWidth="1"/>
    <col min="12" max="12" width="24.625" style="233" customWidth="1"/>
    <col min="13" max="13" width="24.75390625" style="233" customWidth="1"/>
    <col min="14" max="14" width="3.125" style="233" customWidth="1"/>
    <col min="15" max="15" width="6.625" style="233" customWidth="1"/>
    <col min="16" max="16" width="45.625" style="233" hidden="1" customWidth="1"/>
    <col min="17" max="23" width="20.625" style="233" hidden="1" customWidth="1"/>
    <col min="24" max="24" width="5.625" style="233" hidden="1" customWidth="1"/>
    <col min="25" max="25" width="45.625" style="233" hidden="1" customWidth="1"/>
    <col min="26" max="32" width="20.625" style="233" hidden="1" customWidth="1"/>
    <col min="33" max="16384" width="2.25390625" style="233" hidden="1" customWidth="1"/>
  </cols>
  <sheetData>
    <row r="1" spans="2:18" s="210" customFormat="1" ht="15">
      <c r="B1" s="206"/>
      <c r="C1" s="207"/>
      <c r="D1" s="208"/>
      <c r="E1" s="206"/>
      <c r="F1" s="206"/>
      <c r="G1" s="206"/>
      <c r="H1" s="206"/>
      <c r="I1" s="206"/>
      <c r="J1" s="209"/>
      <c r="K1" s="206"/>
      <c r="L1" s="206"/>
      <c r="M1" s="206"/>
      <c r="N1" s="206"/>
      <c r="O1" s="206"/>
      <c r="P1" s="211"/>
      <c r="Q1" s="211"/>
      <c r="R1" s="211"/>
    </row>
    <row r="2" spans="2:18" s="210" customFormat="1" ht="15">
      <c r="B2" s="206"/>
      <c r="C2" s="207"/>
      <c r="D2" s="208"/>
      <c r="E2" s="206"/>
      <c r="F2" s="206"/>
      <c r="G2" s="206"/>
      <c r="H2" s="206"/>
      <c r="I2" s="206"/>
      <c r="J2" s="206"/>
      <c r="K2" s="206"/>
      <c r="L2" s="206"/>
      <c r="M2" s="206"/>
      <c r="N2" s="206"/>
      <c r="O2" s="206"/>
      <c r="P2" s="211"/>
      <c r="Q2" s="211"/>
      <c r="R2" s="211"/>
    </row>
    <row r="3" spans="2:18" s="210" customFormat="1" ht="15">
      <c r="B3" s="206"/>
      <c r="C3" s="207"/>
      <c r="D3" s="212"/>
      <c r="E3" s="206"/>
      <c r="F3" s="206"/>
      <c r="G3" s="206"/>
      <c r="H3" s="206"/>
      <c r="I3" s="206"/>
      <c r="J3" s="206"/>
      <c r="K3" s="206"/>
      <c r="L3" s="206"/>
      <c r="M3" s="206"/>
      <c r="N3" s="206"/>
      <c r="O3" s="206"/>
      <c r="P3" s="211"/>
      <c r="Q3" s="211"/>
      <c r="R3" s="211"/>
    </row>
    <row r="4" spans="2:17" s="210" customFormat="1" ht="14.25" customHeight="1">
      <c r="B4" s="206"/>
      <c r="C4" s="207"/>
      <c r="O4" s="206"/>
      <c r="Q4" s="211"/>
    </row>
    <row r="5" spans="2:17" s="210" customFormat="1" ht="15">
      <c r="B5" s="206"/>
      <c r="C5" s="207"/>
      <c r="O5" s="206"/>
      <c r="Q5" s="211"/>
    </row>
    <row r="6" spans="2:17" s="210" customFormat="1" ht="15">
      <c r="B6" s="206"/>
      <c r="C6" s="207"/>
      <c r="D6" s="974" t="s">
        <v>729</v>
      </c>
      <c r="E6" s="974"/>
      <c r="F6" s="974"/>
      <c r="G6" s="974"/>
      <c r="H6" s="974"/>
      <c r="I6" s="974"/>
      <c r="J6" s="974"/>
      <c r="K6" s="974"/>
      <c r="L6" s="974"/>
      <c r="M6" s="974"/>
      <c r="N6" s="974"/>
      <c r="O6" s="206"/>
      <c r="Q6" s="211"/>
    </row>
    <row r="7" spans="2:17" s="210" customFormat="1" ht="15.75" thickBot="1">
      <c r="B7" s="206"/>
      <c r="C7" s="207"/>
      <c r="D7" s="974"/>
      <c r="E7" s="974"/>
      <c r="F7" s="974"/>
      <c r="G7" s="974"/>
      <c r="H7" s="974"/>
      <c r="I7" s="974"/>
      <c r="J7" s="974"/>
      <c r="K7" s="974"/>
      <c r="L7" s="974"/>
      <c r="M7" s="974"/>
      <c r="N7" s="974"/>
      <c r="O7" s="206"/>
      <c r="Q7" s="211"/>
    </row>
    <row r="8" spans="2:23" s="210" customFormat="1" ht="19.5" thickBot="1">
      <c r="B8" s="975" t="s">
        <v>825</v>
      </c>
      <c r="C8" s="976"/>
      <c r="D8" s="976"/>
      <c r="E8" s="976"/>
      <c r="F8" s="976"/>
      <c r="G8" s="976"/>
      <c r="H8" s="976"/>
      <c r="I8" s="976"/>
      <c r="J8" s="976"/>
      <c r="K8" s="976"/>
      <c r="L8" s="976"/>
      <c r="M8" s="976"/>
      <c r="N8" s="977"/>
      <c r="O8" s="206"/>
      <c r="P8" s="552" t="s">
        <v>1103</v>
      </c>
      <c r="Q8" s="553"/>
      <c r="R8" s="553"/>
      <c r="S8" s="553"/>
      <c r="T8" s="553"/>
      <c r="U8" s="553"/>
      <c r="V8" s="553"/>
      <c r="W8" s="554"/>
    </row>
    <row r="9" spans="2:15" s="210" customFormat="1" ht="15">
      <c r="B9" s="206"/>
      <c r="C9" s="207"/>
      <c r="D9" s="208"/>
      <c r="E9" s="206"/>
      <c r="F9" s="206"/>
      <c r="G9" s="206"/>
      <c r="H9" s="206"/>
      <c r="I9" s="206"/>
      <c r="J9" s="206"/>
      <c r="K9" s="206"/>
      <c r="L9" s="206"/>
      <c r="M9" s="206"/>
      <c r="N9" s="206"/>
      <c r="O9" s="206"/>
    </row>
    <row r="10" spans="2:15" s="210" customFormat="1" ht="15.75" thickBot="1">
      <c r="B10" s="206"/>
      <c r="C10" s="207"/>
      <c r="D10" s="208"/>
      <c r="E10" s="206"/>
      <c r="F10" s="206"/>
      <c r="G10" s="206"/>
      <c r="H10" s="206"/>
      <c r="I10" s="206"/>
      <c r="J10" s="206"/>
      <c r="K10" s="206"/>
      <c r="L10" s="206"/>
      <c r="M10" s="206"/>
      <c r="N10" s="206"/>
      <c r="O10" s="206"/>
    </row>
    <row r="11" spans="2:32" s="210" customFormat="1" ht="48" customHeight="1" thickTop="1">
      <c r="B11" s="213"/>
      <c r="C11" s="978" t="s">
        <v>1190</v>
      </c>
      <c r="D11" s="978"/>
      <c r="E11" s="978"/>
      <c r="F11" s="978"/>
      <c r="G11" s="978"/>
      <c r="H11" s="978"/>
      <c r="I11" s="978"/>
      <c r="J11" s="978"/>
      <c r="K11" s="978"/>
      <c r="L11" s="978"/>
      <c r="M11" s="978"/>
      <c r="N11" s="214"/>
      <c r="O11" s="206"/>
      <c r="Q11" s="555" t="s">
        <v>795</v>
      </c>
      <c r="R11" s="555" t="s">
        <v>796</v>
      </c>
      <c r="S11" s="555" t="s">
        <v>797</v>
      </c>
      <c r="T11" s="555" t="s">
        <v>798</v>
      </c>
      <c r="U11" s="555" t="s">
        <v>799</v>
      </c>
      <c r="V11" s="555" t="s">
        <v>800</v>
      </c>
      <c r="W11" s="555" t="s">
        <v>801</v>
      </c>
      <c r="Z11" s="555" t="s">
        <v>795</v>
      </c>
      <c r="AA11" s="555" t="s">
        <v>796</v>
      </c>
      <c r="AB11" s="555" t="s">
        <v>797</v>
      </c>
      <c r="AC11" s="555" t="s">
        <v>798</v>
      </c>
      <c r="AD11" s="555" t="s">
        <v>799</v>
      </c>
      <c r="AE11" s="555" t="s">
        <v>800</v>
      </c>
      <c r="AF11" s="555" t="s">
        <v>801</v>
      </c>
    </row>
    <row r="12" spans="2:32" s="210" customFormat="1" ht="18.75">
      <c r="B12" s="215"/>
      <c r="C12" s="206"/>
      <c r="D12" s="208"/>
      <c r="E12" s="216"/>
      <c r="F12" s="206"/>
      <c r="G12" s="979"/>
      <c r="H12" s="206"/>
      <c r="I12" s="206"/>
      <c r="J12" s="206"/>
      <c r="K12" s="206"/>
      <c r="L12" s="206"/>
      <c r="M12" s="206"/>
      <c r="N12" s="217"/>
      <c r="O12" s="206"/>
      <c r="P12"/>
      <c r="Q12"/>
      <c r="R12"/>
      <c r="S12"/>
      <c r="T12"/>
      <c r="U12"/>
      <c r="V12"/>
      <c r="W12"/>
      <c r="Y12"/>
      <c r="Z12"/>
      <c r="AA12"/>
      <c r="AB12"/>
      <c r="AC12"/>
      <c r="AD12"/>
      <c r="AE12"/>
      <c r="AF12"/>
    </row>
    <row r="13" spans="2:32" s="210" customFormat="1" ht="15.75" thickBot="1">
      <c r="B13" s="215"/>
      <c r="C13" s="207"/>
      <c r="D13" s="208"/>
      <c r="E13" s="206"/>
      <c r="F13" s="206"/>
      <c r="G13" s="979"/>
      <c r="H13" s="206"/>
      <c r="I13" s="206"/>
      <c r="J13" s="206"/>
      <c r="K13" s="206"/>
      <c r="L13" s="206"/>
      <c r="M13" s="206"/>
      <c r="N13" s="217"/>
      <c r="O13" s="206"/>
      <c r="P13" s="640" t="s">
        <v>537</v>
      </c>
      <c r="Q13"/>
      <c r="R13"/>
      <c r="S13"/>
      <c r="T13"/>
      <c r="U13"/>
      <c r="V13"/>
      <c r="W13"/>
      <c r="Y13" s="640" t="s">
        <v>785</v>
      </c>
      <c r="Z13"/>
      <c r="AA13"/>
      <c r="AB13"/>
      <c r="AC13"/>
      <c r="AD13"/>
      <c r="AE13"/>
      <c r="AF13"/>
    </row>
    <row r="14" spans="2:32" s="210" customFormat="1" ht="19.5" thickBot="1">
      <c r="B14" s="215"/>
      <c r="C14" s="218" t="s">
        <v>170</v>
      </c>
      <c r="D14" s="965" t="str">
        <f>IF(OR(LA_Name_Value="",LA_Name_Value="Please Select"),"",LA_Name_Value)</f>
        <v/>
      </c>
      <c r="E14" s="966"/>
      <c r="F14" s="218"/>
      <c r="G14" s="206"/>
      <c r="H14" s="206"/>
      <c r="I14" s="219"/>
      <c r="K14" s="220"/>
      <c r="L14" s="218" t="s">
        <v>660</v>
      </c>
      <c r="M14" s="221" t="str">
        <f>IF($D$14="","",INDEX(Proforma_current_year!$A:$A,MATCH($D$14,Proforma_current_year!$B:$B,0)))</f>
        <v/>
      </c>
      <c r="N14" s="217"/>
      <c r="O14" s="206"/>
      <c r="P14" s="559" t="s">
        <v>1079</v>
      </c>
      <c r="Q14" s="907">
        <f>SUM('Pupil_Place Numbers'!D23:D29)</f>
        <v>0</v>
      </c>
      <c r="R14" s="907">
        <f>SUM('Pupil_Place Numbers'!E23:E29)</f>
        <v>0</v>
      </c>
      <c r="S14" s="907">
        <f>SUM('Pupil_Place Numbers'!F23:F29)</f>
        <v>0</v>
      </c>
      <c r="T14" s="907">
        <f>SUM('Pupil_Place Numbers'!G23:G29)</f>
        <v>0</v>
      </c>
      <c r="U14" s="907">
        <f>SUM('Pupil_Place Numbers'!H23:H29)</f>
        <v>0</v>
      </c>
      <c r="V14" s="907">
        <f>SUM('Pupil_Place Numbers'!I23:I29)</f>
        <v>0</v>
      </c>
      <c r="W14" s="907">
        <f>SUM('Pupil_Place Numbers'!J23:J29)</f>
        <v>0</v>
      </c>
      <c r="Y14" s="900" t="s">
        <v>1079</v>
      </c>
      <c r="Z14" s="901">
        <f>COUNTIF('Pupil_Place Numbers'!D23:D29,"&gt;0")</f>
        <v>0</v>
      </c>
      <c r="AA14" s="901">
        <f>COUNTIF('Pupil_Place Numbers'!E23:E29,"&gt;0")</f>
        <v>0</v>
      </c>
      <c r="AB14" s="901">
        <f>COUNTIF('Pupil_Place Numbers'!F23:F29,"&gt;0")</f>
        <v>0</v>
      </c>
      <c r="AC14" s="901">
        <f>COUNTIF('Pupil_Place Numbers'!G23:G29,"&gt;0")</f>
        <v>0</v>
      </c>
      <c r="AD14" s="901">
        <f>COUNTIF('Pupil_Place Numbers'!H23:H29,"&gt;0")</f>
        <v>0</v>
      </c>
      <c r="AE14" s="901">
        <f>COUNTIF('Pupil_Place Numbers'!I23:I29,"&gt;0")</f>
        <v>0</v>
      </c>
      <c r="AF14" s="901">
        <f>COUNTIF('Pupil_Place Numbers'!J23:J29,"&gt;0")</f>
        <v>0</v>
      </c>
    </row>
    <row r="15" spans="2:32" s="210" customFormat="1" ht="19.5" thickBot="1">
      <c r="B15" s="215"/>
      <c r="C15" s="218" t="s">
        <v>661</v>
      </c>
      <c r="D15" s="965" t="str">
        <f>IF(OR('G2. Cover Sheet'!$C$4="",'G2. Cover Sheet'!$C$4="Please Select"),"Please Select",IF('G2. Cover Sheet'!$C$4="UTC","UTC",INDEX(SchoolPhase,MATCH('G2. Cover Sheet'!$C$18,AgeRange,0))))</f>
        <v>Secondary</v>
      </c>
      <c r="E15" s="966"/>
      <c r="F15" s="222"/>
      <c r="G15" s="223"/>
      <c r="H15" s="206"/>
      <c r="I15" s="206"/>
      <c r="J15" s="206"/>
      <c r="K15" s="222"/>
      <c r="L15" s="222"/>
      <c r="M15" s="224"/>
      <c r="N15" s="217"/>
      <c r="O15" s="206"/>
      <c r="P15" s="559" t="s">
        <v>670</v>
      </c>
      <c r="Q15" s="907">
        <f>'Pupil_Place Numbers'!D30</f>
        <v>0</v>
      </c>
      <c r="R15" s="907">
        <f>'Pupil_Place Numbers'!E30</f>
        <v>0</v>
      </c>
      <c r="S15" s="907">
        <f>'Pupil_Place Numbers'!F30</f>
        <v>0</v>
      </c>
      <c r="T15" s="907">
        <f>'Pupil_Place Numbers'!G30</f>
        <v>0</v>
      </c>
      <c r="U15" s="907">
        <f>'Pupil_Place Numbers'!H30</f>
        <v>0</v>
      </c>
      <c r="V15" s="907">
        <f>'Pupil_Place Numbers'!I30</f>
        <v>0</v>
      </c>
      <c r="W15" s="907">
        <f>'Pupil_Place Numbers'!J30</f>
        <v>0</v>
      </c>
      <c r="Y15" s="900" t="s">
        <v>670</v>
      </c>
      <c r="Z15" s="902">
        <f>COUNTIF('Pupil_Place Numbers'!D30,"&gt;0")</f>
        <v>0</v>
      </c>
      <c r="AA15" s="902">
        <f>COUNTIF('Pupil_Place Numbers'!E30,"&gt;0")</f>
        <v>0</v>
      </c>
      <c r="AB15" s="902">
        <f>COUNTIF('Pupil_Place Numbers'!F30,"&gt;0")</f>
        <v>0</v>
      </c>
      <c r="AC15" s="902">
        <f>COUNTIF('Pupil_Place Numbers'!G30,"&gt;0")</f>
        <v>0</v>
      </c>
      <c r="AD15" s="902">
        <f>COUNTIF('Pupil_Place Numbers'!H30,"&gt;0")</f>
        <v>0</v>
      </c>
      <c r="AE15" s="902">
        <f>COUNTIF('Pupil_Place Numbers'!I30,"&gt;0")</f>
        <v>0</v>
      </c>
      <c r="AF15" s="902">
        <f>COUNTIF('Pupil_Place Numbers'!J30,"&gt;0")</f>
        <v>0</v>
      </c>
    </row>
    <row r="16" spans="2:32" s="210" customFormat="1" ht="18.75">
      <c r="B16" s="215"/>
      <c r="C16" s="225"/>
      <c r="D16" s="223"/>
      <c r="E16" s="206"/>
      <c r="F16" s="222"/>
      <c r="G16" s="223"/>
      <c r="H16" s="206"/>
      <c r="I16" s="206"/>
      <c r="J16" s="206"/>
      <c r="K16" s="222"/>
      <c r="L16" s="222"/>
      <c r="M16" s="224"/>
      <c r="N16" s="217"/>
      <c r="O16" s="206"/>
      <c r="P16" s="559" t="s">
        <v>719</v>
      </c>
      <c r="Q16" s="907">
        <f>'Pupil_Place Numbers'!D31</f>
        <v>0</v>
      </c>
      <c r="R16" s="907">
        <f>'Pupil_Place Numbers'!E31</f>
        <v>0</v>
      </c>
      <c r="S16" s="907">
        <f>'Pupil_Place Numbers'!F31</f>
        <v>0</v>
      </c>
      <c r="T16" s="907">
        <f>'Pupil_Place Numbers'!G31</f>
        <v>0</v>
      </c>
      <c r="U16" s="907">
        <f>'Pupil_Place Numbers'!H31</f>
        <v>0</v>
      </c>
      <c r="V16" s="907">
        <f>'Pupil_Place Numbers'!I31</f>
        <v>0</v>
      </c>
      <c r="W16" s="907">
        <f>'Pupil_Place Numbers'!J31</f>
        <v>0</v>
      </c>
      <c r="Y16" s="900" t="s">
        <v>719</v>
      </c>
      <c r="Z16" s="902">
        <f>COUNTIF('Pupil_Place Numbers'!D31,"&gt;0")</f>
        <v>0</v>
      </c>
      <c r="AA16" s="902">
        <f>COUNTIF('Pupil_Place Numbers'!E31,"&gt;0")</f>
        <v>0</v>
      </c>
      <c r="AB16" s="902">
        <f>COUNTIF('Pupil_Place Numbers'!F31,"&gt;0")</f>
        <v>0</v>
      </c>
      <c r="AC16" s="902">
        <f>COUNTIF('Pupil_Place Numbers'!G31,"&gt;0")</f>
        <v>0</v>
      </c>
      <c r="AD16" s="902">
        <f>COUNTIF('Pupil_Place Numbers'!H31,"&gt;0")</f>
        <v>0</v>
      </c>
      <c r="AE16" s="902">
        <f>COUNTIF('Pupil_Place Numbers'!I31,"&gt;0")</f>
        <v>0</v>
      </c>
      <c r="AF16" s="902">
        <f>COUNTIF('Pupil_Place Numbers'!J31,"&gt;0")</f>
        <v>0</v>
      </c>
    </row>
    <row r="17" spans="2:32" s="210" customFormat="1" ht="18.75">
      <c r="B17" s="215"/>
      <c r="C17" s="225"/>
      <c r="D17" s="223"/>
      <c r="E17" s="206"/>
      <c r="F17" s="222"/>
      <c r="G17" s="223"/>
      <c r="H17" s="206"/>
      <c r="I17" s="206"/>
      <c r="J17" s="206"/>
      <c r="K17" s="222"/>
      <c r="L17" s="222"/>
      <c r="M17" s="224"/>
      <c r="N17" s="217"/>
      <c r="O17" s="206"/>
      <c r="P17" s="559" t="s">
        <v>720</v>
      </c>
      <c r="Q17" s="907">
        <f>'Pupil_Place Numbers'!D32</f>
        <v>0</v>
      </c>
      <c r="R17" s="907">
        <f>'Pupil_Place Numbers'!E32</f>
        <v>0</v>
      </c>
      <c r="S17" s="907">
        <f>'Pupil_Place Numbers'!F32</f>
        <v>0</v>
      </c>
      <c r="T17" s="907">
        <f>'Pupil_Place Numbers'!G32</f>
        <v>0</v>
      </c>
      <c r="U17" s="907">
        <f>'Pupil_Place Numbers'!H32</f>
        <v>0</v>
      </c>
      <c r="V17" s="907">
        <f>'Pupil_Place Numbers'!I32</f>
        <v>0</v>
      </c>
      <c r="W17" s="907">
        <f>'Pupil_Place Numbers'!J32</f>
        <v>0</v>
      </c>
      <c r="Y17" s="900" t="s">
        <v>720</v>
      </c>
      <c r="Z17" s="902">
        <f>COUNTIF('Pupil_Place Numbers'!D32,"&gt;0")</f>
        <v>0</v>
      </c>
      <c r="AA17" s="902">
        <f>COUNTIF('Pupil_Place Numbers'!E32,"&gt;0")</f>
        <v>0</v>
      </c>
      <c r="AB17" s="902">
        <f>COUNTIF('Pupil_Place Numbers'!F32,"&gt;0")</f>
        <v>0</v>
      </c>
      <c r="AC17" s="902">
        <f>COUNTIF('Pupil_Place Numbers'!G32,"&gt;0")</f>
        <v>0</v>
      </c>
      <c r="AD17" s="902">
        <f>COUNTIF('Pupil_Place Numbers'!H32,"&gt;0")</f>
        <v>0</v>
      </c>
      <c r="AE17" s="902">
        <f>COUNTIF('Pupil_Place Numbers'!I32,"&gt;0")</f>
        <v>0</v>
      </c>
      <c r="AF17" s="902">
        <f>COUNTIF('Pupil_Place Numbers'!J32,"&gt;0")</f>
        <v>0</v>
      </c>
    </row>
    <row r="18" spans="2:32" s="210" customFormat="1" ht="18.75">
      <c r="B18" s="215"/>
      <c r="C18" s="218" t="s">
        <v>662</v>
      </c>
      <c r="D18" s="223"/>
      <c r="E18" s="206"/>
      <c r="F18" s="222"/>
      <c r="G18" s="223"/>
      <c r="H18" s="206"/>
      <c r="I18" s="206"/>
      <c r="J18" s="206"/>
      <c r="K18" s="222"/>
      <c r="L18" s="222"/>
      <c r="M18" s="224"/>
      <c r="N18" s="217"/>
      <c r="O18" s="206"/>
      <c r="P18" s="559" t="s">
        <v>1245</v>
      </c>
      <c r="Q18" s="907">
        <f>'Pupil_Place Numbers'!D33</f>
        <v>0</v>
      </c>
      <c r="R18" s="907">
        <f>'Pupil_Place Numbers'!E33</f>
        <v>0</v>
      </c>
      <c r="S18" s="907">
        <f>'Pupil_Place Numbers'!F33</f>
        <v>0</v>
      </c>
      <c r="T18" s="907">
        <f>'Pupil_Place Numbers'!G33</f>
        <v>0</v>
      </c>
      <c r="U18" s="907">
        <f>'Pupil_Place Numbers'!H33</f>
        <v>0</v>
      </c>
      <c r="V18" s="907">
        <f>'Pupil_Place Numbers'!I33</f>
        <v>0</v>
      </c>
      <c r="W18" s="907">
        <f>'Pupil_Place Numbers'!J33</f>
        <v>0</v>
      </c>
      <c r="Y18" s="900" t="s">
        <v>1245</v>
      </c>
      <c r="Z18" s="902">
        <f>COUNTIF('Pupil_Place Numbers'!D33,"&gt;0")</f>
        <v>0</v>
      </c>
      <c r="AA18" s="902">
        <f>COUNTIF('Pupil_Place Numbers'!E33,"&gt;0")</f>
        <v>0</v>
      </c>
      <c r="AB18" s="902">
        <f>COUNTIF('Pupil_Place Numbers'!F33,"&gt;0")</f>
        <v>0</v>
      </c>
      <c r="AC18" s="902">
        <f>COUNTIF('Pupil_Place Numbers'!G33,"&gt;0")</f>
        <v>0</v>
      </c>
      <c r="AD18" s="902">
        <f>COUNTIF('Pupil_Place Numbers'!H33,"&gt;0")</f>
        <v>0</v>
      </c>
      <c r="AE18" s="902">
        <f>COUNTIF('Pupil_Place Numbers'!I33,"&gt;0")</f>
        <v>0</v>
      </c>
      <c r="AF18" s="902">
        <f>COUNTIF('Pupil_Place Numbers'!J33,"&gt;0")</f>
        <v>0</v>
      </c>
    </row>
    <row r="19" spans="2:32" s="210" customFormat="1" ht="18.75">
      <c r="B19" s="215"/>
      <c r="C19" s="227" t="s">
        <v>663</v>
      </c>
      <c r="D19" s="223"/>
      <c r="E19" s="206"/>
      <c r="F19" s="222"/>
      <c r="G19" s="223"/>
      <c r="H19" s="206"/>
      <c r="I19" s="206"/>
      <c r="J19" s="206"/>
      <c r="K19" s="222"/>
      <c r="L19" s="222"/>
      <c r="M19" s="224"/>
      <c r="N19" s="217"/>
      <c r="O19" s="206"/>
      <c r="P19" s="559" t="s">
        <v>1246</v>
      </c>
      <c r="Q19" s="907">
        <f>'Pupil_Place Numbers'!D34</f>
        <v>0</v>
      </c>
      <c r="R19" s="907">
        <f>'Pupil_Place Numbers'!E34</f>
        <v>0</v>
      </c>
      <c r="S19" s="907">
        <f>'Pupil_Place Numbers'!F34</f>
        <v>0</v>
      </c>
      <c r="T19" s="907">
        <f>'Pupil_Place Numbers'!G34</f>
        <v>0</v>
      </c>
      <c r="U19" s="907">
        <f>'Pupil_Place Numbers'!H34</f>
        <v>0</v>
      </c>
      <c r="V19" s="907">
        <f>'Pupil_Place Numbers'!I34</f>
        <v>0</v>
      </c>
      <c r="W19" s="907">
        <f>'Pupil_Place Numbers'!J34</f>
        <v>0</v>
      </c>
      <c r="Y19" s="900" t="s">
        <v>1246</v>
      </c>
      <c r="Z19" s="902">
        <f>COUNTIF('Pupil_Place Numbers'!D34,"&gt;0")</f>
        <v>0</v>
      </c>
      <c r="AA19" s="902">
        <f>COUNTIF('Pupil_Place Numbers'!E34,"&gt;0")</f>
        <v>0</v>
      </c>
      <c r="AB19" s="902">
        <f>COUNTIF('Pupil_Place Numbers'!F34,"&gt;0")</f>
        <v>0</v>
      </c>
      <c r="AC19" s="902">
        <f>COUNTIF('Pupil_Place Numbers'!G34,"&gt;0")</f>
        <v>0</v>
      </c>
      <c r="AD19" s="902">
        <f>COUNTIF('Pupil_Place Numbers'!H34,"&gt;0")</f>
        <v>0</v>
      </c>
      <c r="AE19" s="902">
        <f>COUNTIF('Pupil_Place Numbers'!I34,"&gt;0")</f>
        <v>0</v>
      </c>
      <c r="AF19" s="902">
        <f>COUNTIF('Pupil_Place Numbers'!J34,"&gt;0")</f>
        <v>0</v>
      </c>
    </row>
    <row r="20" spans="2:23" ht="15.75" thickBot="1">
      <c r="B20" s="226"/>
      <c r="D20" s="228"/>
      <c r="E20" s="229"/>
      <c r="F20" s="230"/>
      <c r="G20" s="230"/>
      <c r="H20" s="230"/>
      <c r="I20" s="230"/>
      <c r="J20" s="230"/>
      <c r="K20" s="230"/>
      <c r="L20" s="230"/>
      <c r="M20" s="231"/>
      <c r="N20" s="232"/>
      <c r="P20"/>
      <c r="Q20"/>
      <c r="R20"/>
      <c r="S20"/>
      <c r="T20"/>
      <c r="U20"/>
      <c r="V20"/>
      <c r="W20"/>
    </row>
    <row r="21" spans="2:16" ht="15.75" customHeight="1" thickBot="1">
      <c r="B21" s="226"/>
      <c r="C21" s="984" t="s">
        <v>664</v>
      </c>
      <c r="D21" s="234" t="s">
        <v>665</v>
      </c>
      <c r="E21" s="682" t="s">
        <v>666</v>
      </c>
      <c r="F21" s="967"/>
      <c r="G21" s="987" t="s">
        <v>667</v>
      </c>
      <c r="H21" s="988"/>
      <c r="I21" s="988"/>
      <c r="J21" s="812" t="s">
        <v>1213</v>
      </c>
      <c r="K21" s="682" t="s">
        <v>668</v>
      </c>
      <c r="L21" s="967"/>
      <c r="M21" s="235" t="s">
        <v>669</v>
      </c>
      <c r="N21" s="232"/>
      <c r="P21" s="558" t="s">
        <v>745</v>
      </c>
    </row>
    <row r="22" spans="2:23" ht="15">
      <c r="B22" s="226"/>
      <c r="C22" s="868"/>
      <c r="D22" s="236" t="s">
        <v>1079</v>
      </c>
      <c r="E22" s="968">
        <f>IFERROR(IF($M$14="",0,INDEX(Proforma_current_year!$G:$G,MATCH($M$14,Proforma_current_year!$A:$A,0))),0)</f>
        <v>0</v>
      </c>
      <c r="F22" s="969"/>
      <c r="G22" s="972">
        <f>SUM('Pupil_Place Numbers'!C23:C29)</f>
        <v>0</v>
      </c>
      <c r="H22" s="973"/>
      <c r="I22" s="973"/>
      <c r="J22" s="813">
        <f>COUNTIF('Pupil_Place Numbers'!C23:C29,"&gt;0")</f>
        <v>0</v>
      </c>
      <c r="K22" s="970">
        <f>IFERROR(Open_Proportion*E22*G22,0)</f>
        <v>0</v>
      </c>
      <c r="L22" s="971"/>
      <c r="M22" s="981">
        <f>SUM(K22:L27)</f>
        <v>0</v>
      </c>
      <c r="N22" s="232"/>
      <c r="P22" s="559" t="s">
        <v>1079</v>
      </c>
      <c r="Q22" s="560">
        <f>Q14*'Pre 16 Ready Reckoner'!$E22</f>
        <v>0</v>
      </c>
      <c r="R22" s="560">
        <f>R14*'Pre 16 Ready Reckoner'!$E22</f>
        <v>0</v>
      </c>
      <c r="S22" s="560">
        <f>S14*'Pre 16 Ready Reckoner'!$E22</f>
        <v>0</v>
      </c>
      <c r="T22" s="560">
        <f>T14*'Pre 16 Ready Reckoner'!$E22</f>
        <v>0</v>
      </c>
      <c r="U22" s="560">
        <f>U14*'Pre 16 Ready Reckoner'!$E22</f>
        <v>0</v>
      </c>
      <c r="V22" s="560">
        <f>V14*'Pre 16 Ready Reckoner'!$E22</f>
        <v>0</v>
      </c>
      <c r="W22" s="560">
        <f>W14*'Pre 16 Ready Reckoner'!$E22</f>
        <v>0</v>
      </c>
    </row>
    <row r="23" spans="2:23" ht="15">
      <c r="B23" s="226"/>
      <c r="C23" s="868"/>
      <c r="D23" s="238" t="s">
        <v>670</v>
      </c>
      <c r="E23" s="994">
        <f>IFERROR(IF($M$14="",0,INDEX(Proforma_current_year!$H:$H,MATCH($M$14,Proforma_current_year!$A:$A,0))),0)</f>
        <v>0</v>
      </c>
      <c r="F23" s="995"/>
      <c r="G23" s="998">
        <f>'Pupil_Place Numbers'!C30</f>
        <v>0</v>
      </c>
      <c r="H23" s="999"/>
      <c r="I23" s="999"/>
      <c r="J23" s="814">
        <f>COUNTIF('Pupil_Place Numbers'!C30,"&gt;0")</f>
        <v>0</v>
      </c>
      <c r="K23" s="996">
        <f>IFERROR(Open_Proportion*E23*G23,0)</f>
        <v>0</v>
      </c>
      <c r="L23" s="997"/>
      <c r="M23" s="982"/>
      <c r="N23" s="232"/>
      <c r="P23" s="559" t="s">
        <v>670</v>
      </c>
      <c r="Q23" s="560">
        <f>Q15*'Pre 16 Ready Reckoner'!$E23</f>
        <v>0</v>
      </c>
      <c r="R23" s="560">
        <f>R15*'Pre 16 Ready Reckoner'!$E23</f>
        <v>0</v>
      </c>
      <c r="S23" s="560">
        <f>S15*'Pre 16 Ready Reckoner'!$E23</f>
        <v>0</v>
      </c>
      <c r="T23" s="560">
        <f>T15*'Pre 16 Ready Reckoner'!$E23</f>
        <v>0</v>
      </c>
      <c r="U23" s="560">
        <f>U15*'Pre 16 Ready Reckoner'!$E23</f>
        <v>0</v>
      </c>
      <c r="V23" s="560">
        <f>V15*'Pre 16 Ready Reckoner'!$E23</f>
        <v>0</v>
      </c>
      <c r="W23" s="560">
        <f>W15*'Pre 16 Ready Reckoner'!$E23</f>
        <v>0</v>
      </c>
    </row>
    <row r="24" spans="2:23" ht="15">
      <c r="B24" s="226"/>
      <c r="C24" s="868"/>
      <c r="D24" s="238" t="s">
        <v>719</v>
      </c>
      <c r="E24" s="994">
        <f>IFERROR(IF($M$14="",0,INDEX(Proforma_current_year!$H:$H,MATCH($M$14,Proforma_current_year!$A:$A,0))),0)</f>
        <v>0</v>
      </c>
      <c r="F24" s="995"/>
      <c r="G24" s="998">
        <f>'Pupil_Place Numbers'!C31</f>
        <v>0</v>
      </c>
      <c r="H24" s="999"/>
      <c r="I24" s="999"/>
      <c r="J24" s="814">
        <f>COUNTIF('Pupil_Place Numbers'!C31,"&gt;0")</f>
        <v>0</v>
      </c>
      <c r="K24" s="996">
        <f>IFERROR(Open_Proportion*E24*G24,0)</f>
        <v>0</v>
      </c>
      <c r="L24" s="997"/>
      <c r="M24" s="982"/>
      <c r="N24" s="232"/>
      <c r="P24" s="559" t="s">
        <v>719</v>
      </c>
      <c r="Q24" s="560">
        <f>Q16*'Pre 16 Ready Reckoner'!$E24</f>
        <v>0</v>
      </c>
      <c r="R24" s="560">
        <f>R16*'Pre 16 Ready Reckoner'!$E24</f>
        <v>0</v>
      </c>
      <c r="S24" s="560">
        <f>S16*'Pre 16 Ready Reckoner'!$E24</f>
        <v>0</v>
      </c>
      <c r="T24" s="560">
        <f>T16*'Pre 16 Ready Reckoner'!$E24</f>
        <v>0</v>
      </c>
      <c r="U24" s="560">
        <f>U16*'Pre 16 Ready Reckoner'!$E24</f>
        <v>0</v>
      </c>
      <c r="V24" s="560">
        <f>V16*'Pre 16 Ready Reckoner'!$E24</f>
        <v>0</v>
      </c>
      <c r="W24" s="560">
        <f>W16*'Pre 16 Ready Reckoner'!$E24</f>
        <v>0</v>
      </c>
    </row>
    <row r="25" spans="2:23" ht="15">
      <c r="B25" s="226"/>
      <c r="C25" s="868"/>
      <c r="D25" s="238" t="s">
        <v>720</v>
      </c>
      <c r="E25" s="994">
        <f>IFERROR(IF($M$14="",0,INDEX(Proforma_current_year!$H:$H,MATCH($M$14,Proforma_current_year!$A:$A,0))),0)</f>
        <v>0</v>
      </c>
      <c r="F25" s="995"/>
      <c r="G25" s="998">
        <f>'Pupil_Place Numbers'!C32</f>
        <v>0</v>
      </c>
      <c r="H25" s="999"/>
      <c r="I25" s="999"/>
      <c r="J25" s="814">
        <f>COUNTIF('Pupil_Place Numbers'!C32,"&gt;0")</f>
        <v>0</v>
      </c>
      <c r="K25" s="996">
        <f>IFERROR(Open_Proportion*E25*G25,0)</f>
        <v>0</v>
      </c>
      <c r="L25" s="997"/>
      <c r="M25" s="982"/>
      <c r="N25" s="232"/>
      <c r="P25" s="559" t="s">
        <v>720</v>
      </c>
      <c r="Q25" s="560">
        <f>Q17*'Pre 16 Ready Reckoner'!$E25</f>
        <v>0</v>
      </c>
      <c r="R25" s="560">
        <f>R17*'Pre 16 Ready Reckoner'!$E25</f>
        <v>0</v>
      </c>
      <c r="S25" s="560">
        <f>S17*'Pre 16 Ready Reckoner'!$E25</f>
        <v>0</v>
      </c>
      <c r="T25" s="560">
        <f>T17*'Pre 16 Ready Reckoner'!$E25</f>
        <v>0</v>
      </c>
      <c r="U25" s="560">
        <f>U17*'Pre 16 Ready Reckoner'!$E25</f>
        <v>0</v>
      </c>
      <c r="V25" s="560">
        <f>V17*'Pre 16 Ready Reckoner'!$E25</f>
        <v>0</v>
      </c>
      <c r="W25" s="560">
        <f>W17*'Pre 16 Ready Reckoner'!$E25</f>
        <v>0</v>
      </c>
    </row>
    <row r="26" spans="2:23" ht="15">
      <c r="B26" s="226"/>
      <c r="C26" s="868"/>
      <c r="D26" s="237" t="s">
        <v>1245</v>
      </c>
      <c r="E26" s="985">
        <f>IFERROR(IF($M$14="",0,INDEX(Proforma_current_year!$I:$I,MATCH($M$14,Proforma_current_year!$A:$A,0))),0)</f>
        <v>0</v>
      </c>
      <c r="F26" s="985"/>
      <c r="G26" s="814">
        <f>'Pupil_Place Numbers'!C33</f>
        <v>0</v>
      </c>
      <c r="H26" s="980"/>
      <c r="I26" s="980"/>
      <c r="J26" s="814">
        <f>COUNTIF('Pupil_Place Numbers'!C33,"&gt;0")</f>
        <v>0</v>
      </c>
      <c r="K26" s="986">
        <f>IFERROR(Open_Proportion*E26*G26,0)</f>
        <v>0</v>
      </c>
      <c r="L26" s="986"/>
      <c r="M26" s="982"/>
      <c r="N26" s="232"/>
      <c r="P26" s="559" t="s">
        <v>1245</v>
      </c>
      <c r="Q26" s="560">
        <f>Q18*'Pre 16 Ready Reckoner'!$E26</f>
        <v>0</v>
      </c>
      <c r="R26" s="560">
        <f>R18*'Pre 16 Ready Reckoner'!$E26</f>
        <v>0</v>
      </c>
      <c r="S26" s="560">
        <f>S18*'Pre 16 Ready Reckoner'!$E26</f>
        <v>0</v>
      </c>
      <c r="T26" s="560">
        <f>T18*'Pre 16 Ready Reckoner'!$E26</f>
        <v>0</v>
      </c>
      <c r="U26" s="560">
        <f>U18*'Pre 16 Ready Reckoner'!$E26</f>
        <v>0</v>
      </c>
      <c r="V26" s="560">
        <f>V18*'Pre 16 Ready Reckoner'!$E26</f>
        <v>0</v>
      </c>
      <c r="W26" s="560">
        <f>W18*'Pre 16 Ready Reckoner'!$E26</f>
        <v>0</v>
      </c>
    </row>
    <row r="27" spans="2:23" ht="15.75" thickBot="1">
      <c r="B27" s="226"/>
      <c r="C27" s="868"/>
      <c r="D27" s="239" t="s">
        <v>1246</v>
      </c>
      <c r="E27" s="991">
        <f>IFERROR(IF($M$14="",0,INDEX(Proforma_current_year!$I:$I,MATCH($M$14,Proforma_current_year!$A:$A,0))),0)</f>
        <v>0</v>
      </c>
      <c r="F27" s="992"/>
      <c r="G27" s="989">
        <f>'Pupil_Place Numbers'!C34</f>
        <v>0</v>
      </c>
      <c r="H27" s="990"/>
      <c r="I27" s="990"/>
      <c r="J27" s="814">
        <f>COUNTIF('Pupil_Place Numbers'!C34,"&gt;0")</f>
        <v>0</v>
      </c>
      <c r="K27" s="993">
        <f>IFERROR(Open_Proportion*E27*G27,0)</f>
        <v>0</v>
      </c>
      <c r="L27" s="993"/>
      <c r="M27" s="983"/>
      <c r="N27" s="232"/>
      <c r="P27" s="886" t="s">
        <v>1246</v>
      </c>
      <c r="Q27" s="560">
        <f>Q19*'Pre 16 Ready Reckoner'!$E27</f>
        <v>0</v>
      </c>
      <c r="R27" s="560">
        <f>R19*'Pre 16 Ready Reckoner'!$E27</f>
        <v>0</v>
      </c>
      <c r="S27" s="560">
        <f>S19*'Pre 16 Ready Reckoner'!$E27</f>
        <v>0</v>
      </c>
      <c r="T27" s="560">
        <f>T19*'Pre 16 Ready Reckoner'!$E27</f>
        <v>0</v>
      </c>
      <c r="U27" s="560">
        <f>U19*'Pre 16 Ready Reckoner'!$E27</f>
        <v>0</v>
      </c>
      <c r="V27" s="560">
        <f>V19*'Pre 16 Ready Reckoner'!$E27</f>
        <v>0</v>
      </c>
      <c r="W27" s="560">
        <f>W19*'Pre 16 Ready Reckoner'!$E27</f>
        <v>0</v>
      </c>
    </row>
    <row r="28" spans="2:23" ht="66" customHeight="1" thickBot="1">
      <c r="B28" s="226"/>
      <c r="C28" s="984" t="s">
        <v>672</v>
      </c>
      <c r="D28" s="240" t="s">
        <v>665</v>
      </c>
      <c r="E28" s="684" t="s">
        <v>673</v>
      </c>
      <c r="F28" s="241" t="s">
        <v>674</v>
      </c>
      <c r="G28" s="242" t="s">
        <v>675</v>
      </c>
      <c r="H28" s="241" t="s">
        <v>676</v>
      </c>
      <c r="I28" s="242" t="s">
        <v>677</v>
      </c>
      <c r="J28" s="241" t="s">
        <v>678</v>
      </c>
      <c r="K28" s="243" t="s">
        <v>679</v>
      </c>
      <c r="L28" s="243" t="s">
        <v>680</v>
      </c>
      <c r="M28" s="235" t="s">
        <v>669</v>
      </c>
      <c r="N28" s="232"/>
      <c r="P28" s="420" t="s">
        <v>802</v>
      </c>
      <c r="Q28" s="349"/>
      <c r="R28" s="349"/>
      <c r="S28" s="349"/>
      <c r="T28" s="349"/>
      <c r="U28" s="349"/>
      <c r="V28" s="349"/>
      <c r="W28" s="349"/>
    </row>
    <row r="29" spans="2:23" ht="15">
      <c r="B29" s="226"/>
      <c r="C29" s="1000"/>
      <c r="D29" s="244" t="s">
        <v>721</v>
      </c>
      <c r="E29" s="245">
        <f>IF($M$14="",0,INDEX(Proforma_current_year!$J:$J,MATCH($M$14,Proforma_current_year!$A:$A,0)))</f>
        <v>0</v>
      </c>
      <c r="F29" s="249">
        <f>IF($M$14="",0,INDEX(Proforma_current_year!$K:$K,MATCH($M$14,Proforma_current_year!$A:$A,0)))</f>
        <v>0</v>
      </c>
      <c r="G29" s="356"/>
      <c r="H29" s="357"/>
      <c r="I29" s="246">
        <f>IF($M$14="",0,INDEX('LA Averages_current_year'!$K:$K,MATCH($M$14,'LA Averages_current_year'!$A:$A,0)))</f>
        <v>0</v>
      </c>
      <c r="J29" s="250">
        <f>IF($M$14="",0,INDEX('LA Averages_current_year'!$M:$M,MATCH($M$14,'LA Averages_current_year'!$A:$A,0)))</f>
        <v>0</v>
      </c>
      <c r="K29" s="247">
        <f>IFERROR(Open_Proportion*IF($G29="",$I29,$G29)*$E29*SUM($G$22:$G$22),0)</f>
        <v>0</v>
      </c>
      <c r="L29" s="251">
        <f>IFERROR(Open_Proportion*IF($H29="",$J29,$H29)*$F29*SUM($G$23:$G$27),0)</f>
        <v>0</v>
      </c>
      <c r="M29" s="1002">
        <f>SUM(K29:L36)</f>
        <v>0</v>
      </c>
      <c r="N29" s="232"/>
      <c r="P29" s="886" t="s">
        <v>721</v>
      </c>
      <c r="Q29" s="887">
        <f>IFERROR(IF($G29="",$I29,$G29)*$E29*Q$14,0)+IFERROR(IF($H29="",$J29,$H29)*$F29*SUM(Q$15:Q$19),0)</f>
        <v>0</v>
      </c>
      <c r="R29" s="887">
        <f>IFERROR(IF($G29="",$I29,$G29)*$E29*R$14,0)+IFERROR(IF($H29="",$J29,$H29)*$F29*SUM(R$15:R$19),0)</f>
        <v>0</v>
      </c>
      <c r="S29" s="887">
        <f>IFERROR(IF($G29="",$I29,$G29)*$E29*S$14,0)+IFERROR(IF($H29="",$J29,$H29)*$F29*SUM(S$15:S$19),0)</f>
        <v>0</v>
      </c>
      <c r="T29" s="887">
        <f>IFERROR(IF($G29="",$I29,$G29)*$E29*T$14,0)+IFERROR(IF($H29="",$J29,$H29)*$F29*SUM(T$15:T$19),0)</f>
        <v>0</v>
      </c>
      <c r="U29" s="887">
        <f>IFERROR(IF($G29="",$I29,$G29)*$E29*U$14,0)+IFERROR(IF($H29="",$J29,$H29)*$F29*SUM(U$15:U$19),0)</f>
        <v>0</v>
      </c>
      <c r="V29" s="887">
        <f>IFERROR(IF($G29="",$I29,$G29)*$E29*V$14,0)+IFERROR(IF($H29="",$J29,$H29)*$F29*SUM(V$15:V$19),0)</f>
        <v>0</v>
      </c>
      <c r="W29" s="887">
        <f>IFERROR(IF($G29="",$I29,$G29)*$E29*W$14,0)+IFERROR(IF($H29="",$J29,$H29)*$F29*SUM(W$15:W$19),0)</f>
        <v>0</v>
      </c>
    </row>
    <row r="30" spans="2:23" ht="15">
      <c r="B30" s="226"/>
      <c r="C30" s="1000"/>
      <c r="D30" s="248" t="s">
        <v>722</v>
      </c>
      <c r="E30" s="252">
        <f>IF($M$14="",0,INDEX(Proforma_current_year!$L:$L,MATCH($M$14,Proforma_current_year!$A:$A,0)))</f>
        <v>0</v>
      </c>
      <c r="F30" s="249">
        <f>IF($M$14="",0,INDEX(Proforma_current_year!$M:$M,MATCH($M$14,Proforma_current_year!$A:$A,0)))</f>
        <v>0</v>
      </c>
      <c r="G30" s="358"/>
      <c r="H30" s="357"/>
      <c r="I30" s="246">
        <f>IF($M$14="",0,INDEX('LA Averages_current_year'!$L:$L,MATCH($M$14,'LA Averages_current_year'!$A:$A,0)))</f>
        <v>0</v>
      </c>
      <c r="J30" s="250">
        <f>IF($M$14="",0,INDEX('LA Averages_current_year'!$N:$N,MATCH($M$14,'LA Averages_current_year'!$A:$A,0)))</f>
        <v>0</v>
      </c>
      <c r="K30" s="247">
        <f>IFERROR(Open_Proportion*IF($G30="",$I30,$G30)*$E30*SUM($G$22:$G$22),0)</f>
        <v>0</v>
      </c>
      <c r="L30" s="251">
        <f>IFERROR(Open_Proportion*IF($H30="",$J30,$H30)*$F30*SUM($G$23:$G$27),0)</f>
        <v>0</v>
      </c>
      <c r="M30" s="1003"/>
      <c r="N30" s="232"/>
      <c r="P30" s="886" t="s">
        <v>722</v>
      </c>
      <c r="Q30" s="887">
        <f>IFERROR(IF($G30="",$I30,$G30)*$E30*Q$14,0)+IFERROR(IF($H30="",$J30,$H30)*$F30*SUM(Q$15:Q$19),0)</f>
        <v>0</v>
      </c>
      <c r="R30" s="887">
        <f>IFERROR(IF($G30="",$I30,$G30)*$E30*R$14,0)+IFERROR(IF($H30="",$J30,$H30)*$F30*SUM(R$15:R$19),0)</f>
        <v>0</v>
      </c>
      <c r="S30" s="887">
        <f>IFERROR(IF($G30="",$I30,$G30)*$E30*S$14,0)+IFERROR(IF($H30="",$J30,$H30)*$F30*SUM(S$15:S$19),0)</f>
        <v>0</v>
      </c>
      <c r="T30" s="887">
        <f>IFERROR(IF($G30="",$I30,$G30)*$E30*T$14,0)+IFERROR(IF($H30="",$J30,$H30)*$F30*SUM(T$15:T$19),0)</f>
        <v>0</v>
      </c>
      <c r="U30" s="887">
        <f>IFERROR(IF($G30="",$I30,$G30)*$E30*U$14,0)+IFERROR(IF($H30="",$J30,$H30)*$F30*SUM(U$15:U$19),0)</f>
        <v>0</v>
      </c>
      <c r="V30" s="887">
        <f>IFERROR(IF($G30="",$I30,$G30)*$E30*V$14,0)+IFERROR(IF($H30="",$J30,$H30)*$F30*SUM(V$15:V$19),0)</f>
        <v>0</v>
      </c>
      <c r="W30" s="887">
        <f>IFERROR(IF($G30="",$I30,$G30)*$E30*W$14,0)+IFERROR(IF($H30="",$J30,$H30)*$F30*SUM(W$15:W$19),0)</f>
        <v>0</v>
      </c>
    </row>
    <row r="31" spans="2:23" ht="15">
      <c r="B31" s="226"/>
      <c r="C31" s="1000"/>
      <c r="D31" s="237" t="s">
        <v>1080</v>
      </c>
      <c r="E31" s="252">
        <f>IF($M$14="",0,INDEX(Proforma_current_year!$N:$N,MATCH($M$14,Proforma_current_year!$A:$A,0)))</f>
        <v>0</v>
      </c>
      <c r="F31" s="249">
        <f>IF($M$14="",0,INDEX(Proforma_current_year!$O:$O,MATCH($M$14,Proforma_current_year!$A:$A,0)))</f>
        <v>0</v>
      </c>
      <c r="G31" s="358"/>
      <c r="H31" s="357"/>
      <c r="I31" s="253">
        <f>IF($M$14="",0,INDEX('LA Averages_current_year'!$P:$P,MATCH($M$14,'LA Averages_current_year'!$A:$A,0)))</f>
        <v>0</v>
      </c>
      <c r="J31" s="250">
        <f>IF($M$14="",0,INDEX('LA Averages_current_year'!$W:$W,MATCH($M$14,'LA Averages_current_year'!$A:$A,0)))</f>
        <v>0</v>
      </c>
      <c r="K31" s="247">
        <f>IFERROR(Open_Proportion*IF($G31="",$I31,$G31)*$E31*SUM($G$22:$G$22),0)</f>
        <v>0</v>
      </c>
      <c r="L31" s="251">
        <f>IFERROR(Open_Proportion*IF($H31="",$J31,$H31)*$F31*SUM($G$23:$G$27),0)</f>
        <v>0</v>
      </c>
      <c r="M31" s="1003"/>
      <c r="N31" s="232"/>
      <c r="P31" s="886" t="s">
        <v>681</v>
      </c>
      <c r="Q31" s="887">
        <f>IFERROR(IF($G31="",$I31,$G31)*$E31*Q$14,0)+IFERROR(IF($H31="",$J31,$H31)*$F31*SUM(Q$15:Q$19),0)</f>
        <v>0</v>
      </c>
      <c r="R31" s="887">
        <f>IFERROR(IF($G31="",$I31,$G31)*$E31*R$14,0)+IFERROR(IF($H31="",$J31,$H31)*$F31*SUM(R$15:R$19),0)</f>
        <v>0</v>
      </c>
      <c r="S31" s="887">
        <f>IFERROR(IF($G31="",$I31,$G31)*$E31*S$14,0)+IFERROR(IF($H31="",$J31,$H31)*$F31*SUM(S$15:S$19),0)</f>
        <v>0</v>
      </c>
      <c r="T31" s="887">
        <f>IFERROR(IF($G31="",$I31,$G31)*$E31*T$14,0)+IFERROR(IF($H31="",$J31,$H31)*$F31*SUM(T$15:T$19),0)</f>
        <v>0</v>
      </c>
      <c r="U31" s="887">
        <f>IFERROR(IF($G31="",$I31,$G31)*$E31*U$14,0)+IFERROR(IF($H31="",$J31,$H31)*$F31*SUM(U$15:U$19),0)</f>
        <v>0</v>
      </c>
      <c r="V31" s="887">
        <f>IFERROR(IF($G31="",$I31,$G31)*$E31*V$14,0)+IFERROR(IF($H31="",$J31,$H31)*$F31*SUM(V$15:V$19),0)</f>
        <v>0</v>
      </c>
      <c r="W31" s="887">
        <f>IFERROR(IF($G31="",$I31,$G31)*$E31*W$14,0)+IFERROR(IF($H31="",$J31,$H31)*$F31*SUM(W$15:W$19),0)</f>
        <v>0</v>
      </c>
    </row>
    <row r="32" spans="2:23" ht="15">
      <c r="B32" s="226"/>
      <c r="C32" s="1000"/>
      <c r="D32" s="237" t="s">
        <v>1081</v>
      </c>
      <c r="E32" s="252">
        <f>IF($M$14="",0,INDEX(Proforma_current_year!$P:$P,MATCH($M$14,Proforma_current_year!$A:$A,0)))</f>
        <v>0</v>
      </c>
      <c r="F32" s="249">
        <f>IF($M$14="",0,INDEX(Proforma_current_year!$Q:$Q,MATCH($M$14,Proforma_current_year!$A:$A,0)))</f>
        <v>0</v>
      </c>
      <c r="G32" s="358"/>
      <c r="H32" s="357"/>
      <c r="I32" s="253">
        <f>IF($M$14="",0,INDEX('LA Averages_current_year'!$Q:$Q,MATCH($M$14,'LA Averages_current_year'!$A:$A,0)))</f>
        <v>0</v>
      </c>
      <c r="J32" s="250">
        <f>IF($M$14="",0,INDEX('LA Averages_current_year'!$X:$X,MATCH($M$14,'LA Averages_current_year'!$A:$A,0)))</f>
        <v>0</v>
      </c>
      <c r="K32" s="247">
        <f>IFERROR(Open_Proportion*IF($G32="",$I32,$G32)*$E32*SUM($G$22:$G$22),0)</f>
        <v>0</v>
      </c>
      <c r="L32" s="251">
        <f>IFERROR(Open_Proportion*IF($H32="",$J32,$H32)*$F32*SUM($G$23:$G$27),0)</f>
        <v>0</v>
      </c>
      <c r="M32" s="1003"/>
      <c r="N32" s="232"/>
      <c r="P32" s="886" t="s">
        <v>682</v>
      </c>
      <c r="Q32" s="887">
        <f>IFERROR(IF($G32="",$I32,$G32)*$E32*Q$14,0)+IFERROR(IF($H32="",$J32,$H32)*$F32*SUM(Q$15:Q$19),0)</f>
        <v>0</v>
      </c>
      <c r="R32" s="887">
        <f>IFERROR(IF($G32="",$I32,$G32)*$E32*R$14,0)+IFERROR(IF($H32="",$J32,$H32)*$F32*SUM(R$15:R$19),0)</f>
        <v>0</v>
      </c>
      <c r="S32" s="887">
        <f>IFERROR(IF($G32="",$I32,$G32)*$E32*S$14,0)+IFERROR(IF($H32="",$J32,$H32)*$F32*SUM(S$15:S$19),0)</f>
        <v>0</v>
      </c>
      <c r="T32" s="887">
        <f>IFERROR(IF($G32="",$I32,$G32)*$E32*T$14,0)+IFERROR(IF($H32="",$J32,$H32)*$F32*SUM(T$15:T$19),0)</f>
        <v>0</v>
      </c>
      <c r="U32" s="887">
        <f>IFERROR(IF($G32="",$I32,$G32)*$E32*U$14,0)+IFERROR(IF($H32="",$J32,$H32)*$F32*SUM(U$15:U$19),0)</f>
        <v>0</v>
      </c>
      <c r="V32" s="887">
        <f>IFERROR(IF($G32="",$I32,$G32)*$E32*V$14,0)+IFERROR(IF($H32="",$J32,$H32)*$F32*SUM(V$15:V$19),0)</f>
        <v>0</v>
      </c>
      <c r="W32" s="887">
        <f>IFERROR(IF($G32="",$I32,$G32)*$E32*W$14,0)+IFERROR(IF($H32="",$J32,$H32)*$F32*SUM(W$15:W$19),0)</f>
        <v>0</v>
      </c>
    </row>
    <row r="33" spans="2:23" ht="15">
      <c r="B33" s="226"/>
      <c r="C33" s="1000"/>
      <c r="D33" s="237" t="s">
        <v>1082</v>
      </c>
      <c r="E33" s="252">
        <f>IF($M$14="",0,INDEX(Proforma_current_year!$R:$R,MATCH($M$14,Proforma_current_year!$A:$A,0)))</f>
        <v>0</v>
      </c>
      <c r="F33" s="249">
        <f>IF($M$14="",0,INDEX(Proforma_current_year!$S:$S,MATCH($M$14,Proforma_current_year!$A:$A,0)))</f>
        <v>0</v>
      </c>
      <c r="G33" s="358"/>
      <c r="H33" s="357"/>
      <c r="I33" s="253">
        <f>IF($M$14="",0,INDEX('LA Averages_current_year'!$R:$R,MATCH($M$14,'LA Averages_current_year'!$A:$A,0)))</f>
        <v>0</v>
      </c>
      <c r="J33" s="250">
        <f>IF($M$14="",0,INDEX('LA Averages_current_year'!$Y:$Y,MATCH($M$14,'LA Averages_current_year'!$A:$A,0)))</f>
        <v>0</v>
      </c>
      <c r="K33" s="247">
        <f>IFERROR(Open_Proportion*IF($G33="",$I33,$G33)*$E33*SUM($G$22:$G$22),0)</f>
        <v>0</v>
      </c>
      <c r="L33" s="251">
        <f>IFERROR(Open_Proportion*IF($H33="",$J33,$H33)*$F33*SUM($G$23:$G$27),0)</f>
        <v>0</v>
      </c>
      <c r="M33" s="1003"/>
      <c r="N33" s="232"/>
      <c r="P33" s="886" t="s">
        <v>683</v>
      </c>
      <c r="Q33" s="887">
        <f>IFERROR(IF($G33="",$I33,$G33)*$E33*Q$14,0)+IFERROR(IF($H33="",$J33,$H33)*$F33*SUM(Q$15:Q$19),0)</f>
        <v>0</v>
      </c>
      <c r="R33" s="887">
        <f>IFERROR(IF($G33="",$I33,$G33)*$E33*R$14,0)+IFERROR(IF($H33="",$J33,$H33)*$F33*SUM(R$15:R$19),0)</f>
        <v>0</v>
      </c>
      <c r="S33" s="887">
        <f>IFERROR(IF($G33="",$I33,$G33)*$E33*S$14,0)+IFERROR(IF($H33="",$J33,$H33)*$F33*SUM(S$15:S$19),0)</f>
        <v>0</v>
      </c>
      <c r="T33" s="887">
        <f>IFERROR(IF($G33="",$I33,$G33)*$E33*T$14,0)+IFERROR(IF($H33="",$J33,$H33)*$F33*SUM(T$15:T$19),0)</f>
        <v>0</v>
      </c>
      <c r="U33" s="887">
        <f>IFERROR(IF($G33="",$I33,$G33)*$E33*U$14,0)+IFERROR(IF($H33="",$J33,$H33)*$F33*SUM(U$15:U$19),0)</f>
        <v>0</v>
      </c>
      <c r="V33" s="887">
        <f>IFERROR(IF($G33="",$I33,$G33)*$E33*V$14,0)+IFERROR(IF($H33="",$J33,$H33)*$F33*SUM(V$15:V$19),0)</f>
        <v>0</v>
      </c>
      <c r="W33" s="887">
        <f>IFERROR(IF($G33="",$I33,$G33)*$E33*W$14,0)+IFERROR(IF($H33="",$J33,$H33)*$F33*SUM(W$15:W$19),0)</f>
        <v>0</v>
      </c>
    </row>
    <row r="34" spans="2:23" ht="15">
      <c r="B34" s="226"/>
      <c r="C34" s="1000"/>
      <c r="D34" s="237" t="s">
        <v>1083</v>
      </c>
      <c r="E34" s="252">
        <f>IF($M$14="",0,INDEX(Proforma_current_year!$T:$T,MATCH($M$14,Proforma_current_year!$A:$A,0)))</f>
        <v>0</v>
      </c>
      <c r="F34" s="249">
        <f>IF($M$14="",0,INDEX(Proforma_current_year!$U:$U,MATCH($M$14,Proforma_current_year!$A:$A,0)))</f>
        <v>0</v>
      </c>
      <c r="G34" s="358"/>
      <c r="H34" s="357"/>
      <c r="I34" s="253">
        <f>IF($M$14="",0,INDEX('LA Averages_current_year'!$S:$S,MATCH($M$14,'LA Averages_current_year'!$A:$A,0)))</f>
        <v>0</v>
      </c>
      <c r="J34" s="250">
        <f>IF($M$14="",0,INDEX('LA Averages_current_year'!$Z:$Z,MATCH($M$14,'LA Averages_current_year'!$A:$A,0)))</f>
        <v>0</v>
      </c>
      <c r="K34" s="247">
        <f>IFERROR(Open_Proportion*IF($G34="",$I34,$G34)*$E34*SUM($G$22:$G$22),0)</f>
        <v>0</v>
      </c>
      <c r="L34" s="251">
        <f>IFERROR(Open_Proportion*IF($H34="",$J34,$H34)*$F34*SUM($G$23:$G$27),0)</f>
        <v>0</v>
      </c>
      <c r="M34" s="1003"/>
      <c r="N34" s="232"/>
      <c r="P34" s="886" t="s">
        <v>684</v>
      </c>
      <c r="Q34" s="887">
        <f>IFERROR(IF($G34="",$I34,$G34)*$E34*Q$14,0)+IFERROR(IF($H34="",$J34,$H34)*$F34*SUM(Q$15:Q$19),0)</f>
        <v>0</v>
      </c>
      <c r="R34" s="887">
        <f>IFERROR(IF($G34="",$I34,$G34)*$E34*R$14,0)+IFERROR(IF($H34="",$J34,$H34)*$F34*SUM(R$15:R$19),0)</f>
        <v>0</v>
      </c>
      <c r="S34" s="887">
        <f>IFERROR(IF($G34="",$I34,$G34)*$E34*S$14,0)+IFERROR(IF($H34="",$J34,$H34)*$F34*SUM(S$15:S$19),0)</f>
        <v>0</v>
      </c>
      <c r="T34" s="887">
        <f>IFERROR(IF($G34="",$I34,$G34)*$E34*T$14,0)+IFERROR(IF($H34="",$J34,$H34)*$F34*SUM(T$15:T$19),0)</f>
        <v>0</v>
      </c>
      <c r="U34" s="887">
        <f>IFERROR(IF($G34="",$I34,$G34)*$E34*U$14,0)+IFERROR(IF($H34="",$J34,$H34)*$F34*SUM(U$15:U$19),0)</f>
        <v>0</v>
      </c>
      <c r="V34" s="887">
        <f>IFERROR(IF($G34="",$I34,$G34)*$E34*V$14,0)+IFERROR(IF($H34="",$J34,$H34)*$F34*SUM(V$15:V$19),0)</f>
        <v>0</v>
      </c>
      <c r="W34" s="887">
        <f>IFERROR(IF($G34="",$I34,$G34)*$E34*W$14,0)+IFERROR(IF($H34="",$J34,$H34)*$F34*SUM(W$15:W$19),0)</f>
        <v>0</v>
      </c>
    </row>
    <row r="35" spans="2:23" ht="15">
      <c r="B35" s="226"/>
      <c r="C35" s="1000"/>
      <c r="D35" s="237" t="s">
        <v>1084</v>
      </c>
      <c r="E35" s="252">
        <f>IF($M$14="",0,INDEX(Proforma_current_year!$V:$V,MATCH($M$14,Proforma_current_year!$A:$A,0)))</f>
        <v>0</v>
      </c>
      <c r="F35" s="249">
        <f>IF($M$14="",0,INDEX(Proforma_current_year!$W:$W,MATCH($M$14,Proforma_current_year!$A:$A,0)))</f>
        <v>0</v>
      </c>
      <c r="G35" s="358"/>
      <c r="H35" s="357"/>
      <c r="I35" s="253">
        <f>IF($M$14="",0,INDEX('LA Averages_current_year'!$T:$T,MATCH($M$14,'LA Averages_current_year'!$A:$A,0)))</f>
        <v>0</v>
      </c>
      <c r="J35" s="250">
        <f>IF($M$14="",0,INDEX('LA Averages_current_year'!$AA:$AA,MATCH($M$14,'LA Averages_current_year'!$A:$A,0)))</f>
        <v>0</v>
      </c>
      <c r="K35" s="247">
        <f>IFERROR(Open_Proportion*IF($G35="",$I35,$G35)*$E35*SUM($G$22:$G$22),0)</f>
        <v>0</v>
      </c>
      <c r="L35" s="251">
        <f>IFERROR(Open_Proportion*IF($H35="",$J35,$H35)*$F35*SUM($G$23:$G$27),0)</f>
        <v>0</v>
      </c>
      <c r="M35" s="1003"/>
      <c r="N35" s="232"/>
      <c r="P35" s="886" t="s">
        <v>685</v>
      </c>
      <c r="Q35" s="887">
        <f>IFERROR(IF($G35="",$I35,$G35)*$E35*Q$14,0)+IFERROR(IF($H35="",$J35,$H35)*$F35*SUM(Q$15:Q$19),0)</f>
        <v>0</v>
      </c>
      <c r="R35" s="887">
        <f>IFERROR(IF($G35="",$I35,$G35)*$E35*R$14,0)+IFERROR(IF($H35="",$J35,$H35)*$F35*SUM(R$15:R$19),0)</f>
        <v>0</v>
      </c>
      <c r="S35" s="887">
        <f>IFERROR(IF($G35="",$I35,$G35)*$E35*S$14,0)+IFERROR(IF($H35="",$J35,$H35)*$F35*SUM(S$15:S$19),0)</f>
        <v>0</v>
      </c>
      <c r="T35" s="887">
        <f>IFERROR(IF($G35="",$I35,$G35)*$E35*T$14,0)+IFERROR(IF($H35="",$J35,$H35)*$F35*SUM(T$15:T$19),0)</f>
        <v>0</v>
      </c>
      <c r="U35" s="887">
        <f>IFERROR(IF($G35="",$I35,$G35)*$E35*U$14,0)+IFERROR(IF($H35="",$J35,$H35)*$F35*SUM(U$15:U$19),0)</f>
        <v>0</v>
      </c>
      <c r="V35" s="887">
        <f>IFERROR(IF($G35="",$I35,$G35)*$E35*V$14,0)+IFERROR(IF($H35="",$J35,$H35)*$F35*SUM(V$15:V$19),0)</f>
        <v>0</v>
      </c>
      <c r="W35" s="887">
        <f>IFERROR(IF($G35="",$I35,$G35)*$E35*W$14,0)+IFERROR(IF($H35="",$J35,$H35)*$F35*SUM(W$15:W$19),0)</f>
        <v>0</v>
      </c>
    </row>
    <row r="36" spans="2:23" ht="15.75" thickBot="1">
      <c r="B36" s="226"/>
      <c r="C36" s="1022"/>
      <c r="D36" s="239" t="s">
        <v>1085</v>
      </c>
      <c r="E36" s="254">
        <f>IF($M$14="",0,INDEX(Proforma_current_year!$X:$X,MATCH($M$14,Proforma_current_year!$A:$A,0)))</f>
        <v>0</v>
      </c>
      <c r="F36" s="255">
        <f>IF($M$14="",0,INDEX(Proforma_current_year!$Y:$Y,MATCH($M$14,Proforma_current_year!$A:$A,0)))</f>
        <v>0</v>
      </c>
      <c r="G36" s="690"/>
      <c r="H36" s="359"/>
      <c r="I36" s="256">
        <f>IF($M$14="",0,INDEX('LA Averages_current_year'!$U:$U,MATCH($M$14,'LA Averages_current_year'!$A:$A,0)))</f>
        <v>0</v>
      </c>
      <c r="J36" s="257">
        <f>IF($M$14="",0,INDEX('LA Averages_current_year'!$AB:$AB,MATCH($M$14,'LA Averages_current_year'!$A:$A,0)))</f>
        <v>0</v>
      </c>
      <c r="K36" s="247">
        <f>IFERROR(Open_Proportion*IF($G36="",$I36,$G36)*$E36*SUM($G$22:$G$22),0)</f>
        <v>0</v>
      </c>
      <c r="L36" s="251">
        <f>IFERROR(Open_Proportion*IF($H36="",$J36,$H36)*$F36*SUM($G$23:$G$27),0)</f>
        <v>0</v>
      </c>
      <c r="M36" s="1004"/>
      <c r="N36" s="232"/>
      <c r="P36" s="886" t="s">
        <v>686</v>
      </c>
      <c r="Q36" s="887">
        <f>IFERROR(IF($G36="",$I36,$G36)*$E36*Q$14,0)+IFERROR(IF($H36="",$J36,$H36)*$F36*SUM(Q$15:Q$19),0)</f>
        <v>0</v>
      </c>
      <c r="R36" s="887">
        <f>IFERROR(IF($G36="",$I36,$G36)*$E36*R$14,0)+IFERROR(IF($H36="",$J36,$H36)*$F36*SUM(R$15:R$19),0)</f>
        <v>0</v>
      </c>
      <c r="S36" s="887">
        <f>IFERROR(IF($G36="",$I36,$G36)*$E36*S$14,0)+IFERROR(IF($H36="",$J36,$H36)*$F36*SUM(S$15:S$19),0)</f>
        <v>0</v>
      </c>
      <c r="T36" s="887">
        <f>IFERROR(IF($G36="",$I36,$G36)*$E36*T$14,0)+IFERROR(IF($H36="",$J36,$H36)*$F36*SUM(T$15:T$19),0)</f>
        <v>0</v>
      </c>
      <c r="U36" s="887">
        <f>IFERROR(IF($G36="",$I36,$G36)*$E36*U$14,0)+IFERROR(IF($H36="",$J36,$H36)*$F36*SUM(U$15:U$19),0)</f>
        <v>0</v>
      </c>
      <c r="V36" s="887">
        <f>IFERROR(IF($G36="",$I36,$G36)*$E36*V$14,0)+IFERROR(IF($H36="",$J36,$H36)*$F36*SUM(V$15:V$19),0)</f>
        <v>0</v>
      </c>
      <c r="W36" s="887">
        <f>IFERROR(IF($G36="",$I36,$G36)*$E36*W$14,0)+IFERROR(IF($H36="",$J36,$H36)*$F36*SUM(W$15:W$19),0)</f>
        <v>0</v>
      </c>
    </row>
    <row r="37" spans="2:23" ht="72" customHeight="1" thickBot="1">
      <c r="B37" s="226"/>
      <c r="C37" s="258"/>
      <c r="D37" s="684" t="s">
        <v>665</v>
      </c>
      <c r="E37" s="259" t="s">
        <v>673</v>
      </c>
      <c r="F37" s="260" t="s">
        <v>674</v>
      </c>
      <c r="G37" s="261" t="s">
        <v>675</v>
      </c>
      <c r="H37" s="262" t="s">
        <v>676</v>
      </c>
      <c r="I37" s="263" t="s">
        <v>677</v>
      </c>
      <c r="J37" s="264" t="s">
        <v>678</v>
      </c>
      <c r="K37" s="682" t="s">
        <v>668</v>
      </c>
      <c r="L37" s="967"/>
      <c r="M37" s="265" t="s">
        <v>669</v>
      </c>
      <c r="N37" s="232"/>
      <c r="P37" s="349"/>
      <c r="Q37" s="349"/>
      <c r="R37" s="349"/>
      <c r="S37" s="349"/>
      <c r="T37" s="349"/>
      <c r="U37" s="349"/>
      <c r="V37" s="349"/>
      <c r="W37" s="349"/>
    </row>
    <row r="38" spans="2:23" ht="27" customHeight="1" thickBot="1">
      <c r="B38" s="226"/>
      <c r="C38" s="266" t="s">
        <v>687</v>
      </c>
      <c r="D38" s="267" t="s">
        <v>723</v>
      </c>
      <c r="E38" s="1005">
        <f>IF($M$14="",0,INDEX(Proforma_current_year!$Z:$Z,MATCH($M$14,Proforma_current_year!$A:$A,0)))</f>
        <v>0</v>
      </c>
      <c r="F38" s="1006"/>
      <c r="G38" s="356"/>
      <c r="H38" s="360"/>
      <c r="I38" s="707"/>
      <c r="J38" s="271"/>
      <c r="K38" s="1007">
        <f>IFERROR(Open_Proportion*IF($E$38="",0,$G$38*$E$38*SUM($G$22:$G$22)+$H$38*$E$38*SUM($G$23:$G$27)),0)</f>
        <v>0</v>
      </c>
      <c r="L38" s="1008"/>
      <c r="M38" s="268">
        <f>SUM(K38)</f>
        <v>0</v>
      </c>
      <c r="N38" s="232"/>
      <c r="P38" s="888" t="s">
        <v>715</v>
      </c>
      <c r="Q38" s="889">
        <f>IFERROR(IF($E$38="",0,$G$38*$E$38*Q$14+$H$38*$E$38*SUM(Q$15:Q$19)),0)</f>
        <v>0</v>
      </c>
      <c r="R38" s="889">
        <f>IFERROR(IF($E$38="",0,$G$38*$E$38*R$14+$H$38*$E$38*SUM(R$15:R$19)),0)</f>
        <v>0</v>
      </c>
      <c r="S38" s="889">
        <f>IFERROR(IF($E$38="",0,$G$38*$E$38*S$14+$H$38*$E$38*SUM(S$15:S$19)),0)</f>
        <v>0</v>
      </c>
      <c r="T38" s="889">
        <f>IFERROR(IF($E$38="",0,$G$38*$E$38*T$14+$H$38*$E$38*SUM(T$15:T$19)),0)</f>
        <v>0</v>
      </c>
      <c r="U38" s="889">
        <f>IFERROR(IF($E$38="",0,$G$38*$E$38*U$14+$H$38*$E$38*SUM(U$15:U$19)),0)</f>
        <v>0</v>
      </c>
      <c r="V38" s="889">
        <f>IFERROR(IF($E$38="",0,$G$38*$E$38*V$14+$H$38*$E$38*SUM(V$15:V$19)),0)</f>
        <v>0</v>
      </c>
      <c r="W38" s="889">
        <f>IFERROR(IF($E$38="",0,$G$38*$E$38*W$14+$H$38*$E$38*SUM(W$15:W$19)),0)</f>
        <v>0</v>
      </c>
    </row>
    <row r="39" spans="2:23" ht="15.75" customHeight="1" thickBot="1">
      <c r="B39" s="226"/>
      <c r="C39" s="1014" t="s">
        <v>688</v>
      </c>
      <c r="D39" s="406" t="str">
        <f>IF($M$14="","",IF(INDEX(Proforma_current_year!$AA:$AA,MATCH($M$14,Proforma_current_year!$A:$A,0))="N/A","Not Applicable",INDEX(Proforma_current_year!$AA:$AA,MATCH($M$14,Proforma_current_year!$A:$A,0))))</f>
        <v/>
      </c>
      <c r="E39" s="404">
        <f>IF($M$14="",0,INDEX(Proforma_current_year!$AB:$AB,MATCH($M$14,Proforma_current_year!$A:$A,0)))</f>
        <v>0</v>
      </c>
      <c r="F39" s="269"/>
      <c r="G39" s="686"/>
      <c r="H39" s="270"/>
      <c r="I39" s="253">
        <f>IF(OR($M$14="",$D$39="Not Applicable"),0,IF($D$39="EAL 1 Primary",INDEX('LA Averages_current_year'!$AC:$AC,MATCH($M$14,'LA Averages_current_year'!$A:$A,0)),IF($D$39="EAL 2 Primary",INDEX('LA Averages_current_year'!$AD:$AD,MATCH($M$14,'LA Averages_current_year'!$A:$A,0)),INDEX('LA Averages_current_year'!$AE:$AE,MATCH($M$14,'LA Averages_current_year'!$A:$A,0)))))</f>
        <v>0</v>
      </c>
      <c r="J39" s="271"/>
      <c r="K39" s="1016">
        <f>IFERROR(Open_Proportion*IF($G39="",$I39,$G39)*$E39*SUM($G$22:$G$22),0)</f>
        <v>0</v>
      </c>
      <c r="L39" s="1017"/>
      <c r="M39" s="1018">
        <f>SUM(K39:L40)</f>
        <v>0</v>
      </c>
      <c r="N39" s="232"/>
      <c r="P39" s="888" t="s">
        <v>803</v>
      </c>
      <c r="Q39" s="887">
        <f>IFERROR(IF($G39="",$I39,$G39)*$E39*Q$14,0)+IFERROR(IF($H40="",$J40,$H40)*$F40*SUM(Q$15:Q$19),0)</f>
        <v>0</v>
      </c>
      <c r="R39" s="887">
        <f>IFERROR(IF($G39="",$I39,$G39)*$E39*R$14,0)+IFERROR(IF($H40="",$J40,$H40)*$F40*SUM(R$15:R$19),0)</f>
        <v>0</v>
      </c>
      <c r="S39" s="887">
        <f>IFERROR(IF($G39="",$I39,$G39)*$E39*S$14,0)+IFERROR(IF($H40="",$J40,$H40)*$F40*SUM(S$15:S$19),0)</f>
        <v>0</v>
      </c>
      <c r="T39" s="887">
        <f>IFERROR(IF($G39="",$I39,$G39)*$E39*T$14,0)+IFERROR(IF($H40="",$J40,$H40)*$F40*SUM(T$15:T$19),0)</f>
        <v>0</v>
      </c>
      <c r="U39" s="887">
        <f>IFERROR(IF($G39="",$I39,$G39)*$E39*U$14,0)+IFERROR(IF($H40="",$J40,$H40)*$F40*SUM(U$15:U$19),0)</f>
        <v>0</v>
      </c>
      <c r="V39" s="887">
        <f>IFERROR(IF($G39="",$I39,$G39)*$E39*V$14,0)+IFERROR(IF($H40="",$J40,$H40)*$F40*SUM(V$15:V$19),0)</f>
        <v>0</v>
      </c>
      <c r="W39" s="887">
        <f>IFERROR(IF($G39="",$I39,$G39)*$E39*W$14,0)+IFERROR(IF($H40="",$J40,$H40)*$F40*SUM(W$15:W$19),0)</f>
        <v>0</v>
      </c>
    </row>
    <row r="40" spans="2:23" ht="15.75" thickBot="1">
      <c r="B40" s="226"/>
      <c r="C40" s="1015"/>
      <c r="D40" s="407" t="str">
        <f>IF($M$14="","",IF(INDEX(Proforma_current_year!$AC:$AC,MATCH($M$14,Proforma_current_year!$A:$A,0))="N/A","Not Applicable",INDEX(Proforma_current_year!$AC:$AC,MATCH($M$14,Proforma_current_year!$A:$A,0))))</f>
        <v/>
      </c>
      <c r="E40" s="405"/>
      <c r="F40" s="272">
        <f>IF($M$14="",0,INDEX(Proforma_current_year!$AD:$AD,MATCH($M$14,Proforma_current_year!$A:$A,0)))</f>
        <v>0</v>
      </c>
      <c r="G40" s="270"/>
      <c r="H40" s="357"/>
      <c r="I40" s="270"/>
      <c r="J40" s="250">
        <f>IF(OR($M$14="",$D$40="Not Applicable"),0,IF($D$40="EAL 1 Secondary",INDEX('LA Averages_current_year'!$AF:$AF,MATCH($M$14,'LA Averages_current_year'!$A:$A,0)),IF($D$40="EAL 2 Secondary",INDEX('LA Averages_current_year'!$AG:$AG,MATCH($M$14,'LA Averages_current_year'!$A:$A,0)),INDEX('LA Averages_current_year'!$AH:$AH,MATCH($M$14,'LA Averages_current_year'!$A:$A,0)))))</f>
        <v>0</v>
      </c>
      <c r="K40" s="1020">
        <f>IFERROR(Open_Proportion*IF($H40="",$J40,$H40)*$F40*SUM($G$23:$G$27),0)</f>
        <v>0</v>
      </c>
      <c r="L40" s="1021"/>
      <c r="M40" s="1019"/>
      <c r="N40" s="232"/>
      <c r="P40" s="349"/>
      <c r="Q40" s="349"/>
      <c r="R40" s="349"/>
      <c r="S40" s="349"/>
      <c r="T40" s="349"/>
      <c r="U40" s="349"/>
      <c r="V40" s="349"/>
      <c r="W40" s="349"/>
    </row>
    <row r="41" spans="2:23" ht="15.75" customHeight="1" thickBot="1">
      <c r="B41" s="226"/>
      <c r="C41" s="1009" t="s">
        <v>689</v>
      </c>
      <c r="D41" s="1010"/>
      <c r="E41" s="1010"/>
      <c r="F41" s="1010"/>
      <c r="G41" s="1010"/>
      <c r="H41" s="1011"/>
      <c r="I41" s="1012" t="s">
        <v>1185</v>
      </c>
      <c r="J41" s="683"/>
      <c r="K41" s="683"/>
      <c r="L41" s="683"/>
      <c r="M41" s="1013"/>
      <c r="N41" s="232"/>
      <c r="P41" s="890" t="s">
        <v>804</v>
      </c>
      <c r="Q41" s="891">
        <v>0</v>
      </c>
      <c r="R41" s="891">
        <v>0</v>
      </c>
      <c r="S41" s="891">
        <v>0</v>
      </c>
      <c r="T41" s="891">
        <v>0</v>
      </c>
      <c r="U41" s="891">
        <v>0</v>
      </c>
      <c r="V41" s="891">
        <v>0</v>
      </c>
      <c r="W41" s="891">
        <v>0</v>
      </c>
    </row>
    <row r="42" spans="2:23" ht="60.75" thickBot="1">
      <c r="B42" s="226"/>
      <c r="C42" s="984" t="s">
        <v>690</v>
      </c>
      <c r="D42" s="684" t="s">
        <v>665</v>
      </c>
      <c r="E42" s="642" t="s">
        <v>1086</v>
      </c>
      <c r="F42" s="643" t="s">
        <v>1087</v>
      </c>
      <c r="G42" s="1032" t="s">
        <v>691</v>
      </c>
      <c r="H42" s="1033"/>
      <c r="I42" s="878" t="s">
        <v>677</v>
      </c>
      <c r="J42" s="879" t="s">
        <v>678</v>
      </c>
      <c r="K42" s="234" t="s">
        <v>668</v>
      </c>
      <c r="L42" s="685"/>
      <c r="M42" s="265" t="s">
        <v>669</v>
      </c>
      <c r="N42" s="232"/>
      <c r="P42" s="420" t="s">
        <v>805</v>
      </c>
      <c r="Q42" s="349"/>
      <c r="R42" s="349"/>
      <c r="S42" s="349"/>
      <c r="T42" s="349"/>
      <c r="U42" s="349"/>
      <c r="V42" s="349"/>
      <c r="W42" s="349"/>
    </row>
    <row r="43" spans="2:23" ht="15" customHeight="1" thickBot="1">
      <c r="B43" s="226"/>
      <c r="C43" s="1000"/>
      <c r="D43" s="646" t="s">
        <v>1088</v>
      </c>
      <c r="E43" s="876"/>
      <c r="F43" s="877">
        <f>IF($M$14="",0,INDEX(Proforma_current_year!$AE:$AE,MATCH($M$14,Proforma_current_year!$A:$A,0)))</f>
        <v>0</v>
      </c>
      <c r="G43" s="356"/>
      <c r="H43" s="360"/>
      <c r="I43" s="880">
        <f>IF($M$14="",0,INDEX('LA Averages_current_year'!$AJ:$AJ,MATCH($M$14,'LA Averages_current_year'!$A:$A,0)))</f>
        <v>0</v>
      </c>
      <c r="J43" s="881"/>
      <c r="K43" s="1034">
        <f>Open_Proportion*G22*IF(OR($G43="",$G43=0),$I43,$G43)*$F43</f>
        <v>0</v>
      </c>
      <c r="L43" s="1035"/>
      <c r="M43" s="1029">
        <f>K44+K43</f>
        <v>0</v>
      </c>
      <c r="N43" s="232"/>
      <c r="P43" s="886" t="s">
        <v>160</v>
      </c>
      <c r="Q43" s="889">
        <f>Q14*IF(OR($G43="",$G43=0),$I43,$G43)*$F43</f>
        <v>0</v>
      </c>
      <c r="R43" s="889">
        <f>R14*IF(OR($G43="",$G43=0),$I43,$G43)*$F43</f>
        <v>0</v>
      </c>
      <c r="S43" s="889">
        <f>S14*IF(OR($G43="",$G43=0),$I43,$G43)*$F43</f>
        <v>0</v>
      </c>
      <c r="T43" s="889">
        <f>T14*IF(OR($G43="",$G43=0),$I43,$G43)*$F43</f>
        <v>0</v>
      </c>
      <c r="U43" s="889">
        <f>U14*IF(OR($G43="",$G43=0),$I43,$G43)*$F43</f>
        <v>0</v>
      </c>
      <c r="V43" s="889">
        <f>V14*IF(OR($G43="",$G43=0),$I43,$G43)*$F43</f>
        <v>0</v>
      </c>
      <c r="W43" s="889">
        <f>W14*IF(OR($G43="",$G43=0),$I43,$G43)*$F43</f>
        <v>0</v>
      </c>
    </row>
    <row r="44" spans="2:23" ht="15">
      <c r="B44" s="226"/>
      <c r="C44" s="1000"/>
      <c r="D44" s="873" t="s">
        <v>1089</v>
      </c>
      <c r="E44" s="680">
        <f>IF($M$14="",0,INDEX(Proforma_current_year!$AF:$AF,MATCH($M$14,Proforma_current_year!$A:$A,0)))</f>
        <v>0</v>
      </c>
      <c r="F44" s="1036">
        <f>IF($M$14="",0,INDEX(Proforma_current_year!$AJ:$AJ,MATCH($M$14,Proforma_current_year!$A:$A,0)))</f>
        <v>0</v>
      </c>
      <c r="G44" s="686"/>
      <c r="H44" s="357"/>
      <c r="I44" s="270"/>
      <c r="J44" s="250">
        <f>IF($M$14="",0,INDEX('LA Averages_current_year'!$AK:$AK,MATCH($M$14,'LA Averages_current_year'!$A:$A,0)))</f>
        <v>0</v>
      </c>
      <c r="K44" s="1023">
        <f>Open_Proportion*((G23*IF(OR($G44="",$G44=0),$J44,$G44)*$E44)+(G24*IF(OR($G45="",$G45=0),$J45,$G45)*$E45)+(G25*IF(OR($G46="",$G46=0),$J46,$G46)*$E46)+(G26*IF(OR($G47="",$G47=0),$J47,$G47)*$E47)+(G27)*IF(OR($G48="",$G48=0),$J48,$G48))*$F44</f>
        <v>0</v>
      </c>
      <c r="L44" s="1024"/>
      <c r="M44" s="1030"/>
      <c r="N44" s="232"/>
      <c r="P44" s="886" t="s">
        <v>1089</v>
      </c>
      <c r="Q44" s="889">
        <f>Q15*IF(OR($G44="",$G44=0),$J44,$G44)*$E44*$F$44</f>
        <v>0</v>
      </c>
      <c r="R44" s="889">
        <f>R15*IF(OR($G44="",$G44=0),$J44,$G44)*$E44*$F$44</f>
        <v>0</v>
      </c>
      <c r="S44" s="889">
        <f>S15*IF(OR($G44="",$G44=0),$J44,$G44)*$E44*$F$44</f>
        <v>0</v>
      </c>
      <c r="T44" s="889">
        <f>T15*IF(OR($G44="",$G44=0),$J44,$G44)*$E44*$F$44</f>
        <v>0</v>
      </c>
      <c r="U44" s="889">
        <f>U15*IF(OR($G44="",$G44=0),$J44,$G44)*$E44*$F$44</f>
        <v>0</v>
      </c>
      <c r="V44" s="889">
        <f>V15*IF(OR($G44="",$G44=0),$J44,$G44)*$E44*$F$44</f>
        <v>0</v>
      </c>
      <c r="W44" s="889">
        <f>W15*IF(OR($G44="",$G44=0),$J44,$G44)*$E44*$F$44</f>
        <v>0</v>
      </c>
    </row>
    <row r="45" spans="2:23" ht="15">
      <c r="B45" s="226"/>
      <c r="C45" s="1000"/>
      <c r="D45" s="874" t="s">
        <v>1090</v>
      </c>
      <c r="E45" s="680">
        <f>IF($M$14="",0,INDEX(Proforma_current_year!$AG:$AG,MATCH($M$14,Proforma_current_year!$A:$A,0)))</f>
        <v>0</v>
      </c>
      <c r="F45" s="1036"/>
      <c r="G45" s="686"/>
      <c r="H45" s="357"/>
      <c r="I45" s="270"/>
      <c r="J45" s="250">
        <f>IF($M$14="",0,INDEX('LA Averages_current_year'!$AL:$AL,MATCH($M$14,'LA Averages_current_year'!$A:$A,0)))</f>
        <v>0</v>
      </c>
      <c r="K45" s="1025"/>
      <c r="L45" s="1026"/>
      <c r="M45" s="1030"/>
      <c r="N45" s="232"/>
      <c r="P45" s="886" t="s">
        <v>1090</v>
      </c>
      <c r="Q45" s="889">
        <f>Q16*IF(OR($G45="",$G45=0),$J45,$G45)*$E45*$F$44</f>
        <v>0</v>
      </c>
      <c r="R45" s="889">
        <f>R16*IF(OR($G45="",$G45=0),$J45,$G45)*$E45*$F$44</f>
        <v>0</v>
      </c>
      <c r="S45" s="889">
        <f>S16*IF(OR($G45="",$G45=0),$J45,$G45)*$E45*$F$44</f>
        <v>0</v>
      </c>
      <c r="T45" s="889">
        <f>T16*IF(OR($G45="",$G45=0),$J45,$G45)*$E45*$F$44</f>
        <v>0</v>
      </c>
      <c r="U45" s="889">
        <f>U16*IF(OR($G45="",$G45=0),$J45,$G45)*$E45*$F$44</f>
        <v>0</v>
      </c>
      <c r="V45" s="889">
        <f>V16*IF(OR($G45="",$G45=0),$J45,$G45)*$E45*$F$44</f>
        <v>0</v>
      </c>
      <c r="W45" s="889">
        <f>W16*IF(OR($G45="",$G45=0),$J45,$G45)*$E45*$F$44</f>
        <v>0</v>
      </c>
    </row>
    <row r="46" spans="2:23" ht="15">
      <c r="B46" s="226"/>
      <c r="C46" s="1000"/>
      <c r="D46" s="874" t="s">
        <v>1091</v>
      </c>
      <c r="E46" s="680">
        <f>IF($M$14="",0,INDEX(Proforma_current_year!$AH:$AH,MATCH($M$14,Proforma_current_year!$A:$A,0)))</f>
        <v>0</v>
      </c>
      <c r="F46" s="1036"/>
      <c r="G46" s="686"/>
      <c r="H46" s="357"/>
      <c r="I46" s="270"/>
      <c r="J46" s="250">
        <f>IF($M$14="",0,INDEX('LA Averages_current_year'!$AM:$AM,MATCH($M$14,'LA Averages_current_year'!$A:$A,0)))</f>
        <v>0</v>
      </c>
      <c r="K46" s="1025"/>
      <c r="L46" s="1026"/>
      <c r="M46" s="1030"/>
      <c r="N46" s="232"/>
      <c r="P46" s="886" t="s">
        <v>1091</v>
      </c>
      <c r="Q46" s="889">
        <f>Q17*IF(OR($G46="",$G46=0),$J46,$G46)*$E46*$F$44</f>
        <v>0</v>
      </c>
      <c r="R46" s="889">
        <f>R17*IF(OR($G46="",$G46=0),$J46,$G46)*$E46*$F$44</f>
        <v>0</v>
      </c>
      <c r="S46" s="889">
        <f>S17*IF(OR($G46="",$G46=0),$J46,$G46)*$E46*$F$44</f>
        <v>0</v>
      </c>
      <c r="T46" s="889">
        <f>T17*IF(OR($G46="",$G46=0),$J46,$G46)*$E46*$F$44</f>
        <v>0</v>
      </c>
      <c r="U46" s="889">
        <f>U17*IF(OR($G46="",$G46=0),$J46,$G46)*$E46*$F$44</f>
        <v>0</v>
      </c>
      <c r="V46" s="889">
        <f>V17*IF(OR($G46="",$G46=0),$J46,$G46)*$E46*$F$44</f>
        <v>0</v>
      </c>
      <c r="W46" s="889">
        <f>W17*IF(OR($G46="",$G46=0),$J46,$G46)*$E46*$F$44</f>
        <v>0</v>
      </c>
    </row>
    <row r="47" spans="2:23" ht="15">
      <c r="B47" s="226"/>
      <c r="C47" s="1000"/>
      <c r="D47" s="874" t="s">
        <v>1243</v>
      </c>
      <c r="E47" s="680">
        <f>IF($M$14="",0,INDEX(Proforma_current_year!$AI:$AI,MATCH($M$14,Proforma_current_year!$A:$A,0)))</f>
        <v>0</v>
      </c>
      <c r="F47" s="1036"/>
      <c r="G47" s="686"/>
      <c r="H47" s="357"/>
      <c r="I47" s="270"/>
      <c r="J47" s="250">
        <f>IF($M$14="",0,INDEX('LA Averages_current_year'!$AN:$AN,MATCH($M$14,'LA Averages_current_year'!$A:$A,0)))</f>
        <v>0</v>
      </c>
      <c r="K47" s="1025"/>
      <c r="L47" s="1026"/>
      <c r="M47" s="1030"/>
      <c r="N47" s="232"/>
      <c r="P47" s="886" t="s">
        <v>1243</v>
      </c>
      <c r="Q47" s="889">
        <f>Q18*IF(OR($G47="",$G47=0),$J47,$G47)*$E47*$F$44</f>
        <v>0</v>
      </c>
      <c r="R47" s="889">
        <f>R18*IF(OR($G47="",$G47=0),$J47,$G47)*$E47*$F$44</f>
        <v>0</v>
      </c>
      <c r="S47" s="889">
        <f>S18*IF(OR($G47="",$G47=0),$J47,$G47)*$E47*$F$44</f>
        <v>0</v>
      </c>
      <c r="T47" s="889">
        <f>T18*IF(OR($G47="",$G47=0),$J47,$G47)*$E47*$F$44</f>
        <v>0</v>
      </c>
      <c r="U47" s="889">
        <f>U18*IF(OR($G47="",$G47=0),$J47,$G47)*$E47*$F$44</f>
        <v>0</v>
      </c>
      <c r="V47" s="889">
        <f>V18*IF(OR($G47="",$G47=0),$J47,$G47)*$E47*$F$44</f>
        <v>0</v>
      </c>
      <c r="W47" s="889">
        <f>W18*IF(OR($G47="",$G47=0),$J47,$G47)*$E47*$F$44</f>
        <v>0</v>
      </c>
    </row>
    <row r="48" spans="2:23" ht="15.75" thickBot="1">
      <c r="B48" s="226"/>
      <c r="C48" s="1001"/>
      <c r="D48" s="875" t="s">
        <v>1244</v>
      </c>
      <c r="E48" s="908"/>
      <c r="F48" s="1037"/>
      <c r="G48" s="1038"/>
      <c r="H48" s="359"/>
      <c r="I48" s="273"/>
      <c r="J48" s="257">
        <f>IF($M$14="",0,INDEX('LA Averages_current_year'!$AO:$AO,MATCH($M$14,'LA Averages_current_year'!$A:$A,0)))</f>
        <v>0</v>
      </c>
      <c r="K48" s="1027"/>
      <c r="L48" s="1028"/>
      <c r="M48" s="1031"/>
      <c r="N48" s="232"/>
      <c r="P48" s="886" t="s">
        <v>1244</v>
      </c>
      <c r="Q48" s="889">
        <f>Q19*IF(OR($G48="",$G48=0),$J48,$G48)*$F$44</f>
        <v>0</v>
      </c>
      <c r="R48" s="889">
        <f>R19*IF(OR($G48="",$G48=0),$J48,$G48)*$F$44</f>
        <v>0</v>
      </c>
      <c r="S48" s="889">
        <f>S19*IF(OR($G48="",$G48=0),$J48,$G48)*$F$44</f>
        <v>0</v>
      </c>
      <c r="T48" s="889">
        <f>T19*IF(OR($G48="",$G48=0),$J48,$G48)*$F$44</f>
        <v>0</v>
      </c>
      <c r="U48" s="889">
        <f>U19*IF(OR($G48="",$G48=0),$J48,$G48)*$F$44</f>
        <v>0</v>
      </c>
      <c r="V48" s="889">
        <f>V19*IF(OR($G48="",$G48=0),$J48,$G48)*$F$44</f>
        <v>0</v>
      </c>
      <c r="W48" s="889">
        <f>W19*IF(OR($G48="",$G48=0),$J48,$G48)*$F$44</f>
        <v>0</v>
      </c>
    </row>
    <row r="49" spans="2:23" ht="15">
      <c r="B49" s="226"/>
      <c r="C49" s="285"/>
      <c r="D49" s="286"/>
      <c r="E49" s="287"/>
      <c r="F49" s="288"/>
      <c r="G49" s="288"/>
      <c r="H49" s="287"/>
      <c r="I49" s="287"/>
      <c r="J49" s="681"/>
      <c r="K49" s="284"/>
      <c r="L49" s="284"/>
      <c r="M49" s="674"/>
      <c r="N49" s="232"/>
      <c r="P49" s="349"/>
      <c r="Q49" s="349"/>
      <c r="R49" s="349"/>
      <c r="S49" s="349"/>
      <c r="T49" s="349"/>
      <c r="U49" s="349"/>
      <c r="V49" s="349"/>
      <c r="W49" s="349"/>
    </row>
    <row r="50" spans="2:23" ht="15">
      <c r="B50" s="226"/>
      <c r="C50" s="227" t="s">
        <v>692</v>
      </c>
      <c r="D50" s="289"/>
      <c r="E50" s="290"/>
      <c r="F50" s="290"/>
      <c r="G50" s="291"/>
      <c r="H50" s="291"/>
      <c r="I50" s="292"/>
      <c r="J50" s="681"/>
      <c r="K50" s="293"/>
      <c r="L50" s="293"/>
      <c r="M50" s="284"/>
      <c r="N50" s="232"/>
      <c r="P50" s="349"/>
      <c r="Q50" s="349"/>
      <c r="R50" s="349"/>
      <c r="S50" s="349"/>
      <c r="T50" s="349"/>
      <c r="U50" s="349"/>
      <c r="V50" s="349"/>
      <c r="W50" s="349"/>
    </row>
    <row r="51" spans="2:23" ht="15.75" thickBot="1">
      <c r="B51" s="226"/>
      <c r="C51" s="294"/>
      <c r="D51" s="289"/>
      <c r="E51" s="290"/>
      <c r="F51" s="290"/>
      <c r="G51" s="290"/>
      <c r="H51" s="290"/>
      <c r="I51" s="290"/>
      <c r="J51" s="681"/>
      <c r="K51" s="284"/>
      <c r="L51" s="284"/>
      <c r="M51" s="284"/>
      <c r="N51" s="232"/>
      <c r="P51" s="349"/>
      <c r="Q51" s="349"/>
      <c r="R51" s="349"/>
      <c r="S51" s="349"/>
      <c r="T51" s="349"/>
      <c r="U51" s="349"/>
      <c r="V51" s="349"/>
      <c r="W51" s="349"/>
    </row>
    <row r="52" spans="2:23" ht="15.75" customHeight="1" thickBot="1">
      <c r="B52" s="226"/>
      <c r="C52" s="295" t="s">
        <v>693</v>
      </c>
      <c r="D52" s="296"/>
      <c r="E52" s="682" t="s">
        <v>694</v>
      </c>
      <c r="F52" s="967"/>
      <c r="G52" s="682" t="s">
        <v>695</v>
      </c>
      <c r="H52" s="967"/>
      <c r="I52" s="682" t="s">
        <v>696</v>
      </c>
      <c r="J52" s="1039"/>
      <c r="K52" s="1039"/>
      <c r="L52" s="967"/>
      <c r="M52" s="685" t="s">
        <v>697</v>
      </c>
      <c r="N52" s="232"/>
      <c r="P52" s="349"/>
      <c r="Q52" s="349"/>
      <c r="R52" s="349"/>
      <c r="S52" s="349"/>
      <c r="T52" s="349"/>
      <c r="U52" s="349"/>
      <c r="V52" s="349"/>
      <c r="W52" s="349"/>
    </row>
    <row r="53" spans="2:23" ht="33" customHeight="1" thickBot="1">
      <c r="B53" s="226"/>
      <c r="C53" s="1042" t="s">
        <v>698</v>
      </c>
      <c r="D53" s="1043"/>
      <c r="E53" s="1044">
        <f>IF($M$14="",0,INDEX(Proforma_current_year!$AK:$AK,MATCH($M$14,Proforma_current_year!$A:$A,0)))</f>
        <v>0</v>
      </c>
      <c r="F53" s="1045">
        <f>IF($M$14="",0,INDEX(#REF!,MATCH($M$14,#REF!,0)))</f>
        <v>0</v>
      </c>
      <c r="G53" s="1044">
        <f>IF($M$14="",0,INDEX(Proforma_current_year!$AL:$AL,MATCH($M$14,Proforma_current_year!$A:$A,0)))</f>
        <v>0</v>
      </c>
      <c r="H53" s="1045">
        <f>IF($M$14="",0,INDEX(#REF!,MATCH($M$14,#REF!,0)))</f>
        <v>0</v>
      </c>
      <c r="I53" s="1046"/>
      <c r="J53" s="1047"/>
      <c r="K53" s="1047"/>
      <c r="L53" s="1048"/>
      <c r="M53" s="268">
        <f>IF(OR(School_Type_Value="AP",School_Type_Value="Special"),0,IF(Age_Range_Value="Please select","Please select your school phase",IF(Age_Range_Value="16-19 School",0,IF(Age_Range_Value="Primary",Open_Proportion*$E53,Open_Proportion*$G53))))</f>
        <v>0</v>
      </c>
      <c r="N53" s="232"/>
      <c r="P53" s="888" t="s">
        <v>806</v>
      </c>
      <c r="Q53" s="892">
        <f>IF(OR(School_Type_Value="AP",School_Type_Value="Special"),0,IF(Age_Range_Value="Please select","Please select your school phase",IF(Age_Range_Value="16-19 School",0,IF(Age_Range_Value="Primary",$E53,$G53))))</f>
        <v>0</v>
      </c>
      <c r="R53" s="892">
        <f>IF(OR(School_Type_Value="AP",School_Type_Value="Special"),0,IF(Age_Range_Value="Please select","Please select your school phase",IF(Age_Range_Value="16-19 School",0,IF(Age_Range_Value="Primary",$E53,$G53))))</f>
        <v>0</v>
      </c>
      <c r="S53" s="892">
        <f>IF(OR(School_Type_Value="AP",School_Type_Value="Special"),0,IF(Age_Range_Value="Please select","Please select your school phase",IF(Age_Range_Value="16-19 School",0,IF(Age_Range_Value="Primary",$E53,$G53))))</f>
        <v>0</v>
      </c>
      <c r="T53" s="892">
        <f>IF(OR(School_Type_Value="AP",School_Type_Value="Special"),0,IF(Age_Range_Value="Please select","Please select your school phase",IF(Age_Range_Value="16-19 School",0,IF(Age_Range_Value="Primary",$E53,$G53))))</f>
        <v>0</v>
      </c>
      <c r="U53" s="892">
        <f>IF(OR(School_Type_Value="AP",School_Type_Value="Special"),0,IF(Age_Range_Value="Please select","Please select your school phase",IF(Age_Range_Value="16-19 School",0,IF(Age_Range_Value="Primary",$E53,$G53))))</f>
        <v>0</v>
      </c>
      <c r="V53" s="892">
        <f>IF(OR(School_Type_Value="AP",School_Type_Value="Special"),0,IF(Age_Range_Value="Please select","Please select your school phase",IF(Age_Range_Value="16-19 School",0,IF(Age_Range_Value="Primary",$E53,$G53))))</f>
        <v>0</v>
      </c>
      <c r="W53" s="892">
        <f>IF(OR(School_Type_Value="AP",School_Type_Value="Special"),0,IF(Age_Range_Value="Please select","Please select your school phase",IF(Age_Range_Value="16-19 School",0,IF(Age_Range_Value="Primary",$E53,$G53))))</f>
        <v>0</v>
      </c>
    </row>
    <row r="54" spans="2:23" ht="15.75" thickBot="1">
      <c r="B54" s="226"/>
      <c r="C54" s="1042" t="s">
        <v>699</v>
      </c>
      <c r="D54" s="1049"/>
      <c r="E54" s="1049"/>
      <c r="F54" s="1049"/>
      <c r="G54" s="1049"/>
      <c r="H54" s="1043"/>
      <c r="I54" s="1050" t="s">
        <v>1185</v>
      </c>
      <c r="J54" s="1051"/>
      <c r="K54" s="1051"/>
      <c r="L54" s="1051"/>
      <c r="M54" s="1052"/>
      <c r="N54" s="232"/>
      <c r="P54" s="349"/>
      <c r="Q54" s="349"/>
      <c r="R54" s="349"/>
      <c r="S54" s="349"/>
      <c r="T54" s="349"/>
      <c r="U54" s="349"/>
      <c r="V54" s="349"/>
      <c r="W54" s="349"/>
    </row>
    <row r="55" spans="2:23" ht="15.75" customHeight="1" thickBot="1">
      <c r="B55" s="226"/>
      <c r="C55" s="1053" t="s">
        <v>700</v>
      </c>
      <c r="D55" s="1054"/>
      <c r="E55" s="1054"/>
      <c r="F55" s="1054"/>
      <c r="G55" s="1054"/>
      <c r="H55" s="1055"/>
      <c r="I55" s="1056" t="s">
        <v>1184</v>
      </c>
      <c r="J55" s="1057"/>
      <c r="K55" s="1057"/>
      <c r="L55" s="1057"/>
      <c r="M55" s="1058"/>
      <c r="N55" s="232"/>
      <c r="P55" s="893" t="s">
        <v>762</v>
      </c>
      <c r="Q55" s="894"/>
      <c r="R55" s="894"/>
      <c r="S55" s="894"/>
      <c r="T55" s="894"/>
      <c r="U55" s="894"/>
      <c r="V55" s="894"/>
      <c r="W55" s="894"/>
    </row>
    <row r="56" spans="2:23" ht="14.65" customHeight="1" thickBot="1">
      <c r="B56" s="226"/>
      <c r="C56" s="298" t="s">
        <v>725</v>
      </c>
      <c r="D56" s="299"/>
      <c r="E56" s="299"/>
      <c r="F56" s="299"/>
      <c r="G56" s="299"/>
      <c r="H56" s="299"/>
      <c r="I56" s="1012" t="s">
        <v>1185</v>
      </c>
      <c r="J56" s="683"/>
      <c r="K56" s="683"/>
      <c r="L56" s="683"/>
      <c r="M56" s="1013"/>
      <c r="N56" s="232"/>
      <c r="P56" s="349"/>
      <c r="Q56" s="349"/>
      <c r="R56" s="349"/>
      <c r="S56" s="349"/>
      <c r="T56" s="349"/>
      <c r="U56" s="349"/>
      <c r="V56" s="349"/>
      <c r="W56" s="349"/>
    </row>
    <row r="57" spans="2:23" ht="15.75" customHeight="1" thickBot="1">
      <c r="B57" s="226"/>
      <c r="C57" s="300" t="s">
        <v>726</v>
      </c>
      <c r="D57" s="301"/>
      <c r="E57" s="301"/>
      <c r="F57" s="301"/>
      <c r="G57" s="301"/>
      <c r="H57" s="301"/>
      <c r="I57" s="1012" t="s">
        <v>1185</v>
      </c>
      <c r="J57" s="683"/>
      <c r="K57" s="683"/>
      <c r="L57" s="683"/>
      <c r="M57" s="1013"/>
      <c r="N57" s="232"/>
      <c r="P57" s="349"/>
      <c r="Q57" s="349"/>
      <c r="R57" s="349"/>
      <c r="S57" s="349"/>
      <c r="T57" s="349"/>
      <c r="U57" s="349"/>
      <c r="V57" s="349"/>
      <c r="W57" s="349"/>
    </row>
    <row r="58" spans="2:23" ht="15.75" thickBot="1">
      <c r="B58" s="226"/>
      <c r="C58" s="361"/>
      <c r="D58" s="361"/>
      <c r="E58" s="361"/>
      <c r="F58" s="361"/>
      <c r="G58" s="361"/>
      <c r="H58" s="362"/>
      <c r="I58" s="683"/>
      <c r="J58" s="683"/>
      <c r="K58" s="683"/>
      <c r="L58" s="683"/>
      <c r="M58" s="683"/>
      <c r="N58" s="232"/>
      <c r="P58" s="349"/>
      <c r="Q58" s="349"/>
      <c r="R58" s="349"/>
      <c r="S58" s="349"/>
      <c r="T58" s="349"/>
      <c r="U58" s="349"/>
      <c r="V58" s="349"/>
      <c r="W58" s="349"/>
    </row>
    <row r="59" spans="2:23" ht="30.75" thickBot="1">
      <c r="B59" s="226"/>
      <c r="C59" s="1040" t="s">
        <v>727</v>
      </c>
      <c r="D59" s="1041"/>
      <c r="E59" s="695" t="s">
        <v>823</v>
      </c>
      <c r="F59" s="297" t="e">
        <f>IF(INDEX(Proforma_current_year!$C:$C,MATCH('Pre 16 Ready Reckoner'!$M$14,Proforma_current_year!$A:$A,0))="",0,INDEX(Proforma_current_year!$C:$C,MATCH('Pre 16 Ready Reckoner'!$M$14,Proforma_current_year!$A:$A,0)))</f>
        <v>#N/A</v>
      </c>
      <c r="G59" s="697" t="s">
        <v>1150</v>
      </c>
      <c r="H59" s="297" t="e">
        <f>IF(INDEX(Proforma_current_year!$D:$D,MATCH('Pre 16 Ready Reckoner'!$M$14,Proforma_current_year!$A:$A,0))="",0,INDEX(Proforma_current_year!$D:$D,MATCH('Pre 16 Ready Reckoner'!$M$14,Proforma_current_year!$A:$A,0)))</f>
        <v>#N/A</v>
      </c>
      <c r="I59" s="696" t="s">
        <v>1112</v>
      </c>
      <c r="J59" s="297" t="e">
        <f>IF(INDEX(Proforma_current_year!$E:$E,MATCH('Pre 16 Ready Reckoner'!$M$14,Proforma_current_year!$A:$A,0))="",0,INDEX(Proforma_current_year!$E:$E,MATCH('Pre 16 Ready Reckoner'!$M$14,Proforma_current_year!$A:$A,0)))</f>
        <v>#N/A</v>
      </c>
      <c r="K59" s="695" t="s">
        <v>822</v>
      </c>
      <c r="L59" s="297" t="e">
        <f>IF(INDEX(Proforma_current_year!$F:$F,MATCH('Pre 16 Ready Reckoner'!$M$14,Proforma_current_year!$A:$A,0))="",0,INDEX(Proforma_current_year!$F:$F,MATCH('Pre 16 Ready Reckoner'!$M$14,Proforma_current_year!$A:$A,0)))</f>
        <v>#N/A</v>
      </c>
      <c r="M59" s="687" t="e">
        <f>Open_Proportion*MAX((((J22*F59)+(SUM(J23:J25)*H59)+(SUM(J26:J27)*J59))/'G3. Budget'!E35)*SUM(G22:G27)-SUM(M22,M29,M38,M39,M43,M53,M55),0)</f>
        <v>#N/A</v>
      </c>
      <c r="N59" s="232"/>
      <c r="P59" s="888" t="s">
        <v>807</v>
      </c>
      <c r="Q59" s="889">
        <f>MAX(IFERROR((((Z14*$F$59)+(SUM(Z15:Z17)*$H$59)+(SUM(Z18:Z19)*$J$59))/'G3. Budget'!F35)*SUM(Q14:Q19)-SUM(Q22:Q27,Q29:Q36,Q38,Q39,Q43:Q48,Q53,Q55),0), 0)</f>
        <v>0</v>
      </c>
      <c r="R59" s="889">
        <f>MAX(IFERROR((((AA14*$F$59)+(SUM(AA15:AA17)*$H$59)+(SUM(AA18:AA19)*$J$59))/'G3. Budget'!G35)*SUM(R14:R19)-SUM(R22:R27,R29:R36,R38,R39,R43:R48,R53,R55),0), 0)</f>
        <v>0</v>
      </c>
      <c r="S59" s="889">
        <f>MAX(IFERROR((((AB14*$F$59)+(SUM(AB15:AB17)*$H$59)+(SUM(AB18:AB19)*$J$59))/'G3. Budget'!H35)*SUM(S14:S19)-SUM(S22:S27,S29:S36,S38,S39,S43:S48,S53,S55),0), 0)</f>
        <v>0</v>
      </c>
      <c r="T59" s="889">
        <f>MAX(IFERROR((((AC14*$F$59)+(SUM(AC15:AC17)*$H$59)+(SUM(AC18:AC19)*$J$59))/'G3. Budget'!I35)*SUM(T14:T19)-SUM(T22:T27,T29:T36,T38,T39,T43:T48,T53,T55),0), 0)</f>
        <v>0</v>
      </c>
      <c r="U59" s="889">
        <f>MAX(IFERROR((((AD14*$F$59)+(SUM(AD15:AD17)*$H$59)+(SUM(AD18:AD19)*$J$59))/'G3. Budget'!J35)*SUM(U14:U19)-SUM(U22:U27,U29:U36,U38,U39,U43:U48,U53,U55),0), 0)</f>
        <v>0</v>
      </c>
      <c r="V59" s="889">
        <f>MAX(IFERROR((((AE14*$F$59)+(SUM(AE15:AE17)*$H$59)+(SUM(AE18:AE19)*$J$59))/'G3. Budget'!K35)*SUM(V14:V19)-SUM(V22:V27,V29:V36,V38,V39,V43:V48,V53,V55),0), 0)</f>
        <v>0</v>
      </c>
      <c r="W59" s="889">
        <f>MAX(IFERROR((((AF14*$F$59)+(SUM(AF15:AF17)*$H$59)+(SUM(AF18:AF19)*$J$59))/'G3. Budget'!L35)*SUM(W14:W19)-SUM(W22:W27,W29:W36,W38,W39,W43:W48,W53,W55),0), 0)</f>
        <v>0</v>
      </c>
    </row>
    <row r="60" spans="2:23" ht="15.75" thickBot="1">
      <c r="B60" s="226"/>
      <c r="C60" s="314"/>
      <c r="D60" s="302"/>
      <c r="E60" s="1072" t="s">
        <v>1193</v>
      </c>
      <c r="F60" s="1073"/>
      <c r="G60" s="1073"/>
      <c r="H60" s="1073"/>
      <c r="I60" s="1073"/>
      <c r="J60" s="1073"/>
      <c r="K60" s="1073"/>
      <c r="L60" s="1074"/>
      <c r="M60" s="687">
        <f>IF(Opening_Date_Value&lt;DATE(2021,9,1),Open_Proportion*FS_Protection!$E$10,0)</f>
        <v>0</v>
      </c>
      <c r="N60" s="232"/>
      <c r="P60" s="103"/>
      <c r="Q60" s="103"/>
      <c r="R60" s="103"/>
      <c r="S60" s="103"/>
      <c r="T60" s="103"/>
      <c r="U60" s="103"/>
      <c r="V60" s="103"/>
      <c r="W60" s="103"/>
    </row>
    <row r="61" spans="2:23" ht="15.75" thickBot="1">
      <c r="B61" s="226"/>
      <c r="D61" s="363"/>
      <c r="E61" s="1069" t="s">
        <v>728</v>
      </c>
      <c r="F61" s="1070"/>
      <c r="G61" s="1070"/>
      <c r="H61" s="1070"/>
      <c r="I61" s="1070"/>
      <c r="J61" s="1070"/>
      <c r="K61" s="1070"/>
      <c r="L61" s="1071"/>
      <c r="M61" s="304" t="e">
        <f>SUM(M22,M29,M38,M39,M43,M53,M59,M60)</f>
        <v>#N/A</v>
      </c>
      <c r="N61" s="232"/>
      <c r="P61" s="903" t="s">
        <v>808</v>
      </c>
      <c r="Q61" s="904">
        <f>SUM(Q$22:Q$27,Q$29:Q$36,Q$38:Q$39,Q$41,Q$43:Q$48,Q$53,Q$59)</f>
        <v>0</v>
      </c>
      <c r="R61" s="904">
        <f>SUM(R$22:R$27,R$29:R$36,R$38:R$39,R$41,R$43:R$48,R$53,R$59)</f>
        <v>0</v>
      </c>
      <c r="S61" s="904">
        <f>SUM(S$22:S$27,S$29:S$36,S$38:S$39,S$41,S$43:S$48,S$53,S$59)</f>
        <v>0</v>
      </c>
      <c r="T61" s="904">
        <f>SUM(T$22:T$27,T$29:T$36,T$38:T$39,T$41,T$43:T$48,T$53,T$59)</f>
        <v>0</v>
      </c>
      <c r="U61" s="904">
        <f>SUM(U$22:U$27,U$29:U$36,U$38:U$39,U$41,U$43:U$48,U$53,U$59)</f>
        <v>0</v>
      </c>
      <c r="V61" s="904">
        <f>SUM(V$22:V$27,V$29:V$36,V$38:V$39,V$41,V$43:V$48,V$53,V$59)</f>
        <v>0</v>
      </c>
      <c r="W61" s="904">
        <f>SUM(W$22:W$27,W$29:W$36,W$38:W$39,W$41,W$43:W$48,W$53,W$59)</f>
        <v>0</v>
      </c>
    </row>
    <row r="62" spans="2:23" ht="15">
      <c r="B62" s="226"/>
      <c r="C62" s="377"/>
      <c r="D62" s="302"/>
      <c r="E62" s="303"/>
      <c r="F62" s="303"/>
      <c r="G62" s="303"/>
      <c r="H62" s="303"/>
      <c r="I62" s="305"/>
      <c r="J62" s="306"/>
      <c r="K62" s="284"/>
      <c r="L62" s="815"/>
      <c r="M62" s="641"/>
      <c r="N62" s="232"/>
      <c r="P62" s="349"/>
      <c r="Q62" s="349"/>
      <c r="R62" s="349"/>
      <c r="S62" s="349"/>
      <c r="T62" s="349"/>
      <c r="U62" s="349"/>
      <c r="V62" s="349"/>
      <c r="W62" s="349"/>
    </row>
    <row r="63" spans="2:23" ht="15.75" thickBot="1">
      <c r="B63" s="307"/>
      <c r="C63" s="376"/>
      <c r="D63" s="308"/>
      <c r="E63" s="309"/>
      <c r="F63" s="309"/>
      <c r="G63" s="309"/>
      <c r="H63" s="310"/>
      <c r="I63" s="311"/>
      <c r="J63" s="311"/>
      <c r="K63" s="312"/>
      <c r="L63" s="629"/>
      <c r="M63" s="629"/>
      <c r="N63" s="313"/>
      <c r="P63" s="349"/>
      <c r="Q63" s="349"/>
      <c r="R63" s="349"/>
      <c r="S63" s="349"/>
      <c r="T63" s="349"/>
      <c r="U63" s="349"/>
      <c r="V63" s="349"/>
      <c r="W63" s="349"/>
    </row>
    <row r="64" spans="2:23" s="210" customFormat="1" ht="15">
      <c r="B64" s="215"/>
      <c r="C64" s="314"/>
      <c r="D64" s="315"/>
      <c r="E64" s="315"/>
      <c r="F64" s="315"/>
      <c r="G64" s="315"/>
      <c r="H64" s="315"/>
      <c r="I64" s="315"/>
      <c r="J64" s="315"/>
      <c r="K64" s="315"/>
      <c r="L64" s="315"/>
      <c r="M64" s="316"/>
      <c r="N64" s="217"/>
      <c r="O64" s="206"/>
      <c r="P64" s="895"/>
      <c r="Q64" s="896"/>
      <c r="R64" s="896"/>
      <c r="S64" s="896"/>
      <c r="T64" s="896"/>
      <c r="U64" s="896"/>
      <c r="V64" s="896"/>
      <c r="W64" s="896"/>
    </row>
    <row r="65" spans="2:23" s="210" customFormat="1" ht="15">
      <c r="B65" s="215"/>
      <c r="C65" s="317" t="s">
        <v>1191</v>
      </c>
      <c r="D65" s="318"/>
      <c r="E65" s="319"/>
      <c r="F65" s="319"/>
      <c r="G65" s="319"/>
      <c r="H65" s="319"/>
      <c r="I65" s="319"/>
      <c r="J65" s="319"/>
      <c r="K65" s="320"/>
      <c r="L65" s="320"/>
      <c r="M65" s="321"/>
      <c r="N65" s="217"/>
      <c r="O65" s="206"/>
      <c r="P65" s="895"/>
      <c r="Q65" s="896"/>
      <c r="R65" s="896"/>
      <c r="S65" s="896"/>
      <c r="T65" s="896"/>
      <c r="U65" s="896"/>
      <c r="V65" s="896"/>
      <c r="W65" s="896"/>
    </row>
    <row r="66" spans="2:23" s="210" customFormat="1" ht="21.75" thickBot="1">
      <c r="B66" s="215"/>
      <c r="C66" s="322" t="s">
        <v>1007</v>
      </c>
      <c r="D66" s="318"/>
      <c r="E66" s="319"/>
      <c r="F66" s="319"/>
      <c r="G66" s="319"/>
      <c r="H66" s="319"/>
      <c r="I66" s="319"/>
      <c r="J66" s="319"/>
      <c r="K66" s="320"/>
      <c r="L66" s="320"/>
      <c r="M66" s="321"/>
      <c r="N66" s="217"/>
      <c r="O66" s="206"/>
      <c r="P66" s="895"/>
      <c r="Q66" s="896"/>
      <c r="R66" s="896"/>
      <c r="S66" s="896"/>
      <c r="T66" s="896"/>
      <c r="U66" s="896"/>
      <c r="V66" s="896"/>
      <c r="W66" s="896"/>
    </row>
    <row r="67" spans="2:23" s="210" customFormat="1" ht="65.25" customHeight="1" thickBot="1">
      <c r="B67" s="215"/>
      <c r="C67" s="1059" t="s">
        <v>701</v>
      </c>
      <c r="D67" s="323" t="s">
        <v>702</v>
      </c>
      <c r="E67" s="235" t="s">
        <v>703</v>
      </c>
      <c r="F67" s="235" t="s">
        <v>704</v>
      </c>
      <c r="G67" s="682" t="s">
        <v>705</v>
      </c>
      <c r="H67" s="241" t="s">
        <v>706</v>
      </c>
      <c r="I67" s="324" t="s">
        <v>677</v>
      </c>
      <c r="J67" s="325" t="s">
        <v>678</v>
      </c>
      <c r="K67" s="1062" t="s">
        <v>707</v>
      </c>
      <c r="L67" s="1063"/>
      <c r="M67" s="326" t="s">
        <v>131</v>
      </c>
      <c r="N67" s="217"/>
      <c r="O67" s="206"/>
      <c r="P67" s="897" t="s">
        <v>701</v>
      </c>
      <c r="Q67" s="896"/>
      <c r="R67" s="896"/>
      <c r="S67" s="896"/>
      <c r="T67" s="896"/>
      <c r="U67" s="896"/>
      <c r="V67" s="896"/>
      <c r="W67" s="896"/>
    </row>
    <row r="68" spans="2:23" s="210" customFormat="1" ht="15">
      <c r="B68" s="215"/>
      <c r="C68" s="1060"/>
      <c r="D68" s="327" t="s">
        <v>722</v>
      </c>
      <c r="E68" s="328">
        <f>'Input Data'!AT4</f>
        <v>1345</v>
      </c>
      <c r="F68" s="328">
        <f>'Input Data'!AU4</f>
        <v>995</v>
      </c>
      <c r="G68" s="689"/>
      <c r="H68" s="360"/>
      <c r="I68" s="329">
        <f>IFERROR(IF($M$14="",0,INDEX('LA Averages_current_year'!$L:$L,MATCH($M$14,'LA Averages_current_year'!$A:$A,0))),0)</f>
        <v>0</v>
      </c>
      <c r="J68" s="330">
        <f>IFERROR(IF($M$14="",0,INDEX('LA Averages_current_year'!$N:$N,MATCH($M$14,'LA Averages_current_year'!$A:$A,0))),0)</f>
        <v>0</v>
      </c>
      <c r="K68" s="1016">
        <f>Open_Proportion*IFERROR(IF(G68="",I68,G68)*E68*SUM($G$22:$G$22),0)+IFERROR(IF(H68="",J68,H68)*F68*SUM($G$23:$G$27),0)</f>
        <v>0</v>
      </c>
      <c r="L68" s="1017"/>
      <c r="M68" s="1064">
        <f>SUM(K68:L70)</f>
        <v>0</v>
      </c>
      <c r="N68" s="217"/>
      <c r="O68" s="206"/>
      <c r="P68" s="898" t="s">
        <v>722</v>
      </c>
      <c r="Q68" s="899">
        <f>IFERROR(IF($G$68="",$I$68,$G$68)*$E$68*Q$14,0)+IFERROR(IF($H$68="",$J$68,$H$68)*$F$68*SUM(Q$15:Q$19),0)</f>
        <v>0</v>
      </c>
      <c r="R68" s="899">
        <f>IFERROR(IF($G$68="",$I$68,$G$68)*$E$68*R$14,0)+IFERROR(IF($H$68="",$J$68,$H$68)*$F$68*SUM(R$15:R$19),0)</f>
        <v>0</v>
      </c>
      <c r="S68" s="899">
        <f>IFERROR(IF($G$68="",$I$68,$G$68)*$E$68*S$14,0)+IFERROR(IF($H$68="",$J$68,$H$68)*$F$68*SUM(S$15:S$19),0)</f>
        <v>0</v>
      </c>
      <c r="T68" s="899">
        <f>IFERROR(IF($G$68="",$I$68,$G$68)*$E$68*T$14,0)+IFERROR(IF($H$68="",$J$68,$H$68)*$F$68*SUM(T$15:T$19),0)</f>
        <v>0</v>
      </c>
      <c r="U68" s="899">
        <f>IFERROR(IF($G$68="",$I$68,$G$68)*$E$68*U$14,0)+IFERROR(IF($H$68="",$J$68,$H$68)*$F$68*SUM(U$15:U$19),0)</f>
        <v>0</v>
      </c>
      <c r="V68" s="899">
        <f>IFERROR(IF($G$68="",$I$68,$G$68)*$E$68*V$14,0)+IFERROR(IF($H$68="",$J$68,$H$68)*$F$68*SUM(V$15:V$19),0)</f>
        <v>0</v>
      </c>
      <c r="W68" s="899">
        <f>IFERROR(IF($G$68="",$I$68,$G$68)*$E$68*W$14,0)+IFERROR(IF($H$68="",$J$68,$H$68)*$F$68*SUM(W$15:W$19),0)</f>
        <v>0</v>
      </c>
    </row>
    <row r="69" spans="2:23" s="210" customFormat="1" ht="15">
      <c r="B69" s="215"/>
      <c r="C69" s="1060"/>
      <c r="D69" s="331" t="s">
        <v>708</v>
      </c>
      <c r="E69" s="328">
        <f>'Input Data'!AV4</f>
        <v>2345</v>
      </c>
      <c r="F69" s="328">
        <f>'Input Data'!AV4</f>
        <v>2345</v>
      </c>
      <c r="G69" s="358"/>
      <c r="H69" s="364"/>
      <c r="I69" s="271"/>
      <c r="J69" s="271"/>
      <c r="K69" s="1067">
        <f>Open_Proportion*IF(G69="",I69,G69)*E69*SUM($G$22:$G$22)+IF(H69="",J69,H69)*F69*SUM($G$23:$G$27)</f>
        <v>0</v>
      </c>
      <c r="L69" s="1068"/>
      <c r="M69" s="1065"/>
      <c r="N69" s="217"/>
      <c r="O69" s="206"/>
      <c r="P69" s="898" t="s">
        <v>715</v>
      </c>
      <c r="Q69" s="899">
        <f>IF($G$69="",$I$69,$G$69)*$E$69*Q$14+IF($H$69="",$J$69,$H$69)*$F$69*SUM(Q$15:Q$19)</f>
        <v>0</v>
      </c>
      <c r="R69" s="899">
        <f>IF($G$69="",$I$69,$G$69)*$E$69*R$14+IF($H$69="",$J$69,$H$69)*$F$69*SUM(R$15:R$19)</f>
        <v>0</v>
      </c>
      <c r="S69" s="899">
        <f>IF($G$69="",$I$69,$G$69)*$E$69*S$14+IF($H$69="",$J$69,$H$69)*$F$69*SUM(S$15:S$19)</f>
        <v>0</v>
      </c>
      <c r="T69" s="899">
        <f>IF($G$69="",$I$69,$G$69)*$E$69*T$14+IF($H$69="",$J$69,$H$69)*$F$69*SUM(T$15:T$19)</f>
        <v>0</v>
      </c>
      <c r="U69" s="899">
        <f>IF($G$69="",$I$69,$G$69)*$E$69*U$14+IF($H$69="",$J$69,$H$69)*$F$69*SUM(U$15:U$19)</f>
        <v>0</v>
      </c>
      <c r="V69" s="899">
        <f>IF($G$69="",$I$69,$G$69)*$E$69*V$14+IF($H$69="",$J$69,$H$69)*$F$69*SUM(V$15:V$19)</f>
        <v>0</v>
      </c>
      <c r="W69" s="899">
        <f>IF($G$69="",$I$69,$G$69)*$E$69*W$14+IF($H$69="",$J$69,$H$69)*$F$69*SUM(W$15:W$19)</f>
        <v>0</v>
      </c>
    </row>
    <row r="70" spans="2:23" s="210" customFormat="1" ht="63" customHeight="1" thickBot="1">
      <c r="B70" s="215"/>
      <c r="C70" s="1061"/>
      <c r="D70" s="332" t="s">
        <v>709</v>
      </c>
      <c r="E70" s="786">
        <f>'Input Data'!AW4</f>
        <v>310</v>
      </c>
      <c r="F70" s="787">
        <f>'Input Data'!AW4</f>
        <v>310</v>
      </c>
      <c r="G70" s="688"/>
      <c r="H70" s="359"/>
      <c r="I70" s="271"/>
      <c r="J70" s="271"/>
      <c r="K70" s="1020">
        <f>Open_Proportion*IF(G70="",I70,G70)*E70*SUM($G$22:$G$22)+IF(H70="",J70,H70)*F70*SUM($G$23:$G$27)</f>
        <v>0</v>
      </c>
      <c r="L70" s="1021"/>
      <c r="M70" s="1066"/>
      <c r="N70" s="217"/>
      <c r="O70" s="206"/>
      <c r="P70" s="898" t="s">
        <v>716</v>
      </c>
      <c r="Q70" s="899">
        <f>IF($G$70="",$I$70,$G$70)*$E$70*Q$14+IF($H$70="",$J$70,$H$70)*$F$70*SUM(Q$15:Q$19)</f>
        <v>0</v>
      </c>
      <c r="R70" s="899">
        <f>IF($G$70="",$I$70,$G$70)*$E$70*R$14+IF($H$70="",$J$70,$H$70)*$F$70*SUM(R$15:R$19)</f>
        <v>0</v>
      </c>
      <c r="S70" s="899">
        <f>IF($G$70="",$I$70,$G$70)*$E$70*S$14+IF($H$70="",$J$70,$H$70)*$F$70*SUM(S$15:S$19)</f>
        <v>0</v>
      </c>
      <c r="T70" s="899">
        <f>IF($G$70="",$I$70,$G$70)*$E$70*T$14+IF($H$70="",$J$70,$H$70)*$F$70*SUM(T$15:T$19)</f>
        <v>0</v>
      </c>
      <c r="U70" s="899">
        <f>IF($G$70="",$I$70,$G$70)*$E$70*U$14+IF($H$70="",$J$70,$H$70)*$F$70*SUM(U$15:U$19)</f>
        <v>0</v>
      </c>
      <c r="V70" s="899">
        <f>IF($G$70="",$I$70,$G$70)*$E$70*V$14+IF($H$70="",$J$70,$H$70)*$F$70*SUM(V$15:V$19)</f>
        <v>0</v>
      </c>
      <c r="W70" s="899">
        <f>IF($G$70="",$I$70,$G$70)*$E$70*W$14+IF($H$70="",$J$70,$H$70)*$F$70*SUM(W$15:W$19)</f>
        <v>0</v>
      </c>
    </row>
    <row r="71" spans="2:23" s="210" customFormat="1" ht="15">
      <c r="B71" s="215"/>
      <c r="C71" s="333"/>
      <c r="D71" s="334"/>
      <c r="E71" s="334"/>
      <c r="F71" s="335"/>
      <c r="G71" s="335"/>
      <c r="H71" s="336"/>
      <c r="I71" s="336"/>
      <c r="J71" s="337"/>
      <c r="K71" s="338"/>
      <c r="L71" s="338"/>
      <c r="M71" s="339"/>
      <c r="N71" s="217"/>
      <c r="O71" s="206"/>
      <c r="P71" s="895"/>
      <c r="Q71" s="896"/>
      <c r="R71" s="896"/>
      <c r="S71" s="896"/>
      <c r="T71" s="896"/>
      <c r="U71" s="896"/>
      <c r="V71" s="896"/>
      <c r="W71" s="896"/>
    </row>
    <row r="72" spans="2:23" s="210" customFormat="1" ht="15.75" thickBot="1">
      <c r="B72" s="215"/>
      <c r="C72" s="340"/>
      <c r="D72" s="334"/>
      <c r="E72" s="334"/>
      <c r="F72" s="335"/>
      <c r="G72" s="335"/>
      <c r="H72" s="336"/>
      <c r="I72" s="336"/>
      <c r="J72" s="337"/>
      <c r="K72" s="338"/>
      <c r="L72" s="338"/>
      <c r="M72" s="339"/>
      <c r="N72" s="217"/>
      <c r="O72" s="206"/>
      <c r="P72" s="895"/>
      <c r="Q72" s="896"/>
      <c r="R72" s="896"/>
      <c r="S72" s="896"/>
      <c r="T72" s="896"/>
      <c r="U72" s="896"/>
      <c r="V72" s="896"/>
      <c r="W72" s="896"/>
    </row>
    <row r="73" spans="2:23" s="210" customFormat="1" ht="15.75" thickBot="1">
      <c r="B73" s="215"/>
      <c r="D73" s="315"/>
      <c r="E73" s="1069" t="s">
        <v>1192</v>
      </c>
      <c r="F73" s="1070"/>
      <c r="G73" s="1070"/>
      <c r="H73" s="1070"/>
      <c r="I73" s="1070"/>
      <c r="J73" s="1070"/>
      <c r="K73" s="1070"/>
      <c r="L73" s="1071"/>
      <c r="M73" s="304" t="e">
        <f>M68+M61</f>
        <v>#N/A</v>
      </c>
      <c r="N73" s="217"/>
      <c r="O73" s="206"/>
      <c r="P73" s="905" t="s">
        <v>809</v>
      </c>
      <c r="Q73" s="906">
        <f>SUM(Q$61,Q$68:Q$70)</f>
        <v>0</v>
      </c>
      <c r="R73" s="906">
        <f>SUM(R$61,R$68:R$70)</f>
        <v>0</v>
      </c>
      <c r="S73" s="906">
        <f>SUM(S$61,S$68:S$70)</f>
        <v>0</v>
      </c>
      <c r="T73" s="906">
        <f>SUM(T$61,T$68:T$70)</f>
        <v>0</v>
      </c>
      <c r="U73" s="906">
        <f>SUM(U$61,U$68:U$70)</f>
        <v>0</v>
      </c>
      <c r="V73" s="906">
        <f>SUM(V$61,V$68:V$70)</f>
        <v>0</v>
      </c>
      <c r="W73" s="906">
        <f>SUM(W$61,W$68:W$70)</f>
        <v>0</v>
      </c>
    </row>
    <row r="74" spans="2:14" ht="15">
      <c r="B74" s="226"/>
      <c r="N74" s="232"/>
    </row>
    <row r="75" spans="2:14" ht="15">
      <c r="B75" s="226"/>
      <c r="N75" s="232"/>
    </row>
    <row r="76" spans="2:14" ht="15.75" thickBot="1">
      <c r="B76" s="343"/>
      <c r="C76" s="344"/>
      <c r="D76" s="345"/>
      <c r="E76" s="346"/>
      <c r="F76" s="346"/>
      <c r="G76" s="346"/>
      <c r="H76" s="346"/>
      <c r="I76" s="346"/>
      <c r="J76" s="346"/>
      <c r="K76" s="346"/>
      <c r="L76" s="346"/>
      <c r="M76" s="346"/>
      <c r="N76" s="347"/>
    </row>
    <row r="77" ht="15.75" thickTop="1"/>
    <row r="78" spans="9:9" ht="15" hidden="1">
      <c r="I78" s="348"/>
    </row>
    <row r="79" spans="9:9" ht="15" hidden="1">
      <c r="I79" s="348"/>
    </row>
    <row r="80" spans="1:1" ht="15" hidden="1">
      <c r="A80"/>
    </row>
    <row r="81" spans="1:1" ht="15" hidden="1">
      <c r="A81"/>
    </row>
    <row r="82" spans="1:1" customHeight="1" hidden="1">
      <c r="A82"/>
    </row>
  </sheetData>
  <sheetProtection algorithmName="SHA-512" hashValue="4TeRakGFN4f641CaRrkXqFFglPVl6q3l7CXVrUlxf4yCTjF8igRYtghC0TOtSfVzzhaogHBxB9uZStPRxFqPLw==" saltValue="TTNCESGxAZzd/DylYJ9XsQ==" spinCount="100000" sheet="1" objects="1" scenarios="1"/>
  <mergeCells count="76">
    <mergeCell ref="E73:L73"/>
    <mergeCell ref="I56:M56"/>
    <mergeCell ref="I57:M57"/>
    <mergeCell ref="E60:L60"/>
    <mergeCell ref="E61:L61"/>
    <mergeCell ref="C67:C70"/>
    <mergeCell ref="K67:L67"/>
    <mergeCell ref="K68:L68"/>
    <mergeCell ref="M68:M70"/>
    <mergeCell ref="K69:L69"/>
    <mergeCell ref="K70:L70"/>
    <mergeCell ref="C59:D59"/>
    <mergeCell ref="C53:D53"/>
    <mergeCell ref="E53:F53"/>
    <mergeCell ref="G53:H53"/>
    <mergeCell ref="I53:L53"/>
    <mergeCell ref="C54:H54"/>
    <mergeCell ref="I54:M54"/>
    <mergeCell ref="C55:H55"/>
    <mergeCell ref="I55:M55"/>
    <mergeCell ref="F44:F48"/>
    <mergeCell ref="G48:H48"/>
    <mergeCell ref="E52:F52"/>
    <mergeCell ref="G52:H52"/>
    <mergeCell ref="I52:L52"/>
    <mergeCell ref="M43:M48"/>
    <mergeCell ref="G42:H42"/>
    <mergeCell ref="K42:L42"/>
    <mergeCell ref="G43:H43"/>
    <mergeCell ref="K43:L43"/>
    <mergeCell ref="G44:H44"/>
    <mergeCell ref="G45:H45"/>
    <mergeCell ref="G46:H46"/>
    <mergeCell ref="G47:H47"/>
    <mergeCell ref="G23:I23"/>
    <mergeCell ref="G24:I24"/>
    <mergeCell ref="G25:I25"/>
    <mergeCell ref="C42:C48"/>
    <mergeCell ref="M29:M36"/>
    <mergeCell ref="K37:L37"/>
    <mergeCell ref="E38:F38"/>
    <mergeCell ref="K38:L38"/>
    <mergeCell ref="C41:H41"/>
    <mergeCell ref="I41:M41"/>
    <mergeCell ref="C39:C40"/>
    <mergeCell ref="K39:L39"/>
    <mergeCell ref="M39:M40"/>
    <mergeCell ref="K40:L40"/>
    <mergeCell ref="C28:C36"/>
    <mergeCell ref="K44:L48"/>
    <mergeCell ref="G26:I26"/>
    <mergeCell ref="M22:M27"/>
    <mergeCell ref="C21:C26"/>
    <mergeCell ref="E21:F21"/>
    <mergeCell ref="E26:F26"/>
    <mergeCell ref="K26:L26"/>
    <mergeCell ref="G21:I21"/>
    <mergeCell ref="G27:I27"/>
    <mergeCell ref="E27:F27"/>
    <mergeCell ref="K27:L27"/>
    <mergeCell ref="E23:F23"/>
    <mergeCell ref="K23:L23"/>
    <mergeCell ref="E24:F24"/>
    <mergeCell ref="K24:L24"/>
    <mergeCell ref="E25:F25"/>
    <mergeCell ref="K25:L25"/>
    <mergeCell ref="D6:N7"/>
    <mergeCell ref="B8:N8"/>
    <mergeCell ref="C11:M11"/>
    <mergeCell ref="G12:G13"/>
    <mergeCell ref="D14:E14"/>
    <mergeCell ref="D15:E15"/>
    <mergeCell ref="K21:L21"/>
    <mergeCell ref="E22:F22"/>
    <mergeCell ref="K22:L22"/>
    <mergeCell ref="G22:I22"/>
  </mergeCells>
  <conditionalFormatting sqref="G29:H36 G39 H40 G68:H68 G43:H48">
    <cfRule type="expression" dxfId="3" priority="1">
      <formula>Opening_Date_Value&gt;=DATE(2020,9,1)</formula>
    </cfRule>
  </conditionalFormatting>
  <dataValidations count="17">
    <dataValidation type="custom" operator="greaterThanOrEqual" allowBlank="1" showInputMessage="1" showErrorMessage="1" errorTitle="Negative value" error="The number of pupils cannot be negative. Please insert a positive figure." sqref="G22">
      <formula1>AND(Opening_Date_Value&lt;DATE(2020,9,1),G29&gt;=0,G29&lt;=1)</formula1>
    </dataValidation>
    <dataValidation type="decimal" allowBlank="1" showInputMessage="1" showErrorMessage="1" errorTitle="Error" error="The percentage of eligible secondary pupils for this factor cannot be negative or higher than 100%. Please insert the correct figure." sqref="H38 H69:H70">
      <formula1>0</formula1>
      <formula2>1</formula2>
    </dataValidation>
    <dataValidation type="decimal" allowBlank="1" showInputMessage="1" showErrorMessage="1" errorTitle="Error" error="The percentage of eligible primary pupils for this factor cannot be negative or higher than 100%. Please insert the correct figure." sqref="G38 G69:G70">
      <formula1>0</formula1>
      <formula2>1</formula2>
    </dataValidation>
    <dataValidation type="decimal" allowBlank="1" showInputMessage="1" showErrorMessage="1" errorTitle="Error" error="The number of eligible secondary pupils for this factor cannot be negative or higher than100%. Please insert the correct figure or leave the cell blank to use an LA average." sqref="WND983078 AR40 KN40 UJ40 AEF40 AOB40 AXX40 BHT40 BRP40 CBL40 CLH40 CVD40 DEZ40 DOV40 DYR40 EIN40 ESJ40 FCF40 FMB40 FVX40 GFT40 GPP40 GZL40 HJH40 HTD40 ICZ40 IMV40 IWR40 JGN40 JQJ40 KAF40 KKB40 KTX40 LDT40 LNP40 LXL40 MHH40 MRD40 NAZ40 NKV40 NUR40 OEN40 OOJ40 OYF40 PIB40 PRX40 QBT40 QLP40 QVL40 RFH40 RPD40 RYZ40 SIV40 SSR40 TCN40 TMJ40 TWF40 UGB40 UPX40 UZT40 VJP40 VTL40 WDH40 WND40 H65574 AR65574 KN65574 UJ65574 AEF65574 AOB65574 AXX65574 BHT65574 BRP65574 CBL65574 CLH65574 CVD65574 DEZ65574 DOV65574 DYR65574 EIN65574 ESJ65574 FCF65574 FMB65574 FVX65574 GFT65574 GPP65574 GZL65574 HJH65574 HTD65574 ICZ65574 IMV65574 IWR65574 JGN65574 JQJ65574 KAF65574 KKB65574 KTX65574 LDT65574 LNP65574 LXL65574 MHH65574 MRD65574 NAZ65574 NKV65574 NUR65574 OEN65574 OOJ65574 OYF65574 PIB65574 PRX65574 QBT65574 QLP65574 QVL65574 RFH65574 RPD65574 RYZ65574 SIV65574 SSR65574 TCN65574 TMJ65574 TWF65574 UGB65574 UPX65574 UZT65574 VJP65574 VTL65574 WDH65574 WND65574 H131110 AR131110 KN131110 UJ131110 AEF131110 AOB131110 AXX131110 BHT131110 BRP131110 CBL131110 CLH131110 CVD131110 DEZ131110 DOV131110 DYR131110 EIN131110 ESJ131110 FCF131110 FMB131110 FVX131110 GFT131110 GPP131110 GZL131110 HJH131110 HTD131110 ICZ131110 IMV131110 IWR131110 JGN131110 JQJ131110 KAF131110 KKB131110 KTX131110 LDT131110 LNP131110 LXL131110 MHH131110 MRD131110 NAZ131110 NKV131110 NUR131110 OEN131110 OOJ131110 OYF131110 PIB131110 PRX131110 QBT131110 QLP131110 QVL131110 RFH131110 RPD131110 RYZ131110 SIV131110 SSR131110 TCN131110 TMJ131110 TWF131110 UGB131110 UPX131110 UZT131110 VJP131110 VTL131110 WDH131110 WND131110 H196646 AR196646 KN196646 UJ196646 AEF196646 AOB196646 AXX196646 BHT196646 BRP196646 CBL196646 CLH196646 CVD196646 DEZ196646 DOV196646 DYR196646 EIN196646 ESJ196646 FCF196646 FMB196646 FVX196646 GFT196646 GPP196646 GZL196646 HJH196646 HTD196646 ICZ196646 IMV196646 IWR196646 JGN196646 JQJ196646 KAF196646 KKB196646 KTX196646 LDT196646 LNP196646 LXL196646 MHH196646 MRD196646 NAZ196646 NKV196646 NUR196646 OEN196646 OOJ196646 OYF196646 PIB196646 PRX196646 QBT196646 QLP196646 QVL196646 RFH196646 RPD196646 RYZ196646 SIV196646 SSR196646 TCN196646 TMJ196646 TWF196646 UGB196646 UPX196646 UZT196646 VJP196646 VTL196646 WDH196646 WND196646 H262182 AR262182 KN262182 UJ262182 AEF262182 AOB262182 AXX262182 BHT262182 BRP262182 CBL262182 CLH262182 CVD262182 DEZ262182 DOV262182 DYR262182 EIN262182 ESJ262182 FCF262182 FMB262182 FVX262182 GFT262182 GPP262182 GZL262182 HJH262182 HTD262182 ICZ262182 IMV262182 IWR262182 JGN262182 JQJ262182 KAF262182 KKB262182 KTX262182 LDT262182 LNP262182 LXL262182 MHH262182 MRD262182 NAZ262182 NKV262182 NUR262182 OEN262182 OOJ262182 OYF262182 PIB262182 PRX262182 QBT262182 QLP262182 QVL262182 RFH262182 RPD262182 RYZ262182 SIV262182 SSR262182 TCN262182 TMJ262182 TWF262182 UGB262182 UPX262182 UZT262182 VJP262182 VTL262182 WDH262182 WND262182 H327718 AR327718 KN327718 UJ327718 AEF327718 AOB327718 AXX327718 BHT327718 BRP327718 CBL327718 CLH327718 CVD327718 DEZ327718 DOV327718 DYR327718 EIN327718 ESJ327718 FCF327718 FMB327718 FVX327718 GFT327718 GPP327718 GZL327718 HJH327718 HTD327718 ICZ327718 IMV327718 IWR327718 JGN327718 JQJ327718 KAF327718 KKB327718 KTX327718 LDT327718 LNP327718 LXL327718 MHH327718 MRD327718 NAZ327718 NKV327718 NUR327718 OEN327718 OOJ327718 OYF327718 PIB327718 PRX327718 QBT327718 QLP327718 QVL327718 RFH327718 RPD327718 RYZ327718 SIV327718 SSR327718 TCN327718 TMJ327718 TWF327718 UGB327718 UPX327718 UZT327718 VJP327718 VTL327718 WDH327718 WND327718 H393254 AR393254 KN393254 UJ393254 AEF393254 AOB393254 AXX393254 BHT393254 BRP393254 CBL393254 CLH393254 CVD393254 DEZ393254 DOV393254 DYR393254 EIN393254 ESJ393254 FCF393254 FMB393254 FVX393254 GFT393254 GPP393254 GZL393254 HJH393254 HTD393254 ICZ393254 IMV393254 IWR393254 JGN393254 JQJ393254 KAF393254 KKB393254 KTX393254 LDT393254 LNP393254 LXL393254 MHH393254 MRD393254 NAZ393254 NKV393254 NUR393254 OEN393254 OOJ393254 OYF393254 PIB393254 PRX393254 QBT393254 QLP393254 QVL393254 RFH393254 RPD393254 RYZ393254 SIV393254 SSR393254 TCN393254 TMJ393254 TWF393254 UGB393254 UPX393254 UZT393254 VJP393254 VTL393254 WDH393254 WND393254 H458790 AR458790 KN458790 UJ458790 AEF458790 AOB458790 AXX458790 BHT458790 BRP458790 CBL458790 CLH458790 CVD458790 DEZ458790 DOV458790 DYR458790 EIN458790 ESJ458790 FCF458790 FMB458790 FVX458790 GFT458790 GPP458790 GZL458790 HJH458790 HTD458790 ICZ458790 IMV458790 IWR458790 JGN458790 JQJ458790 KAF458790 KKB458790 KTX458790 LDT458790 LNP458790 LXL458790 MHH458790 MRD458790 NAZ458790 NKV458790 NUR458790 OEN458790 OOJ458790 OYF458790 PIB458790 PRX458790 QBT458790 QLP458790 QVL458790 RFH458790 RPD458790 RYZ458790 SIV458790 SSR458790 TCN458790 TMJ458790 TWF458790 UGB458790 UPX458790 UZT458790 VJP458790 VTL458790 WDH458790 WND458790 H524326 AR524326 KN524326 UJ524326 AEF524326 AOB524326 AXX524326 BHT524326 BRP524326 CBL524326 CLH524326 CVD524326 DEZ524326 DOV524326 DYR524326 EIN524326 ESJ524326 FCF524326 FMB524326 FVX524326 GFT524326 GPP524326 GZL524326 HJH524326 HTD524326 ICZ524326 IMV524326 IWR524326 JGN524326 JQJ524326 KAF524326 KKB524326 KTX524326 LDT524326 LNP524326 LXL524326 MHH524326 MRD524326 NAZ524326 NKV524326 NUR524326 OEN524326 OOJ524326 OYF524326 PIB524326 PRX524326 QBT524326 QLP524326 QVL524326 RFH524326 RPD524326 RYZ524326 SIV524326 SSR524326 TCN524326 TMJ524326 TWF524326 UGB524326 UPX524326 UZT524326 VJP524326 VTL524326 WDH524326 WND524326 H589862 AR589862 KN589862 UJ589862 AEF589862 AOB589862 AXX589862 BHT589862 BRP589862 CBL589862 CLH589862 CVD589862 DEZ589862 DOV589862 DYR589862 EIN589862 ESJ589862 FCF589862 FMB589862 FVX589862 GFT589862 GPP589862 GZL589862 HJH589862 HTD589862 ICZ589862 IMV589862 IWR589862 JGN589862 JQJ589862 KAF589862 KKB589862 KTX589862 LDT589862 LNP589862 LXL589862 MHH589862 MRD589862 NAZ589862 NKV589862 NUR589862 OEN589862 OOJ589862 OYF589862 PIB589862 PRX589862 QBT589862 QLP589862 QVL589862 RFH589862 RPD589862 RYZ589862 SIV589862 SSR589862 TCN589862 TMJ589862 TWF589862 UGB589862 UPX589862 UZT589862 VJP589862 VTL589862 WDH589862 WND589862 H655398 AR655398 KN655398 UJ655398 AEF655398 AOB655398 AXX655398 BHT655398 BRP655398 CBL655398 CLH655398 CVD655398 DEZ655398 DOV655398 DYR655398 EIN655398 ESJ655398 FCF655398 FMB655398 FVX655398 GFT655398 GPP655398 GZL655398 HJH655398 HTD655398 ICZ655398 IMV655398 IWR655398 JGN655398 JQJ655398 KAF655398 KKB655398 KTX655398 LDT655398 LNP655398 LXL655398 MHH655398 MRD655398 NAZ655398 NKV655398 NUR655398 OEN655398 OOJ655398 OYF655398 PIB655398 PRX655398 QBT655398 QLP655398 QVL655398 RFH655398 RPD655398 RYZ655398 SIV655398 SSR655398 TCN655398 TMJ655398 TWF655398 UGB655398 UPX655398 UZT655398 VJP655398 VTL655398 WDH655398 WND655398 H720934 AR720934 KN720934 UJ720934 AEF720934 AOB720934 AXX720934 BHT720934 BRP720934 CBL720934 CLH720934 CVD720934 DEZ720934 DOV720934 DYR720934 EIN720934 ESJ720934 FCF720934 FMB720934 FVX720934 GFT720934 GPP720934 GZL720934 HJH720934 HTD720934 ICZ720934 IMV720934 IWR720934 JGN720934 JQJ720934 KAF720934 KKB720934 KTX720934 LDT720934 LNP720934 LXL720934 MHH720934 MRD720934 NAZ720934 NKV720934 NUR720934 OEN720934 OOJ720934 OYF720934 PIB720934 PRX720934 QBT720934 QLP720934 QVL720934 RFH720934 RPD720934 RYZ720934 SIV720934 SSR720934 TCN720934 TMJ720934 TWF720934 UGB720934 UPX720934 UZT720934 VJP720934 VTL720934 WDH720934 WND720934 H786470 AR786470 KN786470 UJ786470 AEF786470 AOB786470 AXX786470 BHT786470 BRP786470 CBL786470 CLH786470 CVD786470 DEZ786470 DOV786470 DYR786470 EIN786470 ESJ786470 FCF786470 FMB786470 FVX786470 GFT786470 GPP786470 GZL786470 HJH786470 HTD786470 ICZ786470 IMV786470 IWR786470 JGN786470 JQJ786470 KAF786470 KKB786470 KTX786470 LDT786470 LNP786470 LXL786470 MHH786470 MRD786470 NAZ786470 NKV786470 NUR786470 OEN786470 OOJ786470 OYF786470 PIB786470 PRX786470 QBT786470 QLP786470 QVL786470 RFH786470 RPD786470 RYZ786470 SIV786470 SSR786470 TCN786470 TMJ786470 TWF786470 UGB786470 UPX786470 UZT786470 VJP786470 VTL786470 WDH786470 WND786470 H852006 AR852006 KN852006 UJ852006 AEF852006 AOB852006 AXX852006 BHT852006 BRP852006 CBL852006 CLH852006 CVD852006 DEZ852006 DOV852006 DYR852006 EIN852006 ESJ852006 FCF852006 FMB852006 FVX852006 GFT852006 GPP852006 GZL852006 HJH852006 HTD852006 ICZ852006 IMV852006 IWR852006 JGN852006 JQJ852006 KAF852006 KKB852006 KTX852006 LDT852006 LNP852006 LXL852006 MHH852006 MRD852006 NAZ852006 NKV852006 NUR852006 OEN852006 OOJ852006 OYF852006 PIB852006 PRX852006 QBT852006 QLP852006 QVL852006 RFH852006 RPD852006 RYZ852006 SIV852006 SSR852006 TCN852006 TMJ852006 TWF852006 UGB852006 UPX852006 UZT852006 VJP852006 VTL852006 WDH852006 WND852006 H917542 AR917542 KN917542 UJ917542 AEF917542 AOB917542 AXX917542 BHT917542 BRP917542 CBL917542 CLH917542 CVD917542 DEZ917542 DOV917542 DYR917542 EIN917542 ESJ917542 FCF917542 FMB917542 FVX917542 GFT917542 GPP917542 GZL917542 HJH917542 HTD917542 ICZ917542 IMV917542 IWR917542 JGN917542 JQJ917542 KAF917542 KKB917542 KTX917542 LDT917542 LNP917542 LXL917542 MHH917542 MRD917542 NAZ917542 NKV917542 NUR917542 OEN917542 OOJ917542 OYF917542 PIB917542 PRX917542 QBT917542 QLP917542 QVL917542 RFH917542 RPD917542 RYZ917542 SIV917542 SSR917542 TCN917542 TMJ917542 TWF917542 UGB917542 UPX917542 UZT917542 VJP917542 VTL917542 WDH917542 WND917542 H983078 AR983078 KN983078 UJ983078 AEF983078 AOB983078 AXX983078 BHT983078 BRP983078 CBL983078 CLH983078 CVD983078 DEZ983078 DOV983078 DYR983078 EIN983078 ESJ983078 FCF983078 FMB983078 FVX983078 GFT983078 GPP983078 GZL983078 HJH983078 HTD983078 ICZ983078 IMV983078 IWR983078 JGN983078 JQJ983078 KAF983078 KKB983078 KTX983078 LDT983078 LNP983078 LXL983078 MHH983078 MRD983078 NAZ983078 NKV983078 NUR983078 OEN983078 OOJ983078 OYF983078 PIB983078 PRX983078 QBT983078 QLP983078 QVL983078 RFH983078 RPD983078 RYZ983078 SIV983078 SSR983078 TCN983078 TMJ983078 TWF983078 UGB983078 UPX983078 UZT983078 VJP983078 VTL983078 WDH983078">
      <formula1>0</formula1>
      <formula2>1</formula2>
    </dataValidation>
    <dataValidation type="decimal" allowBlank="1" showInputMessage="1" showErrorMessage="1" errorTitle="Error" error="The number of eligible primary pupils for this factor cannot be negative or higher than 100%. Please insert the correct figure or leave the cell blank to use an LA average." sqref="WDG983079 AQ39 KM39 UI39 AEE39 AOA39 AXW39 BHS39 BRO39 CBK39 CLG39 CVC39 DEY39 DOU39 DYQ39 EIM39 ESI39 FCE39 FMA39 FVW39 GFS39 GPO39 GZK39 HJG39 HTC39 ICY39 IMU39 IWQ39 JGM39 JQI39 KAE39 KKA39 KTW39 LDS39 LNO39 LXK39 MHG39 MRC39 NAY39 NKU39 NUQ39 OEM39 OOI39 OYE39 PIA39 PRW39 QBS39 QLO39 QVK39 RFG39 RPC39 RYY39 SIU39 SSQ39 TCM39 TMI39 TWE39 UGA39 UPW39 UZS39 VJO39 VTK39 WDG39 WNC39 G65573 AQ65573 KM65573 UI65573 AEE65573 AOA65573 AXW65573 BHS65573 BRO65573 CBK65573 CLG65573 CVC65573 DEY65573 DOU65573 DYQ65573 EIM65573 ESI65573 FCE65573 FMA65573 FVW65573 GFS65573 GPO65573 GZK65573 HJG65573 HTC65573 ICY65573 IMU65573 IWQ65573 JGM65573 JQI65573 KAE65573 KKA65573 KTW65573 LDS65573 LNO65573 LXK65573 MHG65573 MRC65573 NAY65573 NKU65573 NUQ65573 OEM65573 OOI65573 OYE65573 PIA65573 PRW65573 QBS65573 QLO65573 QVK65573 RFG65573 RPC65573 RYY65573 SIU65573 SSQ65573 TCM65573 TMI65573 TWE65573 UGA65573 UPW65573 UZS65573 VJO65573 VTK65573 WDG65573 WNC65573 G131109 AQ131109 KM131109 UI131109 AEE131109 AOA131109 AXW131109 BHS131109 BRO131109 CBK131109 CLG131109 CVC131109 DEY131109 DOU131109 DYQ131109 EIM131109 ESI131109 FCE131109 FMA131109 FVW131109 GFS131109 GPO131109 GZK131109 HJG131109 HTC131109 ICY131109 IMU131109 IWQ131109 JGM131109 JQI131109 KAE131109 KKA131109 KTW131109 LDS131109 LNO131109 LXK131109 MHG131109 MRC131109 NAY131109 NKU131109 NUQ131109 OEM131109 OOI131109 OYE131109 PIA131109 PRW131109 QBS131109 QLO131109 QVK131109 RFG131109 RPC131109 RYY131109 SIU131109 SSQ131109 TCM131109 TMI131109 TWE131109 UGA131109 UPW131109 UZS131109 VJO131109 VTK131109 WDG131109 WNC131109 G196645 AQ196645 KM196645 UI196645 AEE196645 AOA196645 AXW196645 BHS196645 BRO196645 CBK196645 CLG196645 CVC196645 DEY196645 DOU196645 DYQ196645 EIM196645 ESI196645 FCE196645 FMA196645 FVW196645 GFS196645 GPO196645 GZK196645 HJG196645 HTC196645 ICY196645 IMU196645 IWQ196645 JGM196645 JQI196645 KAE196645 KKA196645 KTW196645 LDS196645 LNO196645 LXK196645 MHG196645 MRC196645 NAY196645 NKU196645 NUQ196645 OEM196645 OOI196645 OYE196645 PIA196645 PRW196645 QBS196645 QLO196645 QVK196645 RFG196645 RPC196645 RYY196645 SIU196645 SSQ196645 TCM196645 TMI196645 TWE196645 UGA196645 UPW196645 UZS196645 VJO196645 VTK196645 WDG196645 WNC196645 G262181 AQ262181 KM262181 UI262181 AEE262181 AOA262181 AXW262181 BHS262181 BRO262181 CBK262181 CLG262181 CVC262181 DEY262181 DOU262181 DYQ262181 EIM262181 ESI262181 FCE262181 FMA262181 FVW262181 GFS262181 GPO262181 GZK262181 HJG262181 HTC262181 ICY262181 IMU262181 IWQ262181 JGM262181 JQI262181 KAE262181 KKA262181 KTW262181 LDS262181 LNO262181 LXK262181 MHG262181 MRC262181 NAY262181 NKU262181 NUQ262181 OEM262181 OOI262181 OYE262181 PIA262181 PRW262181 QBS262181 QLO262181 QVK262181 RFG262181 RPC262181 RYY262181 SIU262181 SSQ262181 TCM262181 TMI262181 TWE262181 UGA262181 UPW262181 UZS262181 VJO262181 VTK262181 WDG262181 WNC262181 G327717 AQ327717 KM327717 UI327717 AEE327717 AOA327717 AXW327717 BHS327717 BRO327717 CBK327717 CLG327717 CVC327717 DEY327717 DOU327717 DYQ327717 EIM327717 ESI327717 FCE327717 FMA327717 FVW327717 GFS327717 GPO327717 GZK327717 HJG327717 HTC327717 ICY327717 IMU327717 IWQ327717 JGM327717 JQI327717 KAE327717 KKA327717 KTW327717 LDS327717 LNO327717 LXK327717 MHG327717 MRC327717 NAY327717 NKU327717 NUQ327717 OEM327717 OOI327717 OYE327717 PIA327717 PRW327717 QBS327717 QLO327717 QVK327717 RFG327717 RPC327717 RYY327717 SIU327717 SSQ327717 TCM327717 TMI327717 TWE327717 UGA327717 UPW327717 UZS327717 VJO327717 VTK327717 WDG327717 WNC327717 G393253 AQ393253 KM393253 UI393253 AEE393253 AOA393253 AXW393253 BHS393253 BRO393253 CBK393253 CLG393253 CVC393253 DEY393253 DOU393253 DYQ393253 EIM393253 ESI393253 FCE393253 FMA393253 FVW393253 GFS393253 GPO393253 GZK393253 HJG393253 HTC393253 ICY393253 IMU393253 IWQ393253 JGM393253 JQI393253 KAE393253 KKA393253 KTW393253 LDS393253 LNO393253 LXK393253 MHG393253 MRC393253 NAY393253 NKU393253 NUQ393253 OEM393253 OOI393253 OYE393253 PIA393253 PRW393253 QBS393253 QLO393253 QVK393253 RFG393253 RPC393253 RYY393253 SIU393253 SSQ393253 TCM393253 TMI393253 TWE393253 UGA393253 UPW393253 UZS393253 VJO393253 VTK393253 WDG393253 WNC393253 G458789 AQ458789 KM458789 UI458789 AEE458789 AOA458789 AXW458789 BHS458789 BRO458789 CBK458789 CLG458789 CVC458789 DEY458789 DOU458789 DYQ458789 EIM458789 ESI458789 FCE458789 FMA458789 FVW458789 GFS458789 GPO458789 GZK458789 HJG458789 HTC458789 ICY458789 IMU458789 IWQ458789 JGM458789 JQI458789 KAE458789 KKA458789 KTW458789 LDS458789 LNO458789 LXK458789 MHG458789 MRC458789 NAY458789 NKU458789 NUQ458789 OEM458789 OOI458789 OYE458789 PIA458789 PRW458789 QBS458789 QLO458789 QVK458789 RFG458789 RPC458789 RYY458789 SIU458789 SSQ458789 TCM458789 TMI458789 TWE458789 UGA458789 UPW458789 UZS458789 VJO458789 VTK458789 WDG458789 WNC458789 G524325 AQ524325 KM524325 UI524325 AEE524325 AOA524325 AXW524325 BHS524325 BRO524325 CBK524325 CLG524325 CVC524325 DEY524325 DOU524325 DYQ524325 EIM524325 ESI524325 FCE524325 FMA524325 FVW524325 GFS524325 GPO524325 GZK524325 HJG524325 HTC524325 ICY524325 IMU524325 IWQ524325 JGM524325 JQI524325 KAE524325 KKA524325 KTW524325 LDS524325 LNO524325 LXK524325 MHG524325 MRC524325 NAY524325 NKU524325 NUQ524325 OEM524325 OOI524325 OYE524325 PIA524325 PRW524325 QBS524325 QLO524325 QVK524325 RFG524325 RPC524325 RYY524325 SIU524325 SSQ524325 TCM524325 TMI524325 TWE524325 UGA524325 UPW524325 UZS524325 VJO524325 VTK524325 WDG524325 WNC524325 G589861 AQ589861 KM589861 UI589861 AEE589861 AOA589861 AXW589861 BHS589861 BRO589861 CBK589861 CLG589861 CVC589861 DEY589861 DOU589861 DYQ589861 EIM589861 ESI589861 FCE589861 FMA589861 FVW589861 GFS589861 GPO589861 GZK589861 HJG589861 HTC589861 ICY589861 IMU589861 IWQ589861 JGM589861 JQI589861 KAE589861 KKA589861 KTW589861 LDS589861 LNO589861 LXK589861 MHG589861 MRC589861 NAY589861 NKU589861 NUQ589861 OEM589861 OOI589861 OYE589861 PIA589861 PRW589861 QBS589861 QLO589861 QVK589861 RFG589861 RPC589861 RYY589861 SIU589861 SSQ589861 TCM589861 TMI589861 TWE589861 UGA589861 UPW589861 UZS589861 VJO589861 VTK589861 WDG589861 WNC589861 G655397 AQ655397 KM655397 UI655397 AEE655397 AOA655397 AXW655397 BHS655397 BRO655397 CBK655397 CLG655397 CVC655397 DEY655397 DOU655397 DYQ655397 EIM655397 ESI655397 FCE655397 FMA655397 FVW655397 GFS655397 GPO655397 GZK655397 HJG655397 HTC655397 ICY655397 IMU655397 IWQ655397 JGM655397 JQI655397 KAE655397 KKA655397 KTW655397 LDS655397 LNO655397 LXK655397 MHG655397 MRC655397 NAY655397 NKU655397 NUQ655397 OEM655397 OOI655397 OYE655397 PIA655397 PRW655397 QBS655397 QLO655397 QVK655397 RFG655397 RPC655397 RYY655397 SIU655397 SSQ655397 TCM655397 TMI655397 TWE655397 UGA655397 UPW655397 UZS655397 VJO655397 VTK655397 WDG655397 WNC655397 G720933 AQ720933 KM720933 UI720933 AEE720933 AOA720933 AXW720933 BHS720933 BRO720933 CBK720933 CLG720933 CVC720933 DEY720933 DOU720933 DYQ720933 EIM720933 ESI720933 FCE720933 FMA720933 FVW720933 GFS720933 GPO720933 GZK720933 HJG720933 HTC720933 ICY720933 IMU720933 IWQ720933 JGM720933 JQI720933 KAE720933 KKA720933 KTW720933 LDS720933 LNO720933 LXK720933 MHG720933 MRC720933 NAY720933 NKU720933 NUQ720933 OEM720933 OOI720933 OYE720933 PIA720933 PRW720933 QBS720933 QLO720933 QVK720933 RFG720933 RPC720933 RYY720933 SIU720933 SSQ720933 TCM720933 TMI720933 TWE720933 UGA720933 UPW720933 UZS720933 VJO720933 VTK720933 WDG720933 WNC720933 G786469 AQ786469 KM786469 UI786469 AEE786469 AOA786469 AXW786469 BHS786469 BRO786469 CBK786469 CLG786469 CVC786469 DEY786469 DOU786469 DYQ786469 EIM786469 ESI786469 FCE786469 FMA786469 FVW786469 GFS786469 GPO786469 GZK786469 HJG786469 HTC786469 ICY786469 IMU786469 IWQ786469 JGM786469 JQI786469 KAE786469 KKA786469 KTW786469 LDS786469 LNO786469 LXK786469 MHG786469 MRC786469 NAY786469 NKU786469 NUQ786469 OEM786469 OOI786469 OYE786469 PIA786469 PRW786469 QBS786469 QLO786469 QVK786469 RFG786469 RPC786469 RYY786469 SIU786469 SSQ786469 TCM786469 TMI786469 TWE786469 UGA786469 UPW786469 UZS786469 VJO786469 VTK786469 WDG786469 WNC786469 G852005 AQ852005 KM852005 UI852005 AEE852005 AOA852005 AXW852005 BHS852005 BRO852005 CBK852005 CLG852005 CVC852005 DEY852005 DOU852005 DYQ852005 EIM852005 ESI852005 FCE852005 FMA852005 FVW852005 GFS852005 GPO852005 GZK852005 HJG852005 HTC852005 ICY852005 IMU852005 IWQ852005 JGM852005 JQI852005 KAE852005 KKA852005 KTW852005 LDS852005 LNO852005 LXK852005 MHG852005 MRC852005 NAY852005 NKU852005 NUQ852005 OEM852005 OOI852005 OYE852005 PIA852005 PRW852005 QBS852005 QLO852005 QVK852005 RFG852005 RPC852005 RYY852005 SIU852005 SSQ852005 TCM852005 TMI852005 TWE852005 UGA852005 UPW852005 UZS852005 VJO852005 VTK852005 WDG852005 WNC852005 G917541 AQ917541 KM917541 UI917541 AEE917541 AOA917541 AXW917541 BHS917541 BRO917541 CBK917541 CLG917541 CVC917541 DEY917541 DOU917541 DYQ917541 EIM917541 ESI917541 FCE917541 FMA917541 FVW917541 GFS917541 GPO917541 GZK917541 HJG917541 HTC917541 ICY917541 IMU917541 IWQ917541 JGM917541 JQI917541 KAE917541 KKA917541 KTW917541 LDS917541 LNO917541 LXK917541 MHG917541 MRC917541 NAY917541 NKU917541 NUQ917541 OEM917541 OOI917541 OYE917541 PIA917541 PRW917541 QBS917541 QLO917541 QVK917541 RFG917541 RPC917541 RYY917541 SIU917541 SSQ917541 TCM917541 TMI917541 TWE917541 UGA917541 UPW917541 UZS917541 VJO917541 VTK917541 WDG917541 WNC917541 G983077 AQ983077 KM983077 UI983077 AEE983077 AOA983077 AXW983077 BHS983077 BRO983077 CBK983077 CLG983077 CVC983077 DEY983077 DOU983077 DYQ983077 EIM983077 ESI983077 FCE983077 FMA983077 FVW983077 GFS983077 GPO983077 GZK983077 HJG983077 HTC983077 ICY983077 IMU983077 IWQ983077 JGM983077 JQI983077 KAE983077 KKA983077 KTW983077 LDS983077 LNO983077 LXK983077 MHG983077 MRC983077 NAY983077 NKU983077 NUQ983077 OEM983077 OOI983077 OYE983077 PIA983077 PRW983077 QBS983077 QLO983077 QVK983077 RFG983077 RPC983077 RYY983077 SIU983077 SSQ983077 TCM983077 TMI983077 TWE983077 UGA983077 UPW983077 UZS983077 VJO983077 VTK983077 WDG983077 WNC983077 WNC983079 AQ29 KM29 UI29 AEE29 AOA29 AXW29 BHS29 BRO29 CBK29 CLG29 CVC29 DEY29 DOU29 DYQ29 EIM29 ESI29 FCE29 FMA29 FVW29 GFS29 GPO29 GZK29 HJG29 HTC29 ICY29 IMU29 IWQ29 JGM29 JQI29 KAE29 KKA29 KTW29 LDS29 LNO29 LXK29 MHG29 MRC29 NAY29 NKU29 NUQ29 OEM29 OOI29 OYE29 PIA29 PRW29 QBS29 QLO29 QVK29 RFG29 RPC29 RYY29 SIU29 SSQ29 TCM29 TMI29 TWE29 UGA29 UPW29 UZS29 VJO29 VTK29 WDG29 WNC29 G65563 AQ65563 KM65563 UI65563 AEE65563 AOA65563 AXW65563 BHS65563 BRO65563 CBK65563 CLG65563 CVC65563 DEY65563 DOU65563 DYQ65563 EIM65563 ESI65563 FCE65563 FMA65563 FVW65563 GFS65563 GPO65563 GZK65563 HJG65563 HTC65563 ICY65563 IMU65563 IWQ65563 JGM65563 JQI65563 KAE65563 KKA65563 KTW65563 LDS65563 LNO65563 LXK65563 MHG65563 MRC65563 NAY65563 NKU65563 NUQ65563 OEM65563 OOI65563 OYE65563 PIA65563 PRW65563 QBS65563 QLO65563 QVK65563 RFG65563 RPC65563 RYY65563 SIU65563 SSQ65563 TCM65563 TMI65563 TWE65563 UGA65563 UPW65563 UZS65563 VJO65563 VTK65563 WDG65563 WNC65563 G131099 AQ131099 KM131099 UI131099 AEE131099 AOA131099 AXW131099 BHS131099 BRO131099 CBK131099 CLG131099 CVC131099 DEY131099 DOU131099 DYQ131099 EIM131099 ESI131099 FCE131099 FMA131099 FVW131099 GFS131099 GPO131099 GZK131099 HJG131099 HTC131099 ICY131099 IMU131099 IWQ131099 JGM131099 JQI131099 KAE131099 KKA131099 KTW131099 LDS131099 LNO131099 LXK131099 MHG131099 MRC131099 NAY131099 NKU131099 NUQ131099 OEM131099 OOI131099 OYE131099 PIA131099 PRW131099 QBS131099 QLO131099 QVK131099 RFG131099 RPC131099 RYY131099 SIU131099 SSQ131099 TCM131099 TMI131099 TWE131099 UGA131099 UPW131099 UZS131099 VJO131099 VTK131099 WDG131099 WNC131099 G196635 AQ196635 KM196635 UI196635 AEE196635 AOA196635 AXW196635 BHS196635 BRO196635 CBK196635 CLG196635 CVC196635 DEY196635 DOU196635 DYQ196635 EIM196635 ESI196635 FCE196635 FMA196635 FVW196635 GFS196635 GPO196635 GZK196635 HJG196635 HTC196635 ICY196635 IMU196635 IWQ196635 JGM196635 JQI196635 KAE196635 KKA196635 KTW196635 LDS196635 LNO196635 LXK196635 MHG196635 MRC196635 NAY196635 NKU196635 NUQ196635 OEM196635 OOI196635 OYE196635 PIA196635 PRW196635 QBS196635 QLO196635 QVK196635 RFG196635 RPC196635 RYY196635 SIU196635 SSQ196635 TCM196635 TMI196635 TWE196635 UGA196635 UPW196635 UZS196635 VJO196635 VTK196635 WDG196635 WNC196635 G262171 AQ262171 KM262171 UI262171 AEE262171 AOA262171 AXW262171 BHS262171 BRO262171 CBK262171 CLG262171 CVC262171 DEY262171 DOU262171 DYQ262171 EIM262171 ESI262171 FCE262171 FMA262171 FVW262171 GFS262171 GPO262171 GZK262171 HJG262171 HTC262171 ICY262171 IMU262171 IWQ262171 JGM262171 JQI262171 KAE262171 KKA262171 KTW262171 LDS262171 LNO262171 LXK262171 MHG262171 MRC262171 NAY262171 NKU262171 NUQ262171 OEM262171 OOI262171 OYE262171 PIA262171 PRW262171 QBS262171 QLO262171 QVK262171 RFG262171 RPC262171 RYY262171 SIU262171 SSQ262171 TCM262171 TMI262171 TWE262171 UGA262171 UPW262171 UZS262171 VJO262171 VTK262171 WDG262171 WNC262171 G327707 AQ327707 KM327707 UI327707 AEE327707 AOA327707 AXW327707 BHS327707 BRO327707 CBK327707 CLG327707 CVC327707 DEY327707 DOU327707 DYQ327707 EIM327707 ESI327707 FCE327707 FMA327707 FVW327707 GFS327707 GPO327707 GZK327707 HJG327707 HTC327707 ICY327707 IMU327707 IWQ327707 JGM327707 JQI327707 KAE327707 KKA327707 KTW327707 LDS327707 LNO327707 LXK327707 MHG327707 MRC327707 NAY327707 NKU327707 NUQ327707 OEM327707 OOI327707 OYE327707 PIA327707 PRW327707 QBS327707 QLO327707 QVK327707 RFG327707 RPC327707 RYY327707 SIU327707 SSQ327707 TCM327707 TMI327707 TWE327707 UGA327707 UPW327707 UZS327707 VJO327707 VTK327707 WDG327707 WNC327707 G393243 AQ393243 KM393243 UI393243 AEE393243 AOA393243 AXW393243 BHS393243 BRO393243 CBK393243 CLG393243 CVC393243 DEY393243 DOU393243 DYQ393243 EIM393243 ESI393243 FCE393243 FMA393243 FVW393243 GFS393243 GPO393243 GZK393243 HJG393243 HTC393243 ICY393243 IMU393243 IWQ393243 JGM393243 JQI393243 KAE393243 KKA393243 KTW393243 LDS393243 LNO393243 LXK393243 MHG393243 MRC393243 NAY393243 NKU393243 NUQ393243 OEM393243 OOI393243 OYE393243 PIA393243 PRW393243 QBS393243 QLO393243 QVK393243 RFG393243 RPC393243 RYY393243 SIU393243 SSQ393243 TCM393243 TMI393243 TWE393243 UGA393243 UPW393243 UZS393243 VJO393243 VTK393243 WDG393243 WNC393243 G458779 AQ458779 KM458779 UI458779 AEE458779 AOA458779 AXW458779 BHS458779 BRO458779 CBK458779 CLG458779 CVC458779 DEY458779 DOU458779 DYQ458779 EIM458779 ESI458779 FCE458779 FMA458779 FVW458779 GFS458779 GPO458779 GZK458779 HJG458779 HTC458779 ICY458779 IMU458779 IWQ458779 JGM458779 JQI458779 KAE458779 KKA458779 KTW458779 LDS458779 LNO458779 LXK458779 MHG458779 MRC458779 NAY458779 NKU458779 NUQ458779 OEM458779 OOI458779 OYE458779 PIA458779 PRW458779 QBS458779 QLO458779 QVK458779 RFG458779 RPC458779 RYY458779 SIU458779 SSQ458779 TCM458779 TMI458779 TWE458779 UGA458779 UPW458779 UZS458779 VJO458779 VTK458779 WDG458779 WNC458779 G524315 AQ524315 KM524315 UI524315 AEE524315 AOA524315 AXW524315 BHS524315 BRO524315 CBK524315 CLG524315 CVC524315 DEY524315 DOU524315 DYQ524315 EIM524315 ESI524315 FCE524315 FMA524315 FVW524315 GFS524315 GPO524315 GZK524315 HJG524315 HTC524315 ICY524315 IMU524315 IWQ524315 JGM524315 JQI524315 KAE524315 KKA524315 KTW524315 LDS524315 LNO524315 LXK524315 MHG524315 MRC524315 NAY524315 NKU524315 NUQ524315 OEM524315 OOI524315 OYE524315 PIA524315 PRW524315 QBS524315 QLO524315 QVK524315 RFG524315 RPC524315 RYY524315 SIU524315 SSQ524315 TCM524315 TMI524315 TWE524315 UGA524315 UPW524315 UZS524315 VJO524315 VTK524315 WDG524315 WNC524315 G589851 AQ589851 KM589851 UI589851 AEE589851 AOA589851 AXW589851 BHS589851 BRO589851 CBK589851 CLG589851 CVC589851 DEY589851 DOU589851 DYQ589851 EIM589851 ESI589851 FCE589851 FMA589851 FVW589851 GFS589851 GPO589851 GZK589851 HJG589851 HTC589851 ICY589851 IMU589851 IWQ589851 JGM589851 JQI589851 KAE589851 KKA589851 KTW589851 LDS589851 LNO589851 LXK589851 MHG589851 MRC589851 NAY589851 NKU589851 NUQ589851 OEM589851 OOI589851 OYE589851 PIA589851 PRW589851 QBS589851 QLO589851 QVK589851 RFG589851 RPC589851 RYY589851 SIU589851 SSQ589851 TCM589851 TMI589851 TWE589851 UGA589851 UPW589851 UZS589851 VJO589851 VTK589851 WDG589851 WNC589851 G655387 AQ655387 KM655387 UI655387 AEE655387 AOA655387 AXW655387 BHS655387 BRO655387 CBK655387 CLG655387 CVC655387 DEY655387 DOU655387 DYQ655387 EIM655387 ESI655387 FCE655387 FMA655387 FVW655387 GFS655387 GPO655387 GZK655387 HJG655387 HTC655387 ICY655387 IMU655387 IWQ655387 JGM655387 JQI655387 KAE655387 KKA655387 KTW655387 LDS655387 LNO655387 LXK655387 MHG655387 MRC655387 NAY655387 NKU655387 NUQ655387 OEM655387 OOI655387 OYE655387 PIA655387 PRW655387 QBS655387 QLO655387 QVK655387 RFG655387 RPC655387 RYY655387 SIU655387 SSQ655387 TCM655387 TMI655387 TWE655387 UGA655387 UPW655387 UZS655387 VJO655387 VTK655387 WDG655387 WNC655387 G720923 AQ720923 KM720923 UI720923 AEE720923 AOA720923 AXW720923 BHS720923 BRO720923 CBK720923 CLG720923 CVC720923 DEY720923 DOU720923 DYQ720923 EIM720923 ESI720923 FCE720923 FMA720923 FVW720923 GFS720923 GPO720923 GZK720923 HJG720923 HTC720923 ICY720923 IMU720923 IWQ720923 JGM720923 JQI720923 KAE720923 KKA720923 KTW720923 LDS720923 LNO720923 LXK720923 MHG720923 MRC720923 NAY720923 NKU720923 NUQ720923 OEM720923 OOI720923 OYE720923 PIA720923 PRW720923 QBS720923 QLO720923 QVK720923 RFG720923 RPC720923 RYY720923 SIU720923 SSQ720923 TCM720923 TMI720923 TWE720923 UGA720923 UPW720923 UZS720923 VJO720923 VTK720923 WDG720923 WNC720923 G786459 AQ786459 KM786459 UI786459 AEE786459 AOA786459 AXW786459 BHS786459 BRO786459 CBK786459 CLG786459 CVC786459 DEY786459 DOU786459 DYQ786459 EIM786459 ESI786459 FCE786459 FMA786459 FVW786459 GFS786459 GPO786459 GZK786459 HJG786459 HTC786459 ICY786459 IMU786459 IWQ786459 JGM786459 JQI786459 KAE786459 KKA786459 KTW786459 LDS786459 LNO786459 LXK786459 MHG786459 MRC786459 NAY786459 NKU786459 NUQ786459 OEM786459 OOI786459 OYE786459 PIA786459 PRW786459 QBS786459 QLO786459 QVK786459 RFG786459 RPC786459 RYY786459 SIU786459 SSQ786459 TCM786459 TMI786459 TWE786459 UGA786459 UPW786459 UZS786459 VJO786459 VTK786459 WDG786459 WNC786459 G851995 AQ851995 KM851995 UI851995 AEE851995 AOA851995 AXW851995 BHS851995 BRO851995 CBK851995 CLG851995 CVC851995 DEY851995 DOU851995 DYQ851995 EIM851995 ESI851995 FCE851995 FMA851995 FVW851995 GFS851995 GPO851995 GZK851995 HJG851995 HTC851995 ICY851995 IMU851995 IWQ851995 JGM851995 JQI851995 KAE851995 KKA851995 KTW851995 LDS851995 LNO851995 LXK851995 MHG851995 MRC851995 NAY851995 NKU851995 NUQ851995 OEM851995 OOI851995 OYE851995 PIA851995 PRW851995 QBS851995 QLO851995 QVK851995 RFG851995 RPC851995 RYY851995 SIU851995 SSQ851995 TCM851995 TMI851995 TWE851995 UGA851995 UPW851995 UZS851995 VJO851995 VTK851995 WDG851995 WNC851995 G917531 AQ917531 KM917531 UI917531 AEE917531 AOA917531 AXW917531 BHS917531 BRO917531 CBK917531 CLG917531 CVC917531 DEY917531 DOU917531 DYQ917531 EIM917531 ESI917531 FCE917531 FMA917531 FVW917531 GFS917531 GPO917531 GZK917531 HJG917531 HTC917531 ICY917531 IMU917531 IWQ917531 JGM917531 JQI917531 KAE917531 KKA917531 KTW917531 LDS917531 LNO917531 LXK917531 MHG917531 MRC917531 NAY917531 NKU917531 NUQ917531 OEM917531 OOI917531 OYE917531 PIA917531 PRW917531 QBS917531 QLO917531 QVK917531 RFG917531 RPC917531 RYY917531 SIU917531 SSQ917531 TCM917531 TMI917531 TWE917531 UGA917531 UPW917531 UZS917531 VJO917531 VTK917531 WDG917531 WNC917531 G983067 AQ983067 KM983067 UI983067 AEE983067 AOA983067 AXW983067 BHS983067 BRO983067 CBK983067 CLG983067 CVC983067 DEY983067 DOU983067 DYQ983067 EIM983067 ESI983067 FCE983067 FMA983067 FVW983067 GFS983067 GPO983067 GZK983067 HJG983067 HTC983067 ICY983067 IMU983067 IWQ983067 JGM983067 JQI983067 KAE983067 KKA983067 KTW983067 LDS983067 LNO983067 LXK983067 MHG983067 MRC983067 NAY983067 NKU983067 NUQ983067 OEM983067 OOI983067 OYE983067 PIA983067 PRW983067 QBS983067 QLO983067 QVK983067 RFG983067 RPC983067 RYY983067 SIU983067 SSQ983067 TCM983067 TMI983067 TWE983067 UGA983067 UPW983067 UZS983067 VJO983067 VTK983067 WDG983067 WNC983067 VTK983079 AQ41 KM41 UI41 AEE41 AOA41 AXW41 BHS41 BRO41 CBK41 CLG41 CVC41 DEY41 DOU41 DYQ41 EIM41 ESI41 FCE41 FMA41 FVW41 GFS41 GPO41 GZK41 HJG41 HTC41 ICY41 IMU41 IWQ41 JGM41 JQI41 KAE41 KKA41 KTW41 LDS41 LNO41 LXK41 MHG41 MRC41 NAY41 NKU41 NUQ41 OEM41 OOI41 OYE41 PIA41 PRW41 QBS41 QLO41 QVK41 RFG41 RPC41 RYY41 SIU41 SSQ41 TCM41 TMI41 TWE41 UGA41 UPW41 UZS41 VJO41 VTK41 WDG41 WNC41 G65575 AQ65575 KM65575 UI65575 AEE65575 AOA65575 AXW65575 BHS65575 BRO65575 CBK65575 CLG65575 CVC65575 DEY65575 DOU65575 DYQ65575 EIM65575 ESI65575 FCE65575 FMA65575 FVW65575 GFS65575 GPO65575 GZK65575 HJG65575 HTC65575 ICY65575 IMU65575 IWQ65575 JGM65575 JQI65575 KAE65575 KKA65575 KTW65575 LDS65575 LNO65575 LXK65575 MHG65575 MRC65575 NAY65575 NKU65575 NUQ65575 OEM65575 OOI65575 OYE65575 PIA65575 PRW65575 QBS65575 QLO65575 QVK65575 RFG65575 RPC65575 RYY65575 SIU65575 SSQ65575 TCM65575 TMI65575 TWE65575 UGA65575 UPW65575 UZS65575 VJO65575 VTK65575 WDG65575 WNC65575 G131111 AQ131111 KM131111 UI131111 AEE131111 AOA131111 AXW131111 BHS131111 BRO131111 CBK131111 CLG131111 CVC131111 DEY131111 DOU131111 DYQ131111 EIM131111 ESI131111 FCE131111 FMA131111 FVW131111 GFS131111 GPO131111 GZK131111 HJG131111 HTC131111 ICY131111 IMU131111 IWQ131111 JGM131111 JQI131111 KAE131111 KKA131111 KTW131111 LDS131111 LNO131111 LXK131111 MHG131111 MRC131111 NAY131111 NKU131111 NUQ131111 OEM131111 OOI131111 OYE131111 PIA131111 PRW131111 QBS131111 QLO131111 QVK131111 RFG131111 RPC131111 RYY131111 SIU131111 SSQ131111 TCM131111 TMI131111 TWE131111 UGA131111 UPW131111 UZS131111 VJO131111 VTK131111 WDG131111 WNC131111 G196647 AQ196647 KM196647 UI196647 AEE196647 AOA196647 AXW196647 BHS196647 BRO196647 CBK196647 CLG196647 CVC196647 DEY196647 DOU196647 DYQ196647 EIM196647 ESI196647 FCE196647 FMA196647 FVW196647 GFS196647 GPO196647 GZK196647 HJG196647 HTC196647 ICY196647 IMU196647 IWQ196647 JGM196647 JQI196647 KAE196647 KKA196647 KTW196647 LDS196647 LNO196647 LXK196647 MHG196647 MRC196647 NAY196647 NKU196647 NUQ196647 OEM196647 OOI196647 OYE196647 PIA196647 PRW196647 QBS196647 QLO196647 QVK196647 RFG196647 RPC196647 RYY196647 SIU196647 SSQ196647 TCM196647 TMI196647 TWE196647 UGA196647 UPW196647 UZS196647 VJO196647 VTK196647 WDG196647 WNC196647 G262183 AQ262183 KM262183 UI262183 AEE262183 AOA262183 AXW262183 BHS262183 BRO262183 CBK262183 CLG262183 CVC262183 DEY262183 DOU262183 DYQ262183 EIM262183 ESI262183 FCE262183 FMA262183 FVW262183 GFS262183 GPO262183 GZK262183 HJG262183 HTC262183 ICY262183 IMU262183 IWQ262183 JGM262183 JQI262183 KAE262183 KKA262183 KTW262183 LDS262183 LNO262183 LXK262183 MHG262183 MRC262183 NAY262183 NKU262183 NUQ262183 OEM262183 OOI262183 OYE262183 PIA262183 PRW262183 QBS262183 QLO262183 QVK262183 RFG262183 RPC262183 RYY262183 SIU262183 SSQ262183 TCM262183 TMI262183 TWE262183 UGA262183 UPW262183 UZS262183 VJO262183 VTK262183 WDG262183 WNC262183 G327719 AQ327719 KM327719 UI327719 AEE327719 AOA327719 AXW327719 BHS327719 BRO327719 CBK327719 CLG327719 CVC327719 DEY327719 DOU327719 DYQ327719 EIM327719 ESI327719 FCE327719 FMA327719 FVW327719 GFS327719 GPO327719 GZK327719 HJG327719 HTC327719 ICY327719 IMU327719 IWQ327719 JGM327719 JQI327719 KAE327719 KKA327719 KTW327719 LDS327719 LNO327719 LXK327719 MHG327719 MRC327719 NAY327719 NKU327719 NUQ327719 OEM327719 OOI327719 OYE327719 PIA327719 PRW327719 QBS327719 QLO327719 QVK327719 RFG327719 RPC327719 RYY327719 SIU327719 SSQ327719 TCM327719 TMI327719 TWE327719 UGA327719 UPW327719 UZS327719 VJO327719 VTK327719 WDG327719 WNC327719 G393255 AQ393255 KM393255 UI393255 AEE393255 AOA393255 AXW393255 BHS393255 BRO393255 CBK393255 CLG393255 CVC393255 DEY393255 DOU393255 DYQ393255 EIM393255 ESI393255 FCE393255 FMA393255 FVW393255 GFS393255 GPO393255 GZK393255 HJG393255 HTC393255 ICY393255 IMU393255 IWQ393255 JGM393255 JQI393255 KAE393255 KKA393255 KTW393255 LDS393255 LNO393255 LXK393255 MHG393255 MRC393255 NAY393255 NKU393255 NUQ393255 OEM393255 OOI393255 OYE393255 PIA393255 PRW393255 QBS393255 QLO393255 QVK393255 RFG393255 RPC393255 RYY393255 SIU393255 SSQ393255 TCM393255 TMI393255 TWE393255 UGA393255 UPW393255 UZS393255 VJO393255 VTK393255 WDG393255 WNC393255 G458791 AQ458791 KM458791 UI458791 AEE458791 AOA458791 AXW458791 BHS458791 BRO458791 CBK458791 CLG458791 CVC458791 DEY458791 DOU458791 DYQ458791 EIM458791 ESI458791 FCE458791 FMA458791 FVW458791 GFS458791 GPO458791 GZK458791 HJG458791 HTC458791 ICY458791 IMU458791 IWQ458791 JGM458791 JQI458791 KAE458791 KKA458791 KTW458791 LDS458791 LNO458791 LXK458791 MHG458791 MRC458791 NAY458791 NKU458791 NUQ458791 OEM458791 OOI458791 OYE458791 PIA458791 PRW458791 QBS458791 QLO458791 QVK458791 RFG458791 RPC458791 RYY458791 SIU458791 SSQ458791 TCM458791 TMI458791 TWE458791 UGA458791 UPW458791 UZS458791 VJO458791 VTK458791 WDG458791 WNC458791 G524327 AQ524327 KM524327 UI524327 AEE524327 AOA524327 AXW524327 BHS524327 BRO524327 CBK524327 CLG524327 CVC524327 DEY524327 DOU524327 DYQ524327 EIM524327 ESI524327 FCE524327 FMA524327 FVW524327 GFS524327 GPO524327 GZK524327 HJG524327 HTC524327 ICY524327 IMU524327 IWQ524327 JGM524327 JQI524327 KAE524327 KKA524327 KTW524327 LDS524327 LNO524327 LXK524327 MHG524327 MRC524327 NAY524327 NKU524327 NUQ524327 OEM524327 OOI524327 OYE524327 PIA524327 PRW524327 QBS524327 QLO524327 QVK524327 RFG524327 RPC524327 RYY524327 SIU524327 SSQ524327 TCM524327 TMI524327 TWE524327 UGA524327 UPW524327 UZS524327 VJO524327 VTK524327 WDG524327 WNC524327 G589863 AQ589863 KM589863 UI589863 AEE589863 AOA589863 AXW589863 BHS589863 BRO589863 CBK589863 CLG589863 CVC589863 DEY589863 DOU589863 DYQ589863 EIM589863 ESI589863 FCE589863 FMA589863 FVW589863 GFS589863 GPO589863 GZK589863 HJG589863 HTC589863 ICY589863 IMU589863 IWQ589863 JGM589863 JQI589863 KAE589863 KKA589863 KTW589863 LDS589863 LNO589863 LXK589863 MHG589863 MRC589863 NAY589863 NKU589863 NUQ589863 OEM589863 OOI589863 OYE589863 PIA589863 PRW589863 QBS589863 QLO589863 QVK589863 RFG589863 RPC589863 RYY589863 SIU589863 SSQ589863 TCM589863 TMI589863 TWE589863 UGA589863 UPW589863 UZS589863 VJO589863 VTK589863 WDG589863 WNC589863 G655399 AQ655399 KM655399 UI655399 AEE655399 AOA655399 AXW655399 BHS655399 BRO655399 CBK655399 CLG655399 CVC655399 DEY655399 DOU655399 DYQ655399 EIM655399 ESI655399 FCE655399 FMA655399 FVW655399 GFS655399 GPO655399 GZK655399 HJG655399 HTC655399 ICY655399 IMU655399 IWQ655399 JGM655399 JQI655399 KAE655399 KKA655399 KTW655399 LDS655399 LNO655399 LXK655399 MHG655399 MRC655399 NAY655399 NKU655399 NUQ655399 OEM655399 OOI655399 OYE655399 PIA655399 PRW655399 QBS655399 QLO655399 QVK655399 RFG655399 RPC655399 RYY655399 SIU655399 SSQ655399 TCM655399 TMI655399 TWE655399 UGA655399 UPW655399 UZS655399 VJO655399 VTK655399 WDG655399 WNC655399 G720935 AQ720935 KM720935 UI720935 AEE720935 AOA720935 AXW720935 BHS720935 BRO720935 CBK720935 CLG720935 CVC720935 DEY720935 DOU720935 DYQ720935 EIM720935 ESI720935 FCE720935 FMA720935 FVW720935 GFS720935 GPO720935 GZK720935 HJG720935 HTC720935 ICY720935 IMU720935 IWQ720935 JGM720935 JQI720935 KAE720935 KKA720935 KTW720935 LDS720935 LNO720935 LXK720935 MHG720935 MRC720935 NAY720935 NKU720935 NUQ720935 OEM720935 OOI720935 OYE720935 PIA720935 PRW720935 QBS720935 QLO720935 QVK720935 RFG720935 RPC720935 RYY720935 SIU720935 SSQ720935 TCM720935 TMI720935 TWE720935 UGA720935 UPW720935 UZS720935 VJO720935 VTK720935 WDG720935 WNC720935 G786471 AQ786471 KM786471 UI786471 AEE786471 AOA786471 AXW786471 BHS786471 BRO786471 CBK786471 CLG786471 CVC786471 DEY786471 DOU786471 DYQ786471 EIM786471 ESI786471 FCE786471 FMA786471 FVW786471 GFS786471 GPO786471 GZK786471 HJG786471 HTC786471 ICY786471 IMU786471 IWQ786471 JGM786471 JQI786471 KAE786471 KKA786471 KTW786471 LDS786471 LNO786471 LXK786471 MHG786471 MRC786471 NAY786471 NKU786471 NUQ786471 OEM786471 OOI786471 OYE786471 PIA786471 PRW786471 QBS786471 QLO786471 QVK786471 RFG786471 RPC786471 RYY786471 SIU786471 SSQ786471 TCM786471 TMI786471 TWE786471 UGA786471 UPW786471 UZS786471 VJO786471 VTK786471 WDG786471 WNC786471 G852007 AQ852007 KM852007 UI852007 AEE852007 AOA852007 AXW852007 BHS852007 BRO852007 CBK852007 CLG852007 CVC852007 DEY852007 DOU852007 DYQ852007 EIM852007 ESI852007 FCE852007 FMA852007 FVW852007 GFS852007 GPO852007 GZK852007 HJG852007 HTC852007 ICY852007 IMU852007 IWQ852007 JGM852007 JQI852007 KAE852007 KKA852007 KTW852007 LDS852007 LNO852007 LXK852007 MHG852007 MRC852007 NAY852007 NKU852007 NUQ852007 OEM852007 OOI852007 OYE852007 PIA852007 PRW852007 QBS852007 QLO852007 QVK852007 RFG852007 RPC852007 RYY852007 SIU852007 SSQ852007 TCM852007 TMI852007 TWE852007 UGA852007 UPW852007 UZS852007 VJO852007 VTK852007 WDG852007 WNC852007 G917543 AQ917543 KM917543 UI917543 AEE917543 AOA917543 AXW917543 BHS917543 BRO917543 CBK917543 CLG917543 CVC917543 DEY917543 DOU917543 DYQ917543 EIM917543 ESI917543 FCE917543 FMA917543 FVW917543 GFS917543 GPO917543 GZK917543 HJG917543 HTC917543 ICY917543 IMU917543 IWQ917543 JGM917543 JQI917543 KAE917543 KKA917543 KTW917543 LDS917543 LNO917543 LXK917543 MHG917543 MRC917543 NAY917543 NKU917543 NUQ917543 OEM917543 OOI917543 OYE917543 PIA917543 PRW917543 QBS917543 QLO917543 QVK917543 RFG917543 RPC917543 RYY917543 SIU917543 SSQ917543 TCM917543 TMI917543 TWE917543 UGA917543 UPW917543 UZS917543 VJO917543 VTK917543 WDG917543 WNC917543 G983079 AQ983079 KM983079 UI983079 AEE983079 AOA983079 AXW983079 BHS983079 BRO983079 CBK983079 CLG983079 CVC983079 DEY983079 DOU983079 DYQ983079 EIM983079 ESI983079 FCE983079 FMA983079 FVW983079 GFS983079 GPO983079 GZK983079 HJG983079 HTC983079 ICY983079 IMU983079 IWQ983079 JGM983079 JQI983079 KAE983079 KKA983079 KTW983079 LDS983079 LNO983079 LXK983079 MHG983079 MRC983079 NAY983079 NKU983079 NUQ983079 OEM983079 OOI983079 OYE983079 PIA983079 PRW983079 QBS983079 QLO983079 QVK983079 RFG983079 RPC983079 RYY983079 SIU983079 SSQ983079 TCM983079 TMI983079 TWE983079 UGA983079 UPW983079 UZS983079 VJO983079">
      <formula1>0</formula1>
      <formula2>1</formula2>
    </dataValidation>
    <dataValidation type="decimal" allowBlank="1" showInputMessage="1" showErrorMessage="1" errorTitle="Error" error="The number of eligible primary pupils for this factor cannot be negative or higher than t100%. Please insert the correct figure or leave the cell blank to use an LA average." sqref="WNC983076 AQ38 KM38 UI38 AEE38 AOA38 AXW38 BHS38 BRO38 CBK38 CLG38 CVC38 DEY38 DOU38 DYQ38 EIM38 ESI38 FCE38 FMA38 FVW38 GFS38 GPO38 GZK38 HJG38 HTC38 ICY38 IMU38 IWQ38 JGM38 JQI38 KAE38 KKA38 KTW38 LDS38 LNO38 LXK38 MHG38 MRC38 NAY38 NKU38 NUQ38 OEM38 OOI38 OYE38 PIA38 PRW38 QBS38 QLO38 QVK38 RFG38 RPC38 RYY38 SIU38 SSQ38 TCM38 TMI38 TWE38 UGA38 UPW38 UZS38 VJO38 VTK38 WDG38 WNC38 G65572 AQ65572 KM65572 UI65572 AEE65572 AOA65572 AXW65572 BHS65572 BRO65572 CBK65572 CLG65572 CVC65572 DEY65572 DOU65572 DYQ65572 EIM65572 ESI65572 FCE65572 FMA65572 FVW65572 GFS65572 GPO65572 GZK65572 HJG65572 HTC65572 ICY65572 IMU65572 IWQ65572 JGM65572 JQI65572 KAE65572 KKA65572 KTW65572 LDS65572 LNO65572 LXK65572 MHG65572 MRC65572 NAY65572 NKU65572 NUQ65572 OEM65572 OOI65572 OYE65572 PIA65572 PRW65572 QBS65572 QLO65572 QVK65572 RFG65572 RPC65572 RYY65572 SIU65572 SSQ65572 TCM65572 TMI65572 TWE65572 UGA65572 UPW65572 UZS65572 VJO65572 VTK65572 WDG65572 WNC65572 G131108 AQ131108 KM131108 UI131108 AEE131108 AOA131108 AXW131108 BHS131108 BRO131108 CBK131108 CLG131108 CVC131108 DEY131108 DOU131108 DYQ131108 EIM131108 ESI131108 FCE131108 FMA131108 FVW131108 GFS131108 GPO131108 GZK131108 HJG131108 HTC131108 ICY131108 IMU131108 IWQ131108 JGM131108 JQI131108 KAE131108 KKA131108 KTW131108 LDS131108 LNO131108 LXK131108 MHG131108 MRC131108 NAY131108 NKU131108 NUQ131108 OEM131108 OOI131108 OYE131108 PIA131108 PRW131108 QBS131108 QLO131108 QVK131108 RFG131108 RPC131108 RYY131108 SIU131108 SSQ131108 TCM131108 TMI131108 TWE131108 UGA131108 UPW131108 UZS131108 VJO131108 VTK131108 WDG131108 WNC131108 G196644 AQ196644 KM196644 UI196644 AEE196644 AOA196644 AXW196644 BHS196644 BRO196644 CBK196644 CLG196644 CVC196644 DEY196644 DOU196644 DYQ196644 EIM196644 ESI196644 FCE196644 FMA196644 FVW196644 GFS196644 GPO196644 GZK196644 HJG196644 HTC196644 ICY196644 IMU196644 IWQ196644 JGM196644 JQI196644 KAE196644 KKA196644 KTW196644 LDS196644 LNO196644 LXK196644 MHG196644 MRC196644 NAY196644 NKU196644 NUQ196644 OEM196644 OOI196644 OYE196644 PIA196644 PRW196644 QBS196644 QLO196644 QVK196644 RFG196644 RPC196644 RYY196644 SIU196644 SSQ196644 TCM196644 TMI196644 TWE196644 UGA196644 UPW196644 UZS196644 VJO196644 VTK196644 WDG196644 WNC196644 G262180 AQ262180 KM262180 UI262180 AEE262180 AOA262180 AXW262180 BHS262180 BRO262180 CBK262180 CLG262180 CVC262180 DEY262180 DOU262180 DYQ262180 EIM262180 ESI262180 FCE262180 FMA262180 FVW262180 GFS262180 GPO262180 GZK262180 HJG262180 HTC262180 ICY262180 IMU262180 IWQ262180 JGM262180 JQI262180 KAE262180 KKA262180 KTW262180 LDS262180 LNO262180 LXK262180 MHG262180 MRC262180 NAY262180 NKU262180 NUQ262180 OEM262180 OOI262180 OYE262180 PIA262180 PRW262180 QBS262180 QLO262180 QVK262180 RFG262180 RPC262180 RYY262180 SIU262180 SSQ262180 TCM262180 TMI262180 TWE262180 UGA262180 UPW262180 UZS262180 VJO262180 VTK262180 WDG262180 WNC262180 G327716 AQ327716 KM327716 UI327716 AEE327716 AOA327716 AXW327716 BHS327716 BRO327716 CBK327716 CLG327716 CVC327716 DEY327716 DOU327716 DYQ327716 EIM327716 ESI327716 FCE327716 FMA327716 FVW327716 GFS327716 GPO327716 GZK327716 HJG327716 HTC327716 ICY327716 IMU327716 IWQ327716 JGM327716 JQI327716 KAE327716 KKA327716 KTW327716 LDS327716 LNO327716 LXK327716 MHG327716 MRC327716 NAY327716 NKU327716 NUQ327716 OEM327716 OOI327716 OYE327716 PIA327716 PRW327716 QBS327716 QLO327716 QVK327716 RFG327716 RPC327716 RYY327716 SIU327716 SSQ327716 TCM327716 TMI327716 TWE327716 UGA327716 UPW327716 UZS327716 VJO327716 VTK327716 WDG327716 WNC327716 G393252 AQ393252 KM393252 UI393252 AEE393252 AOA393252 AXW393252 BHS393252 BRO393252 CBK393252 CLG393252 CVC393252 DEY393252 DOU393252 DYQ393252 EIM393252 ESI393252 FCE393252 FMA393252 FVW393252 GFS393252 GPO393252 GZK393252 HJG393252 HTC393252 ICY393252 IMU393252 IWQ393252 JGM393252 JQI393252 KAE393252 KKA393252 KTW393252 LDS393252 LNO393252 LXK393252 MHG393252 MRC393252 NAY393252 NKU393252 NUQ393252 OEM393252 OOI393252 OYE393252 PIA393252 PRW393252 QBS393252 QLO393252 QVK393252 RFG393252 RPC393252 RYY393252 SIU393252 SSQ393252 TCM393252 TMI393252 TWE393252 UGA393252 UPW393252 UZS393252 VJO393252 VTK393252 WDG393252 WNC393252 G458788 AQ458788 KM458788 UI458788 AEE458788 AOA458788 AXW458788 BHS458788 BRO458788 CBK458788 CLG458788 CVC458788 DEY458788 DOU458788 DYQ458788 EIM458788 ESI458788 FCE458788 FMA458788 FVW458788 GFS458788 GPO458788 GZK458788 HJG458788 HTC458788 ICY458788 IMU458788 IWQ458788 JGM458788 JQI458788 KAE458788 KKA458788 KTW458788 LDS458788 LNO458788 LXK458788 MHG458788 MRC458788 NAY458788 NKU458788 NUQ458788 OEM458788 OOI458788 OYE458788 PIA458788 PRW458788 QBS458788 QLO458788 QVK458788 RFG458788 RPC458788 RYY458788 SIU458788 SSQ458788 TCM458788 TMI458788 TWE458788 UGA458788 UPW458788 UZS458788 VJO458788 VTK458788 WDG458788 WNC458788 G524324 AQ524324 KM524324 UI524324 AEE524324 AOA524324 AXW524324 BHS524324 BRO524324 CBK524324 CLG524324 CVC524324 DEY524324 DOU524324 DYQ524324 EIM524324 ESI524324 FCE524324 FMA524324 FVW524324 GFS524324 GPO524324 GZK524324 HJG524324 HTC524324 ICY524324 IMU524324 IWQ524324 JGM524324 JQI524324 KAE524324 KKA524324 KTW524324 LDS524324 LNO524324 LXK524324 MHG524324 MRC524324 NAY524324 NKU524324 NUQ524324 OEM524324 OOI524324 OYE524324 PIA524324 PRW524324 QBS524324 QLO524324 QVK524324 RFG524324 RPC524324 RYY524324 SIU524324 SSQ524324 TCM524324 TMI524324 TWE524324 UGA524324 UPW524324 UZS524324 VJO524324 VTK524324 WDG524324 WNC524324 G589860 AQ589860 KM589860 UI589860 AEE589860 AOA589860 AXW589860 BHS589860 BRO589860 CBK589860 CLG589860 CVC589860 DEY589860 DOU589860 DYQ589860 EIM589860 ESI589860 FCE589860 FMA589860 FVW589860 GFS589860 GPO589860 GZK589860 HJG589860 HTC589860 ICY589860 IMU589860 IWQ589860 JGM589860 JQI589860 KAE589860 KKA589860 KTW589860 LDS589860 LNO589860 LXK589860 MHG589860 MRC589860 NAY589860 NKU589860 NUQ589860 OEM589860 OOI589860 OYE589860 PIA589860 PRW589860 QBS589860 QLO589860 QVK589860 RFG589860 RPC589860 RYY589860 SIU589860 SSQ589860 TCM589860 TMI589860 TWE589860 UGA589860 UPW589860 UZS589860 VJO589860 VTK589860 WDG589860 WNC589860 G655396 AQ655396 KM655396 UI655396 AEE655396 AOA655396 AXW655396 BHS655396 BRO655396 CBK655396 CLG655396 CVC655396 DEY655396 DOU655396 DYQ655396 EIM655396 ESI655396 FCE655396 FMA655396 FVW655396 GFS655396 GPO655396 GZK655396 HJG655396 HTC655396 ICY655396 IMU655396 IWQ655396 JGM655396 JQI655396 KAE655396 KKA655396 KTW655396 LDS655396 LNO655396 LXK655396 MHG655396 MRC655396 NAY655396 NKU655396 NUQ655396 OEM655396 OOI655396 OYE655396 PIA655396 PRW655396 QBS655396 QLO655396 QVK655396 RFG655396 RPC655396 RYY655396 SIU655396 SSQ655396 TCM655396 TMI655396 TWE655396 UGA655396 UPW655396 UZS655396 VJO655396 VTK655396 WDG655396 WNC655396 G720932 AQ720932 KM720932 UI720932 AEE720932 AOA720932 AXW720932 BHS720932 BRO720932 CBK720932 CLG720932 CVC720932 DEY720932 DOU720932 DYQ720932 EIM720932 ESI720932 FCE720932 FMA720932 FVW720932 GFS720932 GPO720932 GZK720932 HJG720932 HTC720932 ICY720932 IMU720932 IWQ720932 JGM720932 JQI720932 KAE720932 KKA720932 KTW720932 LDS720932 LNO720932 LXK720932 MHG720932 MRC720932 NAY720932 NKU720932 NUQ720932 OEM720932 OOI720932 OYE720932 PIA720932 PRW720932 QBS720932 QLO720932 QVK720932 RFG720932 RPC720932 RYY720932 SIU720932 SSQ720932 TCM720932 TMI720932 TWE720932 UGA720932 UPW720932 UZS720932 VJO720932 VTK720932 WDG720932 WNC720932 G786468 AQ786468 KM786468 UI786468 AEE786468 AOA786468 AXW786468 BHS786468 BRO786468 CBK786468 CLG786468 CVC786468 DEY786468 DOU786468 DYQ786468 EIM786468 ESI786468 FCE786468 FMA786468 FVW786468 GFS786468 GPO786468 GZK786468 HJG786468 HTC786468 ICY786468 IMU786468 IWQ786468 JGM786468 JQI786468 KAE786468 KKA786468 KTW786468 LDS786468 LNO786468 LXK786468 MHG786468 MRC786468 NAY786468 NKU786468 NUQ786468 OEM786468 OOI786468 OYE786468 PIA786468 PRW786468 QBS786468 QLO786468 QVK786468 RFG786468 RPC786468 RYY786468 SIU786468 SSQ786468 TCM786468 TMI786468 TWE786468 UGA786468 UPW786468 UZS786468 VJO786468 VTK786468 WDG786468 WNC786468 G852004 AQ852004 KM852004 UI852004 AEE852004 AOA852004 AXW852004 BHS852004 BRO852004 CBK852004 CLG852004 CVC852004 DEY852004 DOU852004 DYQ852004 EIM852004 ESI852004 FCE852004 FMA852004 FVW852004 GFS852004 GPO852004 GZK852004 HJG852004 HTC852004 ICY852004 IMU852004 IWQ852004 JGM852004 JQI852004 KAE852004 KKA852004 KTW852004 LDS852004 LNO852004 LXK852004 MHG852004 MRC852004 NAY852004 NKU852004 NUQ852004 OEM852004 OOI852004 OYE852004 PIA852004 PRW852004 QBS852004 QLO852004 QVK852004 RFG852004 RPC852004 RYY852004 SIU852004 SSQ852004 TCM852004 TMI852004 TWE852004 UGA852004 UPW852004 UZS852004 VJO852004 VTK852004 WDG852004 WNC852004 G917540 AQ917540 KM917540 UI917540 AEE917540 AOA917540 AXW917540 BHS917540 BRO917540 CBK917540 CLG917540 CVC917540 DEY917540 DOU917540 DYQ917540 EIM917540 ESI917540 FCE917540 FMA917540 FVW917540 GFS917540 GPO917540 GZK917540 HJG917540 HTC917540 ICY917540 IMU917540 IWQ917540 JGM917540 JQI917540 KAE917540 KKA917540 KTW917540 LDS917540 LNO917540 LXK917540 MHG917540 MRC917540 NAY917540 NKU917540 NUQ917540 OEM917540 OOI917540 OYE917540 PIA917540 PRW917540 QBS917540 QLO917540 QVK917540 RFG917540 RPC917540 RYY917540 SIU917540 SSQ917540 TCM917540 TMI917540 TWE917540 UGA917540 UPW917540 UZS917540 VJO917540 VTK917540 WDG917540 WNC917540 G983076 AQ983076 KM983076 UI983076 AEE983076 AOA983076 AXW983076 BHS983076 BRO983076 CBK983076 CLG983076 CVC983076 DEY983076 DOU983076 DYQ983076 EIM983076 ESI983076 FCE983076 FMA983076 FVW983076 GFS983076 GPO983076 GZK983076 HJG983076 HTC983076 ICY983076 IMU983076 IWQ983076 JGM983076 JQI983076 KAE983076 KKA983076 KTW983076 LDS983076 LNO983076 LXK983076 MHG983076 MRC983076 NAY983076 NKU983076 NUQ983076 OEM983076 OOI983076 OYE983076 PIA983076 PRW983076 QBS983076 QLO983076 QVK983076 RFG983076 RPC983076 RYY983076 SIU983076 SSQ983076 TCM983076 TMI983076 TWE983076 UGA983076 UPW983076 UZS983076 VJO983076 VTK983076 WDG983076">
      <formula1>0</formula1>
      <formula2>1</formula2>
    </dataValidation>
    <dataValidation type="decimal" allowBlank="1" showInputMessage="1" showErrorMessage="1" errorTitle="Error" error="The number of eligible secondary pupils for this factor cannot be negative or higher than 100%. Please insert the correct figure or leave the cell blank to use an LA average." sqref="WDH983068:WDH983074 AR38 KN38 UJ38 AEF38 AOB38 AXX38 BHT38 BRP38 CBL38 CLH38 CVD38 DEZ38 DOV38 DYR38 EIN38 ESJ38 FCF38 FMB38 FVX38 GFT38 GPP38 GZL38 HJH38 HTD38 ICZ38 IMV38 IWR38 JGN38 JQJ38 KAF38 KKB38 KTX38 LDT38 LNP38 LXL38 MHH38 MRD38 NAZ38 NKV38 NUR38 OEN38 OOJ38 OYF38 PIB38 PRX38 QBT38 QLP38 QVL38 RFH38 RPD38 RYZ38 SIV38 SSR38 TCN38 TMJ38 TWF38 UGB38 UPX38 UZT38 VJP38 VTL38 WDH38 WND38 H65572 AR65572 KN65572 UJ65572 AEF65572 AOB65572 AXX65572 BHT65572 BRP65572 CBL65572 CLH65572 CVD65572 DEZ65572 DOV65572 DYR65572 EIN65572 ESJ65572 FCF65572 FMB65572 FVX65572 GFT65572 GPP65572 GZL65572 HJH65572 HTD65572 ICZ65572 IMV65572 IWR65572 JGN65572 JQJ65572 KAF65572 KKB65572 KTX65572 LDT65572 LNP65572 LXL65572 MHH65572 MRD65572 NAZ65572 NKV65572 NUR65572 OEN65572 OOJ65572 OYF65572 PIB65572 PRX65572 QBT65572 QLP65572 QVL65572 RFH65572 RPD65572 RYZ65572 SIV65572 SSR65572 TCN65572 TMJ65572 TWF65572 UGB65572 UPX65572 UZT65572 VJP65572 VTL65572 WDH65572 WND65572 H131108 AR131108 KN131108 UJ131108 AEF131108 AOB131108 AXX131108 BHT131108 BRP131108 CBL131108 CLH131108 CVD131108 DEZ131108 DOV131108 DYR131108 EIN131108 ESJ131108 FCF131108 FMB131108 FVX131108 GFT131108 GPP131108 GZL131108 HJH131108 HTD131108 ICZ131108 IMV131108 IWR131108 JGN131108 JQJ131108 KAF131108 KKB131108 KTX131108 LDT131108 LNP131108 LXL131108 MHH131108 MRD131108 NAZ131108 NKV131108 NUR131108 OEN131108 OOJ131108 OYF131108 PIB131108 PRX131108 QBT131108 QLP131108 QVL131108 RFH131108 RPD131108 RYZ131108 SIV131108 SSR131108 TCN131108 TMJ131108 TWF131108 UGB131108 UPX131108 UZT131108 VJP131108 VTL131108 WDH131108 WND131108 H196644 AR196644 KN196644 UJ196644 AEF196644 AOB196644 AXX196644 BHT196644 BRP196644 CBL196644 CLH196644 CVD196644 DEZ196644 DOV196644 DYR196644 EIN196644 ESJ196644 FCF196644 FMB196644 FVX196644 GFT196644 GPP196644 GZL196644 HJH196644 HTD196644 ICZ196644 IMV196644 IWR196644 JGN196644 JQJ196644 KAF196644 KKB196644 KTX196644 LDT196644 LNP196644 LXL196644 MHH196644 MRD196644 NAZ196644 NKV196644 NUR196644 OEN196644 OOJ196644 OYF196644 PIB196644 PRX196644 QBT196644 QLP196644 QVL196644 RFH196644 RPD196644 RYZ196644 SIV196644 SSR196644 TCN196644 TMJ196644 TWF196644 UGB196644 UPX196644 UZT196644 VJP196644 VTL196644 WDH196644 WND196644 H262180 AR262180 KN262180 UJ262180 AEF262180 AOB262180 AXX262180 BHT262180 BRP262180 CBL262180 CLH262180 CVD262180 DEZ262180 DOV262180 DYR262180 EIN262180 ESJ262180 FCF262180 FMB262180 FVX262180 GFT262180 GPP262180 GZL262180 HJH262180 HTD262180 ICZ262180 IMV262180 IWR262180 JGN262180 JQJ262180 KAF262180 KKB262180 KTX262180 LDT262180 LNP262180 LXL262180 MHH262180 MRD262180 NAZ262180 NKV262180 NUR262180 OEN262180 OOJ262180 OYF262180 PIB262180 PRX262180 QBT262180 QLP262180 QVL262180 RFH262180 RPD262180 RYZ262180 SIV262180 SSR262180 TCN262180 TMJ262180 TWF262180 UGB262180 UPX262180 UZT262180 VJP262180 VTL262180 WDH262180 WND262180 H327716 AR327716 KN327716 UJ327716 AEF327716 AOB327716 AXX327716 BHT327716 BRP327716 CBL327716 CLH327716 CVD327716 DEZ327716 DOV327716 DYR327716 EIN327716 ESJ327716 FCF327716 FMB327716 FVX327716 GFT327716 GPP327716 GZL327716 HJH327716 HTD327716 ICZ327716 IMV327716 IWR327716 JGN327716 JQJ327716 KAF327716 KKB327716 KTX327716 LDT327716 LNP327716 LXL327716 MHH327716 MRD327716 NAZ327716 NKV327716 NUR327716 OEN327716 OOJ327716 OYF327716 PIB327716 PRX327716 QBT327716 QLP327716 QVL327716 RFH327716 RPD327716 RYZ327716 SIV327716 SSR327716 TCN327716 TMJ327716 TWF327716 UGB327716 UPX327716 UZT327716 VJP327716 VTL327716 WDH327716 WND327716 H393252 AR393252 KN393252 UJ393252 AEF393252 AOB393252 AXX393252 BHT393252 BRP393252 CBL393252 CLH393252 CVD393252 DEZ393252 DOV393252 DYR393252 EIN393252 ESJ393252 FCF393252 FMB393252 FVX393252 GFT393252 GPP393252 GZL393252 HJH393252 HTD393252 ICZ393252 IMV393252 IWR393252 JGN393252 JQJ393252 KAF393252 KKB393252 KTX393252 LDT393252 LNP393252 LXL393252 MHH393252 MRD393252 NAZ393252 NKV393252 NUR393252 OEN393252 OOJ393252 OYF393252 PIB393252 PRX393252 QBT393252 QLP393252 QVL393252 RFH393252 RPD393252 RYZ393252 SIV393252 SSR393252 TCN393252 TMJ393252 TWF393252 UGB393252 UPX393252 UZT393252 VJP393252 VTL393252 WDH393252 WND393252 H458788 AR458788 KN458788 UJ458788 AEF458788 AOB458788 AXX458788 BHT458788 BRP458788 CBL458788 CLH458788 CVD458788 DEZ458788 DOV458788 DYR458788 EIN458788 ESJ458788 FCF458788 FMB458788 FVX458788 GFT458788 GPP458788 GZL458788 HJH458788 HTD458788 ICZ458788 IMV458788 IWR458788 JGN458788 JQJ458788 KAF458788 KKB458788 KTX458788 LDT458788 LNP458788 LXL458788 MHH458788 MRD458788 NAZ458788 NKV458788 NUR458788 OEN458788 OOJ458788 OYF458788 PIB458788 PRX458788 QBT458788 QLP458788 QVL458788 RFH458788 RPD458788 RYZ458788 SIV458788 SSR458788 TCN458788 TMJ458788 TWF458788 UGB458788 UPX458788 UZT458788 VJP458788 VTL458788 WDH458788 WND458788 H524324 AR524324 KN524324 UJ524324 AEF524324 AOB524324 AXX524324 BHT524324 BRP524324 CBL524324 CLH524324 CVD524324 DEZ524324 DOV524324 DYR524324 EIN524324 ESJ524324 FCF524324 FMB524324 FVX524324 GFT524324 GPP524324 GZL524324 HJH524324 HTD524324 ICZ524324 IMV524324 IWR524324 JGN524324 JQJ524324 KAF524324 KKB524324 KTX524324 LDT524324 LNP524324 LXL524324 MHH524324 MRD524324 NAZ524324 NKV524324 NUR524324 OEN524324 OOJ524324 OYF524324 PIB524324 PRX524324 QBT524324 QLP524324 QVL524324 RFH524324 RPD524324 RYZ524324 SIV524324 SSR524324 TCN524324 TMJ524324 TWF524324 UGB524324 UPX524324 UZT524324 VJP524324 VTL524324 WDH524324 WND524324 H589860 AR589860 KN589860 UJ589860 AEF589860 AOB589860 AXX589860 BHT589860 BRP589860 CBL589860 CLH589860 CVD589860 DEZ589860 DOV589860 DYR589860 EIN589860 ESJ589860 FCF589860 FMB589860 FVX589860 GFT589860 GPP589860 GZL589860 HJH589860 HTD589860 ICZ589860 IMV589860 IWR589860 JGN589860 JQJ589860 KAF589860 KKB589860 KTX589860 LDT589860 LNP589860 LXL589860 MHH589860 MRD589860 NAZ589860 NKV589860 NUR589860 OEN589860 OOJ589860 OYF589860 PIB589860 PRX589860 QBT589860 QLP589860 QVL589860 RFH589860 RPD589860 RYZ589860 SIV589860 SSR589860 TCN589860 TMJ589860 TWF589860 UGB589860 UPX589860 UZT589860 VJP589860 VTL589860 WDH589860 WND589860 H655396 AR655396 KN655396 UJ655396 AEF655396 AOB655396 AXX655396 BHT655396 BRP655396 CBL655396 CLH655396 CVD655396 DEZ655396 DOV655396 DYR655396 EIN655396 ESJ655396 FCF655396 FMB655396 FVX655396 GFT655396 GPP655396 GZL655396 HJH655396 HTD655396 ICZ655396 IMV655396 IWR655396 JGN655396 JQJ655396 KAF655396 KKB655396 KTX655396 LDT655396 LNP655396 LXL655396 MHH655396 MRD655396 NAZ655396 NKV655396 NUR655396 OEN655396 OOJ655396 OYF655396 PIB655396 PRX655396 QBT655396 QLP655396 QVL655396 RFH655396 RPD655396 RYZ655396 SIV655396 SSR655396 TCN655396 TMJ655396 TWF655396 UGB655396 UPX655396 UZT655396 VJP655396 VTL655396 WDH655396 WND655396 H720932 AR720932 KN720932 UJ720932 AEF720932 AOB720932 AXX720932 BHT720932 BRP720932 CBL720932 CLH720932 CVD720932 DEZ720932 DOV720932 DYR720932 EIN720932 ESJ720932 FCF720932 FMB720932 FVX720932 GFT720932 GPP720932 GZL720932 HJH720932 HTD720932 ICZ720932 IMV720932 IWR720932 JGN720932 JQJ720932 KAF720932 KKB720932 KTX720932 LDT720932 LNP720932 LXL720932 MHH720932 MRD720932 NAZ720932 NKV720932 NUR720932 OEN720932 OOJ720932 OYF720932 PIB720932 PRX720932 QBT720932 QLP720932 QVL720932 RFH720932 RPD720932 RYZ720932 SIV720932 SSR720932 TCN720932 TMJ720932 TWF720932 UGB720932 UPX720932 UZT720932 VJP720932 VTL720932 WDH720932 WND720932 H786468 AR786468 KN786468 UJ786468 AEF786468 AOB786468 AXX786468 BHT786468 BRP786468 CBL786468 CLH786468 CVD786468 DEZ786468 DOV786468 DYR786468 EIN786468 ESJ786468 FCF786468 FMB786468 FVX786468 GFT786468 GPP786468 GZL786468 HJH786468 HTD786468 ICZ786468 IMV786468 IWR786468 JGN786468 JQJ786468 KAF786468 KKB786468 KTX786468 LDT786468 LNP786468 LXL786468 MHH786468 MRD786468 NAZ786468 NKV786468 NUR786468 OEN786468 OOJ786468 OYF786468 PIB786468 PRX786468 QBT786468 QLP786468 QVL786468 RFH786468 RPD786468 RYZ786468 SIV786468 SSR786468 TCN786468 TMJ786468 TWF786468 UGB786468 UPX786468 UZT786468 VJP786468 VTL786468 WDH786468 WND786468 H852004 AR852004 KN852004 UJ852004 AEF852004 AOB852004 AXX852004 BHT852004 BRP852004 CBL852004 CLH852004 CVD852004 DEZ852004 DOV852004 DYR852004 EIN852004 ESJ852004 FCF852004 FMB852004 FVX852004 GFT852004 GPP852004 GZL852004 HJH852004 HTD852004 ICZ852004 IMV852004 IWR852004 JGN852004 JQJ852004 KAF852004 KKB852004 KTX852004 LDT852004 LNP852004 LXL852004 MHH852004 MRD852004 NAZ852004 NKV852004 NUR852004 OEN852004 OOJ852004 OYF852004 PIB852004 PRX852004 QBT852004 QLP852004 QVL852004 RFH852004 RPD852004 RYZ852004 SIV852004 SSR852004 TCN852004 TMJ852004 TWF852004 UGB852004 UPX852004 UZT852004 VJP852004 VTL852004 WDH852004 WND852004 H917540 AR917540 KN917540 UJ917540 AEF917540 AOB917540 AXX917540 BHT917540 BRP917540 CBL917540 CLH917540 CVD917540 DEZ917540 DOV917540 DYR917540 EIN917540 ESJ917540 FCF917540 FMB917540 FVX917540 GFT917540 GPP917540 GZL917540 HJH917540 HTD917540 ICZ917540 IMV917540 IWR917540 JGN917540 JQJ917540 KAF917540 KKB917540 KTX917540 LDT917540 LNP917540 LXL917540 MHH917540 MRD917540 NAZ917540 NKV917540 NUR917540 OEN917540 OOJ917540 OYF917540 PIB917540 PRX917540 QBT917540 QLP917540 QVL917540 RFH917540 RPD917540 RYZ917540 SIV917540 SSR917540 TCN917540 TMJ917540 TWF917540 UGB917540 UPX917540 UZT917540 VJP917540 VTL917540 WDH917540 WND917540 H983076 AR983076 KN983076 UJ983076 AEF983076 AOB983076 AXX983076 BHT983076 BRP983076 CBL983076 CLH983076 CVD983076 DEZ983076 DOV983076 DYR983076 EIN983076 ESJ983076 FCF983076 FMB983076 FVX983076 GFT983076 GPP983076 GZL983076 HJH983076 HTD983076 ICZ983076 IMV983076 IWR983076 JGN983076 JQJ983076 KAF983076 KKB983076 KTX983076 LDT983076 LNP983076 LXL983076 MHH983076 MRD983076 NAZ983076 NKV983076 NUR983076 OEN983076 OOJ983076 OYF983076 PIB983076 PRX983076 QBT983076 QLP983076 QVL983076 RFH983076 RPD983076 RYZ983076 SIV983076 SSR983076 TCN983076 TMJ983076 TWF983076 UGB983076 UPX983076 UZT983076 VJP983076 VTL983076 WDH983076 WND983076 WND983068:WND983074 AR30:AR36 KN30:KN36 UJ30:UJ36 AEF30:AEF36 AOB30:AOB36 AXX30:AXX36 BHT30:BHT36 BRP30:BRP36 CBL30:CBL36 CLH30:CLH36 CVD30:CVD36 DEZ30:DEZ36 DOV30:DOV36 DYR30:DYR36 EIN30:EIN36 ESJ30:ESJ36 FCF30:FCF36 FMB30:FMB36 FVX30:FVX36 GFT30:GFT36 GPP30:GPP36 GZL30:GZL36 HJH30:HJH36 HTD30:HTD36 ICZ30:ICZ36 IMV30:IMV36 IWR30:IWR36 JGN30:JGN36 JQJ30:JQJ36 KAF30:KAF36 KKB30:KKB36 KTX30:KTX36 LDT30:LDT36 LNP30:LNP36 LXL30:LXL36 MHH30:MHH36 MRD30:MRD36 NAZ30:NAZ36 NKV30:NKV36 NUR30:NUR36 OEN30:OEN36 OOJ30:OOJ36 OYF30:OYF36 PIB30:PIB36 PRX30:PRX36 QBT30:QBT36 QLP30:QLP36 QVL30:QVL36 RFH30:RFH36 RPD30:RPD36 RYZ30:RYZ36 SIV30:SIV36 SSR30:SSR36 TCN30:TCN36 TMJ30:TMJ36 TWF30:TWF36 UGB30:UGB36 UPX30:UPX36 UZT30:UZT36 VJP30:VJP36 VTL30:VTL36 WDH30:WDH36 WND30:WND36 H65564:H65570 AR65564:AR65570 KN65564:KN65570 UJ65564:UJ65570 AEF65564:AEF65570 AOB65564:AOB65570 AXX65564:AXX65570 BHT65564:BHT65570 BRP65564:BRP65570 CBL65564:CBL65570 CLH65564:CLH65570 CVD65564:CVD65570 DEZ65564:DEZ65570 DOV65564:DOV65570 DYR65564:DYR65570 EIN65564:EIN65570 ESJ65564:ESJ65570 FCF65564:FCF65570 FMB65564:FMB65570 FVX65564:FVX65570 GFT65564:GFT65570 GPP65564:GPP65570 GZL65564:GZL65570 HJH65564:HJH65570 HTD65564:HTD65570 ICZ65564:ICZ65570 IMV65564:IMV65570 IWR65564:IWR65570 JGN65564:JGN65570 JQJ65564:JQJ65570 KAF65564:KAF65570 KKB65564:KKB65570 KTX65564:KTX65570 LDT65564:LDT65570 LNP65564:LNP65570 LXL65564:LXL65570 MHH65564:MHH65570 MRD65564:MRD65570 NAZ65564:NAZ65570 NKV65564:NKV65570 NUR65564:NUR65570 OEN65564:OEN65570 OOJ65564:OOJ65570 OYF65564:OYF65570 PIB65564:PIB65570 PRX65564:PRX65570 QBT65564:QBT65570 QLP65564:QLP65570 QVL65564:QVL65570 RFH65564:RFH65570 RPD65564:RPD65570 RYZ65564:RYZ65570 SIV65564:SIV65570 SSR65564:SSR65570 TCN65564:TCN65570 TMJ65564:TMJ65570 TWF65564:TWF65570 UGB65564:UGB65570 UPX65564:UPX65570 UZT65564:UZT65570 VJP65564:VJP65570 VTL65564:VTL65570 WDH65564:WDH65570 WND65564:WND65570 H131100:H131106 AR131100:AR131106 KN131100:KN131106 UJ131100:UJ131106 AEF131100:AEF131106 AOB131100:AOB131106 AXX131100:AXX131106 BHT131100:BHT131106 BRP131100:BRP131106 CBL131100:CBL131106 CLH131100:CLH131106 CVD131100:CVD131106 DEZ131100:DEZ131106 DOV131100:DOV131106 DYR131100:DYR131106 EIN131100:EIN131106 ESJ131100:ESJ131106 FCF131100:FCF131106 FMB131100:FMB131106 FVX131100:FVX131106 GFT131100:GFT131106 GPP131100:GPP131106 GZL131100:GZL131106 HJH131100:HJH131106 HTD131100:HTD131106 ICZ131100:ICZ131106 IMV131100:IMV131106 IWR131100:IWR131106 JGN131100:JGN131106 JQJ131100:JQJ131106 KAF131100:KAF131106 KKB131100:KKB131106 KTX131100:KTX131106 LDT131100:LDT131106 LNP131100:LNP131106 LXL131100:LXL131106 MHH131100:MHH131106 MRD131100:MRD131106 NAZ131100:NAZ131106 NKV131100:NKV131106 NUR131100:NUR131106 OEN131100:OEN131106 OOJ131100:OOJ131106 OYF131100:OYF131106 PIB131100:PIB131106 PRX131100:PRX131106 QBT131100:QBT131106 QLP131100:QLP131106 QVL131100:QVL131106 RFH131100:RFH131106 RPD131100:RPD131106 RYZ131100:RYZ131106 SIV131100:SIV131106 SSR131100:SSR131106 TCN131100:TCN131106 TMJ131100:TMJ131106 TWF131100:TWF131106 UGB131100:UGB131106 UPX131100:UPX131106 UZT131100:UZT131106 VJP131100:VJP131106 VTL131100:VTL131106 WDH131100:WDH131106 WND131100:WND131106 H196636:H196642 AR196636:AR196642 KN196636:KN196642 UJ196636:UJ196642 AEF196636:AEF196642 AOB196636:AOB196642 AXX196636:AXX196642 BHT196636:BHT196642 BRP196636:BRP196642 CBL196636:CBL196642 CLH196636:CLH196642 CVD196636:CVD196642 DEZ196636:DEZ196642 DOV196636:DOV196642 DYR196636:DYR196642 EIN196636:EIN196642 ESJ196636:ESJ196642 FCF196636:FCF196642 FMB196636:FMB196642 FVX196636:FVX196642 GFT196636:GFT196642 GPP196636:GPP196642 GZL196636:GZL196642 HJH196636:HJH196642 HTD196636:HTD196642 ICZ196636:ICZ196642 IMV196636:IMV196642 IWR196636:IWR196642 JGN196636:JGN196642 JQJ196636:JQJ196642 KAF196636:KAF196642 KKB196636:KKB196642 KTX196636:KTX196642 LDT196636:LDT196642 LNP196636:LNP196642 LXL196636:LXL196642 MHH196636:MHH196642 MRD196636:MRD196642 NAZ196636:NAZ196642 NKV196636:NKV196642 NUR196636:NUR196642 OEN196636:OEN196642 OOJ196636:OOJ196642 OYF196636:OYF196642 PIB196636:PIB196642 PRX196636:PRX196642 QBT196636:QBT196642 QLP196636:QLP196642 QVL196636:QVL196642 RFH196636:RFH196642 RPD196636:RPD196642 RYZ196636:RYZ196642 SIV196636:SIV196642 SSR196636:SSR196642 TCN196636:TCN196642 TMJ196636:TMJ196642 TWF196636:TWF196642 UGB196636:UGB196642 UPX196636:UPX196642 UZT196636:UZT196642 VJP196636:VJP196642 VTL196636:VTL196642 WDH196636:WDH196642 WND196636:WND196642 H262172:H262178 AR262172:AR262178 KN262172:KN262178 UJ262172:UJ262178 AEF262172:AEF262178 AOB262172:AOB262178 AXX262172:AXX262178 BHT262172:BHT262178 BRP262172:BRP262178 CBL262172:CBL262178 CLH262172:CLH262178 CVD262172:CVD262178 DEZ262172:DEZ262178 DOV262172:DOV262178 DYR262172:DYR262178 EIN262172:EIN262178 ESJ262172:ESJ262178 FCF262172:FCF262178 FMB262172:FMB262178 FVX262172:FVX262178 GFT262172:GFT262178 GPP262172:GPP262178 GZL262172:GZL262178 HJH262172:HJH262178 HTD262172:HTD262178 ICZ262172:ICZ262178 IMV262172:IMV262178 IWR262172:IWR262178 JGN262172:JGN262178 JQJ262172:JQJ262178 KAF262172:KAF262178 KKB262172:KKB262178 KTX262172:KTX262178 LDT262172:LDT262178 LNP262172:LNP262178 LXL262172:LXL262178 MHH262172:MHH262178 MRD262172:MRD262178 NAZ262172:NAZ262178 NKV262172:NKV262178 NUR262172:NUR262178 OEN262172:OEN262178 OOJ262172:OOJ262178 OYF262172:OYF262178 PIB262172:PIB262178 PRX262172:PRX262178 QBT262172:QBT262178 QLP262172:QLP262178 QVL262172:QVL262178 RFH262172:RFH262178 RPD262172:RPD262178 RYZ262172:RYZ262178 SIV262172:SIV262178 SSR262172:SSR262178 TCN262172:TCN262178 TMJ262172:TMJ262178 TWF262172:TWF262178 UGB262172:UGB262178 UPX262172:UPX262178 UZT262172:UZT262178 VJP262172:VJP262178 VTL262172:VTL262178 WDH262172:WDH262178 WND262172:WND262178 H327708:H327714 AR327708:AR327714 KN327708:KN327714 UJ327708:UJ327714 AEF327708:AEF327714 AOB327708:AOB327714 AXX327708:AXX327714 BHT327708:BHT327714 BRP327708:BRP327714 CBL327708:CBL327714 CLH327708:CLH327714 CVD327708:CVD327714 DEZ327708:DEZ327714 DOV327708:DOV327714 DYR327708:DYR327714 EIN327708:EIN327714 ESJ327708:ESJ327714 FCF327708:FCF327714 FMB327708:FMB327714 FVX327708:FVX327714 GFT327708:GFT327714 GPP327708:GPP327714 GZL327708:GZL327714 HJH327708:HJH327714 HTD327708:HTD327714 ICZ327708:ICZ327714 IMV327708:IMV327714 IWR327708:IWR327714 JGN327708:JGN327714 JQJ327708:JQJ327714 KAF327708:KAF327714 KKB327708:KKB327714 KTX327708:KTX327714 LDT327708:LDT327714 LNP327708:LNP327714 LXL327708:LXL327714 MHH327708:MHH327714 MRD327708:MRD327714 NAZ327708:NAZ327714 NKV327708:NKV327714 NUR327708:NUR327714 OEN327708:OEN327714 OOJ327708:OOJ327714 OYF327708:OYF327714 PIB327708:PIB327714 PRX327708:PRX327714 QBT327708:QBT327714 QLP327708:QLP327714 QVL327708:QVL327714 RFH327708:RFH327714 RPD327708:RPD327714 RYZ327708:RYZ327714 SIV327708:SIV327714 SSR327708:SSR327714 TCN327708:TCN327714 TMJ327708:TMJ327714 TWF327708:TWF327714 UGB327708:UGB327714 UPX327708:UPX327714 UZT327708:UZT327714 VJP327708:VJP327714 VTL327708:VTL327714 WDH327708:WDH327714 WND327708:WND327714 H393244:H393250 AR393244:AR393250 KN393244:KN393250 UJ393244:UJ393250 AEF393244:AEF393250 AOB393244:AOB393250 AXX393244:AXX393250 BHT393244:BHT393250 BRP393244:BRP393250 CBL393244:CBL393250 CLH393244:CLH393250 CVD393244:CVD393250 DEZ393244:DEZ393250 DOV393244:DOV393250 DYR393244:DYR393250 EIN393244:EIN393250 ESJ393244:ESJ393250 FCF393244:FCF393250 FMB393244:FMB393250 FVX393244:FVX393250 GFT393244:GFT393250 GPP393244:GPP393250 GZL393244:GZL393250 HJH393244:HJH393250 HTD393244:HTD393250 ICZ393244:ICZ393250 IMV393244:IMV393250 IWR393244:IWR393250 JGN393244:JGN393250 JQJ393244:JQJ393250 KAF393244:KAF393250 KKB393244:KKB393250 KTX393244:KTX393250 LDT393244:LDT393250 LNP393244:LNP393250 LXL393244:LXL393250 MHH393244:MHH393250 MRD393244:MRD393250 NAZ393244:NAZ393250 NKV393244:NKV393250 NUR393244:NUR393250 OEN393244:OEN393250 OOJ393244:OOJ393250 OYF393244:OYF393250 PIB393244:PIB393250 PRX393244:PRX393250 QBT393244:QBT393250 QLP393244:QLP393250 QVL393244:QVL393250 RFH393244:RFH393250 RPD393244:RPD393250 RYZ393244:RYZ393250 SIV393244:SIV393250 SSR393244:SSR393250 TCN393244:TCN393250 TMJ393244:TMJ393250 TWF393244:TWF393250 UGB393244:UGB393250 UPX393244:UPX393250 UZT393244:UZT393250 VJP393244:VJP393250 VTL393244:VTL393250 WDH393244:WDH393250 WND393244:WND393250 H458780:H458786 AR458780:AR458786 KN458780:KN458786 UJ458780:UJ458786 AEF458780:AEF458786 AOB458780:AOB458786 AXX458780:AXX458786 BHT458780:BHT458786 BRP458780:BRP458786 CBL458780:CBL458786 CLH458780:CLH458786 CVD458780:CVD458786 DEZ458780:DEZ458786 DOV458780:DOV458786 DYR458780:DYR458786 EIN458780:EIN458786 ESJ458780:ESJ458786 FCF458780:FCF458786 FMB458780:FMB458786 FVX458780:FVX458786 GFT458780:GFT458786 GPP458780:GPP458786 GZL458780:GZL458786 HJH458780:HJH458786 HTD458780:HTD458786 ICZ458780:ICZ458786 IMV458780:IMV458786 IWR458780:IWR458786 JGN458780:JGN458786 JQJ458780:JQJ458786 KAF458780:KAF458786 KKB458780:KKB458786 KTX458780:KTX458786 LDT458780:LDT458786 LNP458780:LNP458786 LXL458780:LXL458786 MHH458780:MHH458786 MRD458780:MRD458786 NAZ458780:NAZ458786 NKV458780:NKV458786 NUR458780:NUR458786 OEN458780:OEN458786 OOJ458780:OOJ458786 OYF458780:OYF458786 PIB458780:PIB458786 PRX458780:PRX458786 QBT458780:QBT458786 QLP458780:QLP458786 QVL458780:QVL458786 RFH458780:RFH458786 RPD458780:RPD458786 RYZ458780:RYZ458786 SIV458780:SIV458786 SSR458780:SSR458786 TCN458780:TCN458786 TMJ458780:TMJ458786 TWF458780:TWF458786 UGB458780:UGB458786 UPX458780:UPX458786 UZT458780:UZT458786 VJP458780:VJP458786 VTL458780:VTL458786 WDH458780:WDH458786 WND458780:WND458786 H524316:H524322 AR524316:AR524322 KN524316:KN524322 UJ524316:UJ524322 AEF524316:AEF524322 AOB524316:AOB524322 AXX524316:AXX524322 BHT524316:BHT524322 BRP524316:BRP524322 CBL524316:CBL524322 CLH524316:CLH524322 CVD524316:CVD524322 DEZ524316:DEZ524322 DOV524316:DOV524322 DYR524316:DYR524322 EIN524316:EIN524322 ESJ524316:ESJ524322 FCF524316:FCF524322 FMB524316:FMB524322 FVX524316:FVX524322 GFT524316:GFT524322 GPP524316:GPP524322 GZL524316:GZL524322 HJH524316:HJH524322 HTD524316:HTD524322 ICZ524316:ICZ524322 IMV524316:IMV524322 IWR524316:IWR524322 JGN524316:JGN524322 JQJ524316:JQJ524322 KAF524316:KAF524322 KKB524316:KKB524322 KTX524316:KTX524322 LDT524316:LDT524322 LNP524316:LNP524322 LXL524316:LXL524322 MHH524316:MHH524322 MRD524316:MRD524322 NAZ524316:NAZ524322 NKV524316:NKV524322 NUR524316:NUR524322 OEN524316:OEN524322 OOJ524316:OOJ524322 OYF524316:OYF524322 PIB524316:PIB524322 PRX524316:PRX524322 QBT524316:QBT524322 QLP524316:QLP524322 QVL524316:QVL524322 RFH524316:RFH524322 RPD524316:RPD524322 RYZ524316:RYZ524322 SIV524316:SIV524322 SSR524316:SSR524322 TCN524316:TCN524322 TMJ524316:TMJ524322 TWF524316:TWF524322 UGB524316:UGB524322 UPX524316:UPX524322 UZT524316:UZT524322 VJP524316:VJP524322 VTL524316:VTL524322 WDH524316:WDH524322 WND524316:WND524322 H589852:H589858 AR589852:AR589858 KN589852:KN589858 UJ589852:UJ589858 AEF589852:AEF589858 AOB589852:AOB589858 AXX589852:AXX589858 BHT589852:BHT589858 BRP589852:BRP589858 CBL589852:CBL589858 CLH589852:CLH589858 CVD589852:CVD589858 DEZ589852:DEZ589858 DOV589852:DOV589858 DYR589852:DYR589858 EIN589852:EIN589858 ESJ589852:ESJ589858 FCF589852:FCF589858 FMB589852:FMB589858 FVX589852:FVX589858 GFT589852:GFT589858 GPP589852:GPP589858 GZL589852:GZL589858 HJH589852:HJH589858 HTD589852:HTD589858 ICZ589852:ICZ589858 IMV589852:IMV589858 IWR589852:IWR589858 JGN589852:JGN589858 JQJ589852:JQJ589858 KAF589852:KAF589858 KKB589852:KKB589858 KTX589852:KTX589858 LDT589852:LDT589858 LNP589852:LNP589858 LXL589852:LXL589858 MHH589852:MHH589858 MRD589852:MRD589858 NAZ589852:NAZ589858 NKV589852:NKV589858 NUR589852:NUR589858 OEN589852:OEN589858 OOJ589852:OOJ589858 OYF589852:OYF589858 PIB589852:PIB589858 PRX589852:PRX589858 QBT589852:QBT589858 QLP589852:QLP589858 QVL589852:QVL589858 RFH589852:RFH589858 RPD589852:RPD589858 RYZ589852:RYZ589858 SIV589852:SIV589858 SSR589852:SSR589858 TCN589852:TCN589858 TMJ589852:TMJ589858 TWF589852:TWF589858 UGB589852:UGB589858 UPX589852:UPX589858 UZT589852:UZT589858 VJP589852:VJP589858 VTL589852:VTL589858 WDH589852:WDH589858 WND589852:WND589858 H655388:H655394 AR655388:AR655394 KN655388:KN655394 UJ655388:UJ655394 AEF655388:AEF655394 AOB655388:AOB655394 AXX655388:AXX655394 BHT655388:BHT655394 BRP655388:BRP655394 CBL655388:CBL655394 CLH655388:CLH655394 CVD655388:CVD655394 DEZ655388:DEZ655394 DOV655388:DOV655394 DYR655388:DYR655394 EIN655388:EIN655394 ESJ655388:ESJ655394 FCF655388:FCF655394 FMB655388:FMB655394 FVX655388:FVX655394 GFT655388:GFT655394 GPP655388:GPP655394 GZL655388:GZL655394 HJH655388:HJH655394 HTD655388:HTD655394 ICZ655388:ICZ655394 IMV655388:IMV655394 IWR655388:IWR655394 JGN655388:JGN655394 JQJ655388:JQJ655394 KAF655388:KAF655394 KKB655388:KKB655394 KTX655388:KTX655394 LDT655388:LDT655394 LNP655388:LNP655394 LXL655388:LXL655394 MHH655388:MHH655394 MRD655388:MRD655394 NAZ655388:NAZ655394 NKV655388:NKV655394 NUR655388:NUR655394 OEN655388:OEN655394 OOJ655388:OOJ655394 OYF655388:OYF655394 PIB655388:PIB655394 PRX655388:PRX655394 QBT655388:QBT655394 QLP655388:QLP655394 QVL655388:QVL655394 RFH655388:RFH655394 RPD655388:RPD655394 RYZ655388:RYZ655394 SIV655388:SIV655394 SSR655388:SSR655394 TCN655388:TCN655394 TMJ655388:TMJ655394 TWF655388:TWF655394 UGB655388:UGB655394 UPX655388:UPX655394 UZT655388:UZT655394 VJP655388:VJP655394 VTL655388:VTL655394 WDH655388:WDH655394 WND655388:WND655394 H720924:H720930 AR720924:AR720930 KN720924:KN720930 UJ720924:UJ720930 AEF720924:AEF720930 AOB720924:AOB720930 AXX720924:AXX720930 BHT720924:BHT720930 BRP720924:BRP720930 CBL720924:CBL720930 CLH720924:CLH720930 CVD720924:CVD720930 DEZ720924:DEZ720930 DOV720924:DOV720930 DYR720924:DYR720930 EIN720924:EIN720930 ESJ720924:ESJ720930 FCF720924:FCF720930 FMB720924:FMB720930 FVX720924:FVX720930 GFT720924:GFT720930 GPP720924:GPP720930 GZL720924:GZL720930 HJH720924:HJH720930 HTD720924:HTD720930 ICZ720924:ICZ720930 IMV720924:IMV720930 IWR720924:IWR720930 JGN720924:JGN720930 JQJ720924:JQJ720930 KAF720924:KAF720930 KKB720924:KKB720930 KTX720924:KTX720930 LDT720924:LDT720930 LNP720924:LNP720930 LXL720924:LXL720930 MHH720924:MHH720930 MRD720924:MRD720930 NAZ720924:NAZ720930 NKV720924:NKV720930 NUR720924:NUR720930 OEN720924:OEN720930 OOJ720924:OOJ720930 OYF720924:OYF720930 PIB720924:PIB720930 PRX720924:PRX720930 QBT720924:QBT720930 QLP720924:QLP720930 QVL720924:QVL720930 RFH720924:RFH720930 RPD720924:RPD720930 RYZ720924:RYZ720930 SIV720924:SIV720930 SSR720924:SSR720930 TCN720924:TCN720930 TMJ720924:TMJ720930 TWF720924:TWF720930 UGB720924:UGB720930 UPX720924:UPX720930 UZT720924:UZT720930 VJP720924:VJP720930 VTL720924:VTL720930 WDH720924:WDH720930 WND720924:WND720930 H786460:H786466 AR786460:AR786466 KN786460:KN786466 UJ786460:UJ786466 AEF786460:AEF786466 AOB786460:AOB786466 AXX786460:AXX786466 BHT786460:BHT786466 BRP786460:BRP786466 CBL786460:CBL786466 CLH786460:CLH786466 CVD786460:CVD786466 DEZ786460:DEZ786466 DOV786460:DOV786466 DYR786460:DYR786466 EIN786460:EIN786466 ESJ786460:ESJ786466 FCF786460:FCF786466 FMB786460:FMB786466 FVX786460:FVX786466 GFT786460:GFT786466 GPP786460:GPP786466 GZL786460:GZL786466 HJH786460:HJH786466 HTD786460:HTD786466 ICZ786460:ICZ786466 IMV786460:IMV786466 IWR786460:IWR786466 JGN786460:JGN786466 JQJ786460:JQJ786466 KAF786460:KAF786466 KKB786460:KKB786466 KTX786460:KTX786466 LDT786460:LDT786466 LNP786460:LNP786466 LXL786460:LXL786466 MHH786460:MHH786466 MRD786460:MRD786466 NAZ786460:NAZ786466 NKV786460:NKV786466 NUR786460:NUR786466 OEN786460:OEN786466 OOJ786460:OOJ786466 OYF786460:OYF786466 PIB786460:PIB786466 PRX786460:PRX786466 QBT786460:QBT786466 QLP786460:QLP786466 QVL786460:QVL786466 RFH786460:RFH786466 RPD786460:RPD786466 RYZ786460:RYZ786466 SIV786460:SIV786466 SSR786460:SSR786466 TCN786460:TCN786466 TMJ786460:TMJ786466 TWF786460:TWF786466 UGB786460:UGB786466 UPX786460:UPX786466 UZT786460:UZT786466 VJP786460:VJP786466 VTL786460:VTL786466 WDH786460:WDH786466 WND786460:WND786466 H851996:H852002 AR851996:AR852002 KN851996:KN852002 UJ851996:UJ852002 AEF851996:AEF852002 AOB851996:AOB852002 AXX851996:AXX852002 BHT851996:BHT852002 BRP851996:BRP852002 CBL851996:CBL852002 CLH851996:CLH852002 CVD851996:CVD852002 DEZ851996:DEZ852002 DOV851996:DOV852002 DYR851996:DYR852002 EIN851996:EIN852002 ESJ851996:ESJ852002 FCF851996:FCF852002 FMB851996:FMB852002 FVX851996:FVX852002 GFT851996:GFT852002 GPP851996:GPP852002 GZL851996:GZL852002 HJH851996:HJH852002 HTD851996:HTD852002 ICZ851996:ICZ852002 IMV851996:IMV852002 IWR851996:IWR852002 JGN851996:JGN852002 JQJ851996:JQJ852002 KAF851996:KAF852002 KKB851996:KKB852002 KTX851996:KTX852002 LDT851996:LDT852002 LNP851996:LNP852002 LXL851996:LXL852002 MHH851996:MHH852002 MRD851996:MRD852002 NAZ851996:NAZ852002 NKV851996:NKV852002 NUR851996:NUR852002 OEN851996:OEN852002 OOJ851996:OOJ852002 OYF851996:OYF852002 PIB851996:PIB852002 PRX851996:PRX852002 QBT851996:QBT852002 QLP851996:QLP852002 QVL851996:QVL852002 RFH851996:RFH852002 RPD851996:RPD852002 RYZ851996:RYZ852002 SIV851996:SIV852002 SSR851996:SSR852002 TCN851996:TCN852002 TMJ851996:TMJ852002 TWF851996:TWF852002 UGB851996:UGB852002 UPX851996:UPX852002 UZT851996:UZT852002 VJP851996:VJP852002 VTL851996:VTL852002 WDH851996:WDH852002 WND851996:WND852002 H917532:H917538 AR917532:AR917538 KN917532:KN917538 UJ917532:UJ917538 AEF917532:AEF917538 AOB917532:AOB917538 AXX917532:AXX917538 BHT917532:BHT917538 BRP917532:BRP917538 CBL917532:CBL917538 CLH917532:CLH917538 CVD917532:CVD917538 DEZ917532:DEZ917538 DOV917532:DOV917538 DYR917532:DYR917538 EIN917532:EIN917538 ESJ917532:ESJ917538 FCF917532:FCF917538 FMB917532:FMB917538 FVX917532:FVX917538 GFT917532:GFT917538 GPP917532:GPP917538 GZL917532:GZL917538 HJH917532:HJH917538 HTD917532:HTD917538 ICZ917532:ICZ917538 IMV917532:IMV917538 IWR917532:IWR917538 JGN917532:JGN917538 JQJ917532:JQJ917538 KAF917532:KAF917538 KKB917532:KKB917538 KTX917532:KTX917538 LDT917532:LDT917538 LNP917532:LNP917538 LXL917532:LXL917538 MHH917532:MHH917538 MRD917532:MRD917538 NAZ917532:NAZ917538 NKV917532:NKV917538 NUR917532:NUR917538 OEN917532:OEN917538 OOJ917532:OOJ917538 OYF917532:OYF917538 PIB917532:PIB917538 PRX917532:PRX917538 QBT917532:QBT917538 QLP917532:QLP917538 QVL917532:QVL917538 RFH917532:RFH917538 RPD917532:RPD917538 RYZ917532:RYZ917538 SIV917532:SIV917538 SSR917532:SSR917538 TCN917532:TCN917538 TMJ917532:TMJ917538 TWF917532:TWF917538 UGB917532:UGB917538 UPX917532:UPX917538 UZT917532:UZT917538 VJP917532:VJP917538 VTL917532:VTL917538 WDH917532:WDH917538 WND917532:WND917538 H983068:H983074 AR983068:AR983074 KN983068:KN983074 UJ983068:UJ983074 AEF983068:AEF983074 AOB983068:AOB983074 AXX983068:AXX983074 BHT983068:BHT983074 BRP983068:BRP983074 CBL983068:CBL983074 CLH983068:CLH983074 CVD983068:CVD983074 DEZ983068:DEZ983074 DOV983068:DOV983074 DYR983068:DYR983074 EIN983068:EIN983074 ESJ983068:ESJ983074 FCF983068:FCF983074 FMB983068:FMB983074 FVX983068:FVX983074 GFT983068:GFT983074 GPP983068:GPP983074 GZL983068:GZL983074 HJH983068:HJH983074 HTD983068:HTD983074 ICZ983068:ICZ983074 IMV983068:IMV983074 IWR983068:IWR983074 JGN983068:JGN983074 JQJ983068:JQJ983074 KAF983068:KAF983074 KKB983068:KKB983074 KTX983068:KTX983074 LDT983068:LDT983074 LNP983068:LNP983074 LXL983068:LXL983074 MHH983068:MHH983074 MRD983068:MRD983074 NAZ983068:NAZ983074 NKV983068:NKV983074 NUR983068:NUR983074 OEN983068:OEN983074 OOJ983068:OOJ983074 OYF983068:OYF983074 PIB983068:PIB983074 PRX983068:PRX983074 QBT983068:QBT983074 QLP983068:QLP983074 QVL983068:QVL983074 RFH983068:RFH983074 RPD983068:RPD983074 RYZ983068:RYZ983074 SIV983068:SIV983074 SSR983068:SSR983074 TCN983068:TCN983074 TMJ983068:TMJ983074 TWF983068:TWF983074 UGB983068:UGB983074 UPX983068:UPX983074 UZT983068:UZT983074 VJP983068:VJP983074 VTL983068:VTL983074">
      <formula1>0</formula1>
      <formula2>1</formula2>
    </dataValidation>
    <dataValidation type="decimal" allowBlank="1" showInputMessage="1" showErrorMessage="1" errorTitle="Error" error="The percentage of eligible primary pupils for this factor cannot be negative or higher than 100%. Please insert the correct figure or leave the cell blank to use an LA average." sqref="VTK983081:VTL983082 AQ68:AQ70 KM68:KM70 UI68:UI70 AEE68:AEE70 AOA68:AOA70 AXW68:AXW70 BHS68:BHS70 BRO68:BRO70 CBK68:CBK70 CLG68:CLG70 CVC68:CVC70 DEY68:DEY70 DOU68:DOU70 DYQ68:DYQ70 EIM68:EIM70 ESI68:ESI70 FCE68:FCE70 FMA68:FMA70 FVW68:FVW70 GFS68:GFS70 GPO68:GPO70 GZK68:GZK70 HJG68:HJG70 HTC68:HTC70 ICY68:ICY70 IMU68:IMU70 IWQ68:IWQ70 JGM68:JGM70 JQI68:JQI70 KAE68:KAE70 KKA68:KKA70 KTW68:KTW70 LDS68:LDS70 LNO68:LNO70 LXK68:LXK70 MHG68:MHG70 MRC68:MRC70 NAY68:NAY70 NKU68:NKU70 NUQ68:NUQ70 OEM68:OEM70 OOI68:OOI70 OYE68:OYE70 PIA68:PIA70 PRW68:PRW70 QBS68:QBS70 QLO68:QLO70 QVK68:QVK70 RFG68:RFG70 RPC68:RPC70 RYY68:RYY70 SIU68:SIU70 SSQ68:SSQ70 TCM68:TCM70 TMI68:TMI70 TWE68:TWE70 UGA68:UGA70 UPW68:UPW70 UZS68:UZS70 VJO68:VJO70 VTK68:VTK70 WDG68:WDG70 WNC68:WNC70 G65604:G65606 AQ65604:AQ65606 KM65604:KM65606 UI65604:UI65606 AEE65604:AEE65606 AOA65604:AOA65606 AXW65604:AXW65606 BHS65604:BHS65606 BRO65604:BRO65606 CBK65604:CBK65606 CLG65604:CLG65606 CVC65604:CVC65606 DEY65604:DEY65606 DOU65604:DOU65606 DYQ65604:DYQ65606 EIM65604:EIM65606 ESI65604:ESI65606 FCE65604:FCE65606 FMA65604:FMA65606 FVW65604:FVW65606 GFS65604:GFS65606 GPO65604:GPO65606 GZK65604:GZK65606 HJG65604:HJG65606 HTC65604:HTC65606 ICY65604:ICY65606 IMU65604:IMU65606 IWQ65604:IWQ65606 JGM65604:JGM65606 JQI65604:JQI65606 KAE65604:KAE65606 KKA65604:KKA65606 KTW65604:KTW65606 LDS65604:LDS65606 LNO65604:LNO65606 LXK65604:LXK65606 MHG65604:MHG65606 MRC65604:MRC65606 NAY65604:NAY65606 NKU65604:NKU65606 NUQ65604:NUQ65606 OEM65604:OEM65606 OOI65604:OOI65606 OYE65604:OYE65606 PIA65604:PIA65606 PRW65604:PRW65606 QBS65604:QBS65606 QLO65604:QLO65606 QVK65604:QVK65606 RFG65604:RFG65606 RPC65604:RPC65606 RYY65604:RYY65606 SIU65604:SIU65606 SSQ65604:SSQ65606 TCM65604:TCM65606 TMI65604:TMI65606 TWE65604:TWE65606 UGA65604:UGA65606 UPW65604:UPW65606 UZS65604:UZS65606 VJO65604:VJO65606 VTK65604:VTK65606 WDG65604:WDG65606 WNC65604:WNC65606 G131140:G131142 AQ131140:AQ131142 KM131140:KM131142 UI131140:UI131142 AEE131140:AEE131142 AOA131140:AOA131142 AXW131140:AXW131142 BHS131140:BHS131142 BRO131140:BRO131142 CBK131140:CBK131142 CLG131140:CLG131142 CVC131140:CVC131142 DEY131140:DEY131142 DOU131140:DOU131142 DYQ131140:DYQ131142 EIM131140:EIM131142 ESI131140:ESI131142 FCE131140:FCE131142 FMA131140:FMA131142 FVW131140:FVW131142 GFS131140:GFS131142 GPO131140:GPO131142 GZK131140:GZK131142 HJG131140:HJG131142 HTC131140:HTC131142 ICY131140:ICY131142 IMU131140:IMU131142 IWQ131140:IWQ131142 JGM131140:JGM131142 JQI131140:JQI131142 KAE131140:KAE131142 KKA131140:KKA131142 KTW131140:KTW131142 LDS131140:LDS131142 LNO131140:LNO131142 LXK131140:LXK131142 MHG131140:MHG131142 MRC131140:MRC131142 NAY131140:NAY131142 NKU131140:NKU131142 NUQ131140:NUQ131142 OEM131140:OEM131142 OOI131140:OOI131142 OYE131140:OYE131142 PIA131140:PIA131142 PRW131140:PRW131142 QBS131140:QBS131142 QLO131140:QLO131142 QVK131140:QVK131142 RFG131140:RFG131142 RPC131140:RPC131142 RYY131140:RYY131142 SIU131140:SIU131142 SSQ131140:SSQ131142 TCM131140:TCM131142 TMI131140:TMI131142 TWE131140:TWE131142 UGA131140:UGA131142 UPW131140:UPW131142 UZS131140:UZS131142 VJO131140:VJO131142 VTK131140:VTK131142 WDG131140:WDG131142 WNC131140:WNC131142 G196676:G196678 AQ196676:AQ196678 KM196676:KM196678 UI196676:UI196678 AEE196676:AEE196678 AOA196676:AOA196678 AXW196676:AXW196678 BHS196676:BHS196678 BRO196676:BRO196678 CBK196676:CBK196678 CLG196676:CLG196678 CVC196676:CVC196678 DEY196676:DEY196678 DOU196676:DOU196678 DYQ196676:DYQ196678 EIM196676:EIM196678 ESI196676:ESI196678 FCE196676:FCE196678 FMA196676:FMA196678 FVW196676:FVW196678 GFS196676:GFS196678 GPO196676:GPO196678 GZK196676:GZK196678 HJG196676:HJG196678 HTC196676:HTC196678 ICY196676:ICY196678 IMU196676:IMU196678 IWQ196676:IWQ196678 JGM196676:JGM196678 JQI196676:JQI196678 KAE196676:KAE196678 KKA196676:KKA196678 KTW196676:KTW196678 LDS196676:LDS196678 LNO196676:LNO196678 LXK196676:LXK196678 MHG196676:MHG196678 MRC196676:MRC196678 NAY196676:NAY196678 NKU196676:NKU196678 NUQ196676:NUQ196678 OEM196676:OEM196678 OOI196676:OOI196678 OYE196676:OYE196678 PIA196676:PIA196678 PRW196676:PRW196678 QBS196676:QBS196678 QLO196676:QLO196678 QVK196676:QVK196678 RFG196676:RFG196678 RPC196676:RPC196678 RYY196676:RYY196678 SIU196676:SIU196678 SSQ196676:SSQ196678 TCM196676:TCM196678 TMI196676:TMI196678 TWE196676:TWE196678 UGA196676:UGA196678 UPW196676:UPW196678 UZS196676:UZS196678 VJO196676:VJO196678 VTK196676:VTK196678 WDG196676:WDG196678 WNC196676:WNC196678 G262212:G262214 AQ262212:AQ262214 KM262212:KM262214 UI262212:UI262214 AEE262212:AEE262214 AOA262212:AOA262214 AXW262212:AXW262214 BHS262212:BHS262214 BRO262212:BRO262214 CBK262212:CBK262214 CLG262212:CLG262214 CVC262212:CVC262214 DEY262212:DEY262214 DOU262212:DOU262214 DYQ262212:DYQ262214 EIM262212:EIM262214 ESI262212:ESI262214 FCE262212:FCE262214 FMA262212:FMA262214 FVW262212:FVW262214 GFS262212:GFS262214 GPO262212:GPO262214 GZK262212:GZK262214 HJG262212:HJG262214 HTC262212:HTC262214 ICY262212:ICY262214 IMU262212:IMU262214 IWQ262212:IWQ262214 JGM262212:JGM262214 JQI262212:JQI262214 KAE262212:KAE262214 KKA262212:KKA262214 KTW262212:KTW262214 LDS262212:LDS262214 LNO262212:LNO262214 LXK262212:LXK262214 MHG262212:MHG262214 MRC262212:MRC262214 NAY262212:NAY262214 NKU262212:NKU262214 NUQ262212:NUQ262214 OEM262212:OEM262214 OOI262212:OOI262214 OYE262212:OYE262214 PIA262212:PIA262214 PRW262212:PRW262214 QBS262212:QBS262214 QLO262212:QLO262214 QVK262212:QVK262214 RFG262212:RFG262214 RPC262212:RPC262214 RYY262212:RYY262214 SIU262212:SIU262214 SSQ262212:SSQ262214 TCM262212:TCM262214 TMI262212:TMI262214 TWE262212:TWE262214 UGA262212:UGA262214 UPW262212:UPW262214 UZS262212:UZS262214 VJO262212:VJO262214 VTK262212:VTK262214 WDG262212:WDG262214 WNC262212:WNC262214 G327748:G327750 AQ327748:AQ327750 KM327748:KM327750 UI327748:UI327750 AEE327748:AEE327750 AOA327748:AOA327750 AXW327748:AXW327750 BHS327748:BHS327750 BRO327748:BRO327750 CBK327748:CBK327750 CLG327748:CLG327750 CVC327748:CVC327750 DEY327748:DEY327750 DOU327748:DOU327750 DYQ327748:DYQ327750 EIM327748:EIM327750 ESI327748:ESI327750 FCE327748:FCE327750 FMA327748:FMA327750 FVW327748:FVW327750 GFS327748:GFS327750 GPO327748:GPO327750 GZK327748:GZK327750 HJG327748:HJG327750 HTC327748:HTC327750 ICY327748:ICY327750 IMU327748:IMU327750 IWQ327748:IWQ327750 JGM327748:JGM327750 JQI327748:JQI327750 KAE327748:KAE327750 KKA327748:KKA327750 KTW327748:KTW327750 LDS327748:LDS327750 LNO327748:LNO327750 LXK327748:LXK327750 MHG327748:MHG327750 MRC327748:MRC327750 NAY327748:NAY327750 NKU327748:NKU327750 NUQ327748:NUQ327750 OEM327748:OEM327750 OOI327748:OOI327750 OYE327748:OYE327750 PIA327748:PIA327750 PRW327748:PRW327750 QBS327748:QBS327750 QLO327748:QLO327750 QVK327748:QVK327750 RFG327748:RFG327750 RPC327748:RPC327750 RYY327748:RYY327750 SIU327748:SIU327750 SSQ327748:SSQ327750 TCM327748:TCM327750 TMI327748:TMI327750 TWE327748:TWE327750 UGA327748:UGA327750 UPW327748:UPW327750 UZS327748:UZS327750 VJO327748:VJO327750 VTK327748:VTK327750 WDG327748:WDG327750 WNC327748:WNC327750 G393284:G393286 AQ393284:AQ393286 KM393284:KM393286 UI393284:UI393286 AEE393284:AEE393286 AOA393284:AOA393286 AXW393284:AXW393286 BHS393284:BHS393286 BRO393284:BRO393286 CBK393284:CBK393286 CLG393284:CLG393286 CVC393284:CVC393286 DEY393284:DEY393286 DOU393284:DOU393286 DYQ393284:DYQ393286 EIM393284:EIM393286 ESI393284:ESI393286 FCE393284:FCE393286 FMA393284:FMA393286 FVW393284:FVW393286 GFS393284:GFS393286 GPO393284:GPO393286 GZK393284:GZK393286 HJG393284:HJG393286 HTC393284:HTC393286 ICY393284:ICY393286 IMU393284:IMU393286 IWQ393284:IWQ393286 JGM393284:JGM393286 JQI393284:JQI393286 KAE393284:KAE393286 KKA393284:KKA393286 KTW393284:KTW393286 LDS393284:LDS393286 LNO393284:LNO393286 LXK393284:LXK393286 MHG393284:MHG393286 MRC393284:MRC393286 NAY393284:NAY393286 NKU393284:NKU393286 NUQ393284:NUQ393286 OEM393284:OEM393286 OOI393284:OOI393286 OYE393284:OYE393286 PIA393284:PIA393286 PRW393284:PRW393286 QBS393284:QBS393286 QLO393284:QLO393286 QVK393284:QVK393286 RFG393284:RFG393286 RPC393284:RPC393286 RYY393284:RYY393286 SIU393284:SIU393286 SSQ393284:SSQ393286 TCM393284:TCM393286 TMI393284:TMI393286 TWE393284:TWE393286 UGA393284:UGA393286 UPW393284:UPW393286 UZS393284:UZS393286 VJO393284:VJO393286 VTK393284:VTK393286 WDG393284:WDG393286 WNC393284:WNC393286 G458820:G458822 AQ458820:AQ458822 KM458820:KM458822 UI458820:UI458822 AEE458820:AEE458822 AOA458820:AOA458822 AXW458820:AXW458822 BHS458820:BHS458822 BRO458820:BRO458822 CBK458820:CBK458822 CLG458820:CLG458822 CVC458820:CVC458822 DEY458820:DEY458822 DOU458820:DOU458822 DYQ458820:DYQ458822 EIM458820:EIM458822 ESI458820:ESI458822 FCE458820:FCE458822 FMA458820:FMA458822 FVW458820:FVW458822 GFS458820:GFS458822 GPO458820:GPO458822 GZK458820:GZK458822 HJG458820:HJG458822 HTC458820:HTC458822 ICY458820:ICY458822 IMU458820:IMU458822 IWQ458820:IWQ458822 JGM458820:JGM458822 JQI458820:JQI458822 KAE458820:KAE458822 KKA458820:KKA458822 KTW458820:KTW458822 LDS458820:LDS458822 LNO458820:LNO458822 LXK458820:LXK458822 MHG458820:MHG458822 MRC458820:MRC458822 NAY458820:NAY458822 NKU458820:NKU458822 NUQ458820:NUQ458822 OEM458820:OEM458822 OOI458820:OOI458822 OYE458820:OYE458822 PIA458820:PIA458822 PRW458820:PRW458822 QBS458820:QBS458822 QLO458820:QLO458822 QVK458820:QVK458822 RFG458820:RFG458822 RPC458820:RPC458822 RYY458820:RYY458822 SIU458820:SIU458822 SSQ458820:SSQ458822 TCM458820:TCM458822 TMI458820:TMI458822 TWE458820:TWE458822 UGA458820:UGA458822 UPW458820:UPW458822 UZS458820:UZS458822 VJO458820:VJO458822 VTK458820:VTK458822 WDG458820:WDG458822 WNC458820:WNC458822 G524356:G524358 AQ524356:AQ524358 KM524356:KM524358 UI524356:UI524358 AEE524356:AEE524358 AOA524356:AOA524358 AXW524356:AXW524358 BHS524356:BHS524358 BRO524356:BRO524358 CBK524356:CBK524358 CLG524356:CLG524358 CVC524356:CVC524358 DEY524356:DEY524358 DOU524356:DOU524358 DYQ524356:DYQ524358 EIM524356:EIM524358 ESI524356:ESI524358 FCE524356:FCE524358 FMA524356:FMA524358 FVW524356:FVW524358 GFS524356:GFS524358 GPO524356:GPO524358 GZK524356:GZK524358 HJG524356:HJG524358 HTC524356:HTC524358 ICY524356:ICY524358 IMU524356:IMU524358 IWQ524356:IWQ524358 JGM524356:JGM524358 JQI524356:JQI524358 KAE524356:KAE524358 KKA524356:KKA524358 KTW524356:KTW524358 LDS524356:LDS524358 LNO524356:LNO524358 LXK524356:LXK524358 MHG524356:MHG524358 MRC524356:MRC524358 NAY524356:NAY524358 NKU524356:NKU524358 NUQ524356:NUQ524358 OEM524356:OEM524358 OOI524356:OOI524358 OYE524356:OYE524358 PIA524356:PIA524358 PRW524356:PRW524358 QBS524356:QBS524358 QLO524356:QLO524358 QVK524356:QVK524358 RFG524356:RFG524358 RPC524356:RPC524358 RYY524356:RYY524358 SIU524356:SIU524358 SSQ524356:SSQ524358 TCM524356:TCM524358 TMI524356:TMI524358 TWE524356:TWE524358 UGA524356:UGA524358 UPW524356:UPW524358 UZS524356:UZS524358 VJO524356:VJO524358 VTK524356:VTK524358 WDG524356:WDG524358 WNC524356:WNC524358 G589892:G589894 AQ589892:AQ589894 KM589892:KM589894 UI589892:UI589894 AEE589892:AEE589894 AOA589892:AOA589894 AXW589892:AXW589894 BHS589892:BHS589894 BRO589892:BRO589894 CBK589892:CBK589894 CLG589892:CLG589894 CVC589892:CVC589894 DEY589892:DEY589894 DOU589892:DOU589894 DYQ589892:DYQ589894 EIM589892:EIM589894 ESI589892:ESI589894 FCE589892:FCE589894 FMA589892:FMA589894 FVW589892:FVW589894 GFS589892:GFS589894 GPO589892:GPO589894 GZK589892:GZK589894 HJG589892:HJG589894 HTC589892:HTC589894 ICY589892:ICY589894 IMU589892:IMU589894 IWQ589892:IWQ589894 JGM589892:JGM589894 JQI589892:JQI589894 KAE589892:KAE589894 KKA589892:KKA589894 KTW589892:KTW589894 LDS589892:LDS589894 LNO589892:LNO589894 LXK589892:LXK589894 MHG589892:MHG589894 MRC589892:MRC589894 NAY589892:NAY589894 NKU589892:NKU589894 NUQ589892:NUQ589894 OEM589892:OEM589894 OOI589892:OOI589894 OYE589892:OYE589894 PIA589892:PIA589894 PRW589892:PRW589894 QBS589892:QBS589894 QLO589892:QLO589894 QVK589892:QVK589894 RFG589892:RFG589894 RPC589892:RPC589894 RYY589892:RYY589894 SIU589892:SIU589894 SSQ589892:SSQ589894 TCM589892:TCM589894 TMI589892:TMI589894 TWE589892:TWE589894 UGA589892:UGA589894 UPW589892:UPW589894 UZS589892:UZS589894 VJO589892:VJO589894 VTK589892:VTK589894 WDG589892:WDG589894 WNC589892:WNC589894 G655428:G655430 AQ655428:AQ655430 KM655428:KM655430 UI655428:UI655430 AEE655428:AEE655430 AOA655428:AOA655430 AXW655428:AXW655430 BHS655428:BHS655430 BRO655428:BRO655430 CBK655428:CBK655430 CLG655428:CLG655430 CVC655428:CVC655430 DEY655428:DEY655430 DOU655428:DOU655430 DYQ655428:DYQ655430 EIM655428:EIM655430 ESI655428:ESI655430 FCE655428:FCE655430 FMA655428:FMA655430 FVW655428:FVW655430 GFS655428:GFS655430 GPO655428:GPO655430 GZK655428:GZK655430 HJG655428:HJG655430 HTC655428:HTC655430 ICY655428:ICY655430 IMU655428:IMU655430 IWQ655428:IWQ655430 JGM655428:JGM655430 JQI655428:JQI655430 KAE655428:KAE655430 KKA655428:KKA655430 KTW655428:KTW655430 LDS655428:LDS655430 LNO655428:LNO655430 LXK655428:LXK655430 MHG655428:MHG655430 MRC655428:MRC655430 NAY655428:NAY655430 NKU655428:NKU655430 NUQ655428:NUQ655430 OEM655428:OEM655430 OOI655428:OOI655430 OYE655428:OYE655430 PIA655428:PIA655430 PRW655428:PRW655430 QBS655428:QBS655430 QLO655428:QLO655430 QVK655428:QVK655430 RFG655428:RFG655430 RPC655428:RPC655430 RYY655428:RYY655430 SIU655428:SIU655430 SSQ655428:SSQ655430 TCM655428:TCM655430 TMI655428:TMI655430 TWE655428:TWE655430 UGA655428:UGA655430 UPW655428:UPW655430 UZS655428:UZS655430 VJO655428:VJO655430 VTK655428:VTK655430 WDG655428:WDG655430 WNC655428:WNC655430 G720964:G720966 AQ720964:AQ720966 KM720964:KM720966 UI720964:UI720966 AEE720964:AEE720966 AOA720964:AOA720966 AXW720964:AXW720966 BHS720964:BHS720966 BRO720964:BRO720966 CBK720964:CBK720966 CLG720964:CLG720966 CVC720964:CVC720966 DEY720964:DEY720966 DOU720964:DOU720966 DYQ720964:DYQ720966 EIM720964:EIM720966 ESI720964:ESI720966 FCE720964:FCE720966 FMA720964:FMA720966 FVW720964:FVW720966 GFS720964:GFS720966 GPO720964:GPO720966 GZK720964:GZK720966 HJG720964:HJG720966 HTC720964:HTC720966 ICY720964:ICY720966 IMU720964:IMU720966 IWQ720964:IWQ720966 JGM720964:JGM720966 JQI720964:JQI720966 KAE720964:KAE720966 KKA720964:KKA720966 KTW720964:KTW720966 LDS720964:LDS720966 LNO720964:LNO720966 LXK720964:LXK720966 MHG720964:MHG720966 MRC720964:MRC720966 NAY720964:NAY720966 NKU720964:NKU720966 NUQ720964:NUQ720966 OEM720964:OEM720966 OOI720964:OOI720966 OYE720964:OYE720966 PIA720964:PIA720966 PRW720964:PRW720966 QBS720964:QBS720966 QLO720964:QLO720966 QVK720964:QVK720966 RFG720964:RFG720966 RPC720964:RPC720966 RYY720964:RYY720966 SIU720964:SIU720966 SSQ720964:SSQ720966 TCM720964:TCM720966 TMI720964:TMI720966 TWE720964:TWE720966 UGA720964:UGA720966 UPW720964:UPW720966 UZS720964:UZS720966 VJO720964:VJO720966 VTK720964:VTK720966 WDG720964:WDG720966 WNC720964:WNC720966 G786500:G786502 AQ786500:AQ786502 KM786500:KM786502 UI786500:UI786502 AEE786500:AEE786502 AOA786500:AOA786502 AXW786500:AXW786502 BHS786500:BHS786502 BRO786500:BRO786502 CBK786500:CBK786502 CLG786500:CLG786502 CVC786500:CVC786502 DEY786500:DEY786502 DOU786500:DOU786502 DYQ786500:DYQ786502 EIM786500:EIM786502 ESI786500:ESI786502 FCE786500:FCE786502 FMA786500:FMA786502 FVW786500:FVW786502 GFS786500:GFS786502 GPO786500:GPO786502 GZK786500:GZK786502 HJG786500:HJG786502 HTC786500:HTC786502 ICY786500:ICY786502 IMU786500:IMU786502 IWQ786500:IWQ786502 JGM786500:JGM786502 JQI786500:JQI786502 KAE786500:KAE786502 KKA786500:KKA786502 KTW786500:KTW786502 LDS786500:LDS786502 LNO786500:LNO786502 LXK786500:LXK786502 MHG786500:MHG786502 MRC786500:MRC786502 NAY786500:NAY786502 NKU786500:NKU786502 NUQ786500:NUQ786502 OEM786500:OEM786502 OOI786500:OOI786502 OYE786500:OYE786502 PIA786500:PIA786502 PRW786500:PRW786502 QBS786500:QBS786502 QLO786500:QLO786502 QVK786500:QVK786502 RFG786500:RFG786502 RPC786500:RPC786502 RYY786500:RYY786502 SIU786500:SIU786502 SSQ786500:SSQ786502 TCM786500:TCM786502 TMI786500:TMI786502 TWE786500:TWE786502 UGA786500:UGA786502 UPW786500:UPW786502 UZS786500:UZS786502 VJO786500:VJO786502 VTK786500:VTK786502 WDG786500:WDG786502 WNC786500:WNC786502 G852036:G852038 AQ852036:AQ852038 KM852036:KM852038 UI852036:UI852038 AEE852036:AEE852038 AOA852036:AOA852038 AXW852036:AXW852038 BHS852036:BHS852038 BRO852036:BRO852038 CBK852036:CBK852038 CLG852036:CLG852038 CVC852036:CVC852038 DEY852036:DEY852038 DOU852036:DOU852038 DYQ852036:DYQ852038 EIM852036:EIM852038 ESI852036:ESI852038 FCE852036:FCE852038 FMA852036:FMA852038 FVW852036:FVW852038 GFS852036:GFS852038 GPO852036:GPO852038 GZK852036:GZK852038 HJG852036:HJG852038 HTC852036:HTC852038 ICY852036:ICY852038 IMU852036:IMU852038 IWQ852036:IWQ852038 JGM852036:JGM852038 JQI852036:JQI852038 KAE852036:KAE852038 KKA852036:KKA852038 KTW852036:KTW852038 LDS852036:LDS852038 LNO852036:LNO852038 LXK852036:LXK852038 MHG852036:MHG852038 MRC852036:MRC852038 NAY852036:NAY852038 NKU852036:NKU852038 NUQ852036:NUQ852038 OEM852036:OEM852038 OOI852036:OOI852038 OYE852036:OYE852038 PIA852036:PIA852038 PRW852036:PRW852038 QBS852036:QBS852038 QLO852036:QLO852038 QVK852036:QVK852038 RFG852036:RFG852038 RPC852036:RPC852038 RYY852036:RYY852038 SIU852036:SIU852038 SSQ852036:SSQ852038 TCM852036:TCM852038 TMI852036:TMI852038 TWE852036:TWE852038 UGA852036:UGA852038 UPW852036:UPW852038 UZS852036:UZS852038 VJO852036:VJO852038 VTK852036:VTK852038 WDG852036:WDG852038 WNC852036:WNC852038 G917572:G917574 AQ917572:AQ917574 KM917572:KM917574 UI917572:UI917574 AEE917572:AEE917574 AOA917572:AOA917574 AXW917572:AXW917574 BHS917572:BHS917574 BRO917572:BRO917574 CBK917572:CBK917574 CLG917572:CLG917574 CVC917572:CVC917574 DEY917572:DEY917574 DOU917572:DOU917574 DYQ917572:DYQ917574 EIM917572:EIM917574 ESI917572:ESI917574 FCE917572:FCE917574 FMA917572:FMA917574 FVW917572:FVW917574 GFS917572:GFS917574 GPO917572:GPO917574 GZK917572:GZK917574 HJG917572:HJG917574 HTC917572:HTC917574 ICY917572:ICY917574 IMU917572:IMU917574 IWQ917572:IWQ917574 JGM917572:JGM917574 JQI917572:JQI917574 KAE917572:KAE917574 KKA917572:KKA917574 KTW917572:KTW917574 LDS917572:LDS917574 LNO917572:LNO917574 LXK917572:LXK917574 MHG917572:MHG917574 MRC917572:MRC917574 NAY917572:NAY917574 NKU917572:NKU917574 NUQ917572:NUQ917574 OEM917572:OEM917574 OOI917572:OOI917574 OYE917572:OYE917574 PIA917572:PIA917574 PRW917572:PRW917574 QBS917572:QBS917574 QLO917572:QLO917574 QVK917572:QVK917574 RFG917572:RFG917574 RPC917572:RPC917574 RYY917572:RYY917574 SIU917572:SIU917574 SSQ917572:SSQ917574 TCM917572:TCM917574 TMI917572:TMI917574 TWE917572:TWE917574 UGA917572:UGA917574 UPW917572:UPW917574 UZS917572:UZS917574 VJO917572:VJO917574 VTK917572:VTK917574 WDG917572:WDG917574 WNC917572:WNC917574 G983108:G983110 AQ983108:AQ983110 KM983108:KM983110 UI983108:UI983110 AEE983108:AEE983110 AOA983108:AOA983110 AXW983108:AXW983110 BHS983108:BHS983110 BRO983108:BRO983110 CBK983108:CBK983110 CLG983108:CLG983110 CVC983108:CVC983110 DEY983108:DEY983110 DOU983108:DOU983110 DYQ983108:DYQ983110 EIM983108:EIM983110 ESI983108:ESI983110 FCE983108:FCE983110 FMA983108:FMA983110 FVW983108:FVW983110 GFS983108:GFS983110 GPO983108:GPO983110 GZK983108:GZK983110 HJG983108:HJG983110 HTC983108:HTC983110 ICY983108:ICY983110 IMU983108:IMU983110 IWQ983108:IWQ983110 JGM983108:JGM983110 JQI983108:JQI983110 KAE983108:KAE983110 KKA983108:KKA983110 KTW983108:KTW983110 LDS983108:LDS983110 LNO983108:LNO983110 LXK983108:LXK983110 MHG983108:MHG983110 MRC983108:MRC983110 NAY983108:NAY983110 NKU983108:NKU983110 NUQ983108:NUQ983110 OEM983108:OEM983110 OOI983108:OOI983110 OYE983108:OYE983110 PIA983108:PIA983110 PRW983108:PRW983110 QBS983108:QBS983110 QLO983108:QLO983110 QVK983108:QVK983110 RFG983108:RFG983110 RPC983108:RPC983110 RYY983108:RYY983110 SIU983108:SIU983110 SSQ983108:SSQ983110 TCM983108:TCM983110 TMI983108:TMI983110 TWE983108:TWE983110 UGA983108:UGA983110 UPW983108:UPW983110 UZS983108:UZS983110 VJO983108:VJO983110 VTK983108:VTK983110 WDG983108:WDG983110 WNC983108:WNC983110 WNC983081:WND983082 AQ31:AQ36 KM31:KM36 UI31:UI36 AEE31:AEE36 AOA31:AOA36 AXW31:AXW36 BHS31:BHS36 BRO31:BRO36 CBK31:CBK36 CLG31:CLG36 CVC31:CVC36 DEY31:DEY36 DOU31:DOU36 DYQ31:DYQ36 EIM31:EIM36 ESI31:ESI36 FCE31:FCE36 FMA31:FMA36 FVW31:FVW36 GFS31:GFS36 GPO31:GPO36 GZK31:GZK36 HJG31:HJG36 HTC31:HTC36 ICY31:ICY36 IMU31:IMU36 IWQ31:IWQ36 JGM31:JGM36 JQI31:JQI36 KAE31:KAE36 KKA31:KKA36 KTW31:KTW36 LDS31:LDS36 LNO31:LNO36 LXK31:LXK36 MHG31:MHG36 MRC31:MRC36 NAY31:NAY36 NKU31:NKU36 NUQ31:NUQ36 OEM31:OEM36 OOI31:OOI36 OYE31:OYE36 PIA31:PIA36 PRW31:PRW36 QBS31:QBS36 QLO31:QLO36 QVK31:QVK36 RFG31:RFG36 RPC31:RPC36 RYY31:RYY36 SIU31:SIU36 SSQ31:SSQ36 TCM31:TCM36 TMI31:TMI36 TWE31:TWE36 UGA31:UGA36 UPW31:UPW36 UZS31:UZS36 VJO31:VJO36 VTK31:VTK36 WDG31:WDG36 WNC31:WNC36 G65565:G65570 AQ65565:AQ65570 KM65565:KM65570 UI65565:UI65570 AEE65565:AEE65570 AOA65565:AOA65570 AXW65565:AXW65570 BHS65565:BHS65570 BRO65565:BRO65570 CBK65565:CBK65570 CLG65565:CLG65570 CVC65565:CVC65570 DEY65565:DEY65570 DOU65565:DOU65570 DYQ65565:DYQ65570 EIM65565:EIM65570 ESI65565:ESI65570 FCE65565:FCE65570 FMA65565:FMA65570 FVW65565:FVW65570 GFS65565:GFS65570 GPO65565:GPO65570 GZK65565:GZK65570 HJG65565:HJG65570 HTC65565:HTC65570 ICY65565:ICY65570 IMU65565:IMU65570 IWQ65565:IWQ65570 JGM65565:JGM65570 JQI65565:JQI65570 KAE65565:KAE65570 KKA65565:KKA65570 KTW65565:KTW65570 LDS65565:LDS65570 LNO65565:LNO65570 LXK65565:LXK65570 MHG65565:MHG65570 MRC65565:MRC65570 NAY65565:NAY65570 NKU65565:NKU65570 NUQ65565:NUQ65570 OEM65565:OEM65570 OOI65565:OOI65570 OYE65565:OYE65570 PIA65565:PIA65570 PRW65565:PRW65570 QBS65565:QBS65570 QLO65565:QLO65570 QVK65565:QVK65570 RFG65565:RFG65570 RPC65565:RPC65570 RYY65565:RYY65570 SIU65565:SIU65570 SSQ65565:SSQ65570 TCM65565:TCM65570 TMI65565:TMI65570 TWE65565:TWE65570 UGA65565:UGA65570 UPW65565:UPW65570 UZS65565:UZS65570 VJO65565:VJO65570 VTK65565:VTK65570 WDG65565:WDG65570 WNC65565:WNC65570 G131101:G131106 AQ131101:AQ131106 KM131101:KM131106 UI131101:UI131106 AEE131101:AEE131106 AOA131101:AOA131106 AXW131101:AXW131106 BHS131101:BHS131106 BRO131101:BRO131106 CBK131101:CBK131106 CLG131101:CLG131106 CVC131101:CVC131106 DEY131101:DEY131106 DOU131101:DOU131106 DYQ131101:DYQ131106 EIM131101:EIM131106 ESI131101:ESI131106 FCE131101:FCE131106 FMA131101:FMA131106 FVW131101:FVW131106 GFS131101:GFS131106 GPO131101:GPO131106 GZK131101:GZK131106 HJG131101:HJG131106 HTC131101:HTC131106 ICY131101:ICY131106 IMU131101:IMU131106 IWQ131101:IWQ131106 JGM131101:JGM131106 JQI131101:JQI131106 KAE131101:KAE131106 KKA131101:KKA131106 KTW131101:KTW131106 LDS131101:LDS131106 LNO131101:LNO131106 LXK131101:LXK131106 MHG131101:MHG131106 MRC131101:MRC131106 NAY131101:NAY131106 NKU131101:NKU131106 NUQ131101:NUQ131106 OEM131101:OEM131106 OOI131101:OOI131106 OYE131101:OYE131106 PIA131101:PIA131106 PRW131101:PRW131106 QBS131101:QBS131106 QLO131101:QLO131106 QVK131101:QVK131106 RFG131101:RFG131106 RPC131101:RPC131106 RYY131101:RYY131106 SIU131101:SIU131106 SSQ131101:SSQ131106 TCM131101:TCM131106 TMI131101:TMI131106 TWE131101:TWE131106 UGA131101:UGA131106 UPW131101:UPW131106 UZS131101:UZS131106 VJO131101:VJO131106 VTK131101:VTK131106 WDG131101:WDG131106 WNC131101:WNC131106 G196637:G196642 AQ196637:AQ196642 KM196637:KM196642 UI196637:UI196642 AEE196637:AEE196642 AOA196637:AOA196642 AXW196637:AXW196642 BHS196637:BHS196642 BRO196637:BRO196642 CBK196637:CBK196642 CLG196637:CLG196642 CVC196637:CVC196642 DEY196637:DEY196642 DOU196637:DOU196642 DYQ196637:DYQ196642 EIM196637:EIM196642 ESI196637:ESI196642 FCE196637:FCE196642 FMA196637:FMA196642 FVW196637:FVW196642 GFS196637:GFS196642 GPO196637:GPO196642 GZK196637:GZK196642 HJG196637:HJG196642 HTC196637:HTC196642 ICY196637:ICY196642 IMU196637:IMU196642 IWQ196637:IWQ196642 JGM196637:JGM196642 JQI196637:JQI196642 KAE196637:KAE196642 KKA196637:KKA196642 KTW196637:KTW196642 LDS196637:LDS196642 LNO196637:LNO196642 LXK196637:LXK196642 MHG196637:MHG196642 MRC196637:MRC196642 NAY196637:NAY196642 NKU196637:NKU196642 NUQ196637:NUQ196642 OEM196637:OEM196642 OOI196637:OOI196642 OYE196637:OYE196642 PIA196637:PIA196642 PRW196637:PRW196642 QBS196637:QBS196642 QLO196637:QLO196642 QVK196637:QVK196642 RFG196637:RFG196642 RPC196637:RPC196642 RYY196637:RYY196642 SIU196637:SIU196642 SSQ196637:SSQ196642 TCM196637:TCM196642 TMI196637:TMI196642 TWE196637:TWE196642 UGA196637:UGA196642 UPW196637:UPW196642 UZS196637:UZS196642 VJO196637:VJO196642 VTK196637:VTK196642 WDG196637:WDG196642 WNC196637:WNC196642 G262173:G262178 AQ262173:AQ262178 KM262173:KM262178 UI262173:UI262178 AEE262173:AEE262178 AOA262173:AOA262178 AXW262173:AXW262178 BHS262173:BHS262178 BRO262173:BRO262178 CBK262173:CBK262178 CLG262173:CLG262178 CVC262173:CVC262178 DEY262173:DEY262178 DOU262173:DOU262178 DYQ262173:DYQ262178 EIM262173:EIM262178 ESI262173:ESI262178 FCE262173:FCE262178 FMA262173:FMA262178 FVW262173:FVW262178 GFS262173:GFS262178 GPO262173:GPO262178 GZK262173:GZK262178 HJG262173:HJG262178 HTC262173:HTC262178 ICY262173:ICY262178 IMU262173:IMU262178 IWQ262173:IWQ262178 JGM262173:JGM262178 JQI262173:JQI262178 KAE262173:KAE262178 KKA262173:KKA262178 KTW262173:KTW262178 LDS262173:LDS262178 LNO262173:LNO262178 LXK262173:LXK262178 MHG262173:MHG262178 MRC262173:MRC262178 NAY262173:NAY262178 NKU262173:NKU262178 NUQ262173:NUQ262178 OEM262173:OEM262178 OOI262173:OOI262178 OYE262173:OYE262178 PIA262173:PIA262178 PRW262173:PRW262178 QBS262173:QBS262178 QLO262173:QLO262178 QVK262173:QVK262178 RFG262173:RFG262178 RPC262173:RPC262178 RYY262173:RYY262178 SIU262173:SIU262178 SSQ262173:SSQ262178 TCM262173:TCM262178 TMI262173:TMI262178 TWE262173:TWE262178 UGA262173:UGA262178 UPW262173:UPW262178 UZS262173:UZS262178 VJO262173:VJO262178 VTK262173:VTK262178 WDG262173:WDG262178 WNC262173:WNC262178 G327709:G327714 AQ327709:AQ327714 KM327709:KM327714 UI327709:UI327714 AEE327709:AEE327714 AOA327709:AOA327714 AXW327709:AXW327714 BHS327709:BHS327714 BRO327709:BRO327714 CBK327709:CBK327714 CLG327709:CLG327714 CVC327709:CVC327714 DEY327709:DEY327714 DOU327709:DOU327714 DYQ327709:DYQ327714 EIM327709:EIM327714 ESI327709:ESI327714 FCE327709:FCE327714 FMA327709:FMA327714 FVW327709:FVW327714 GFS327709:GFS327714 GPO327709:GPO327714 GZK327709:GZK327714 HJG327709:HJG327714 HTC327709:HTC327714 ICY327709:ICY327714 IMU327709:IMU327714 IWQ327709:IWQ327714 JGM327709:JGM327714 JQI327709:JQI327714 KAE327709:KAE327714 KKA327709:KKA327714 KTW327709:KTW327714 LDS327709:LDS327714 LNO327709:LNO327714 LXK327709:LXK327714 MHG327709:MHG327714 MRC327709:MRC327714 NAY327709:NAY327714 NKU327709:NKU327714 NUQ327709:NUQ327714 OEM327709:OEM327714 OOI327709:OOI327714 OYE327709:OYE327714 PIA327709:PIA327714 PRW327709:PRW327714 QBS327709:QBS327714 QLO327709:QLO327714 QVK327709:QVK327714 RFG327709:RFG327714 RPC327709:RPC327714 RYY327709:RYY327714 SIU327709:SIU327714 SSQ327709:SSQ327714 TCM327709:TCM327714 TMI327709:TMI327714 TWE327709:TWE327714 UGA327709:UGA327714 UPW327709:UPW327714 UZS327709:UZS327714 VJO327709:VJO327714 VTK327709:VTK327714 WDG327709:WDG327714 WNC327709:WNC327714 G393245:G393250 AQ393245:AQ393250 KM393245:KM393250 UI393245:UI393250 AEE393245:AEE393250 AOA393245:AOA393250 AXW393245:AXW393250 BHS393245:BHS393250 BRO393245:BRO393250 CBK393245:CBK393250 CLG393245:CLG393250 CVC393245:CVC393250 DEY393245:DEY393250 DOU393245:DOU393250 DYQ393245:DYQ393250 EIM393245:EIM393250 ESI393245:ESI393250 FCE393245:FCE393250 FMA393245:FMA393250 FVW393245:FVW393250 GFS393245:GFS393250 GPO393245:GPO393250 GZK393245:GZK393250 HJG393245:HJG393250 HTC393245:HTC393250 ICY393245:ICY393250 IMU393245:IMU393250 IWQ393245:IWQ393250 JGM393245:JGM393250 JQI393245:JQI393250 KAE393245:KAE393250 KKA393245:KKA393250 KTW393245:KTW393250 LDS393245:LDS393250 LNO393245:LNO393250 LXK393245:LXK393250 MHG393245:MHG393250 MRC393245:MRC393250 NAY393245:NAY393250 NKU393245:NKU393250 NUQ393245:NUQ393250 OEM393245:OEM393250 OOI393245:OOI393250 OYE393245:OYE393250 PIA393245:PIA393250 PRW393245:PRW393250 QBS393245:QBS393250 QLO393245:QLO393250 QVK393245:QVK393250 RFG393245:RFG393250 RPC393245:RPC393250 RYY393245:RYY393250 SIU393245:SIU393250 SSQ393245:SSQ393250 TCM393245:TCM393250 TMI393245:TMI393250 TWE393245:TWE393250 UGA393245:UGA393250 UPW393245:UPW393250 UZS393245:UZS393250 VJO393245:VJO393250 VTK393245:VTK393250 WDG393245:WDG393250 WNC393245:WNC393250 G458781:G458786 AQ458781:AQ458786 KM458781:KM458786 UI458781:UI458786 AEE458781:AEE458786 AOA458781:AOA458786 AXW458781:AXW458786 BHS458781:BHS458786 BRO458781:BRO458786 CBK458781:CBK458786 CLG458781:CLG458786 CVC458781:CVC458786 DEY458781:DEY458786 DOU458781:DOU458786 DYQ458781:DYQ458786 EIM458781:EIM458786 ESI458781:ESI458786 FCE458781:FCE458786 FMA458781:FMA458786 FVW458781:FVW458786 GFS458781:GFS458786 GPO458781:GPO458786 GZK458781:GZK458786 HJG458781:HJG458786 HTC458781:HTC458786 ICY458781:ICY458786 IMU458781:IMU458786 IWQ458781:IWQ458786 JGM458781:JGM458786 JQI458781:JQI458786 KAE458781:KAE458786 KKA458781:KKA458786 KTW458781:KTW458786 LDS458781:LDS458786 LNO458781:LNO458786 LXK458781:LXK458786 MHG458781:MHG458786 MRC458781:MRC458786 NAY458781:NAY458786 NKU458781:NKU458786 NUQ458781:NUQ458786 OEM458781:OEM458786 OOI458781:OOI458786 OYE458781:OYE458786 PIA458781:PIA458786 PRW458781:PRW458786 QBS458781:QBS458786 QLO458781:QLO458786 QVK458781:QVK458786 RFG458781:RFG458786 RPC458781:RPC458786 RYY458781:RYY458786 SIU458781:SIU458786 SSQ458781:SSQ458786 TCM458781:TCM458786 TMI458781:TMI458786 TWE458781:TWE458786 UGA458781:UGA458786 UPW458781:UPW458786 UZS458781:UZS458786 VJO458781:VJO458786 VTK458781:VTK458786 WDG458781:WDG458786 WNC458781:WNC458786 G524317:G524322 AQ524317:AQ524322 KM524317:KM524322 UI524317:UI524322 AEE524317:AEE524322 AOA524317:AOA524322 AXW524317:AXW524322 BHS524317:BHS524322 BRO524317:BRO524322 CBK524317:CBK524322 CLG524317:CLG524322 CVC524317:CVC524322 DEY524317:DEY524322 DOU524317:DOU524322 DYQ524317:DYQ524322 EIM524317:EIM524322 ESI524317:ESI524322 FCE524317:FCE524322 FMA524317:FMA524322 FVW524317:FVW524322 GFS524317:GFS524322 GPO524317:GPO524322 GZK524317:GZK524322 HJG524317:HJG524322 HTC524317:HTC524322 ICY524317:ICY524322 IMU524317:IMU524322 IWQ524317:IWQ524322 JGM524317:JGM524322 JQI524317:JQI524322 KAE524317:KAE524322 KKA524317:KKA524322 KTW524317:KTW524322 LDS524317:LDS524322 LNO524317:LNO524322 LXK524317:LXK524322 MHG524317:MHG524322 MRC524317:MRC524322 NAY524317:NAY524322 NKU524317:NKU524322 NUQ524317:NUQ524322 OEM524317:OEM524322 OOI524317:OOI524322 OYE524317:OYE524322 PIA524317:PIA524322 PRW524317:PRW524322 QBS524317:QBS524322 QLO524317:QLO524322 QVK524317:QVK524322 RFG524317:RFG524322 RPC524317:RPC524322 RYY524317:RYY524322 SIU524317:SIU524322 SSQ524317:SSQ524322 TCM524317:TCM524322 TMI524317:TMI524322 TWE524317:TWE524322 UGA524317:UGA524322 UPW524317:UPW524322 UZS524317:UZS524322 VJO524317:VJO524322 VTK524317:VTK524322 WDG524317:WDG524322 WNC524317:WNC524322 G589853:G589858 AQ589853:AQ589858 KM589853:KM589858 UI589853:UI589858 AEE589853:AEE589858 AOA589853:AOA589858 AXW589853:AXW589858 BHS589853:BHS589858 BRO589853:BRO589858 CBK589853:CBK589858 CLG589853:CLG589858 CVC589853:CVC589858 DEY589853:DEY589858 DOU589853:DOU589858 DYQ589853:DYQ589858 EIM589853:EIM589858 ESI589853:ESI589858 FCE589853:FCE589858 FMA589853:FMA589858 FVW589853:FVW589858 GFS589853:GFS589858 GPO589853:GPO589858 GZK589853:GZK589858 HJG589853:HJG589858 HTC589853:HTC589858 ICY589853:ICY589858 IMU589853:IMU589858 IWQ589853:IWQ589858 JGM589853:JGM589858 JQI589853:JQI589858 KAE589853:KAE589858 KKA589853:KKA589858 KTW589853:KTW589858 LDS589853:LDS589858 LNO589853:LNO589858 LXK589853:LXK589858 MHG589853:MHG589858 MRC589853:MRC589858 NAY589853:NAY589858 NKU589853:NKU589858 NUQ589853:NUQ589858 OEM589853:OEM589858 OOI589853:OOI589858 OYE589853:OYE589858 PIA589853:PIA589858 PRW589853:PRW589858 QBS589853:QBS589858 QLO589853:QLO589858 QVK589853:QVK589858 RFG589853:RFG589858 RPC589853:RPC589858 RYY589853:RYY589858 SIU589853:SIU589858 SSQ589853:SSQ589858 TCM589853:TCM589858 TMI589853:TMI589858 TWE589853:TWE589858 UGA589853:UGA589858 UPW589853:UPW589858 UZS589853:UZS589858 VJO589853:VJO589858 VTK589853:VTK589858 WDG589853:WDG589858 WNC589853:WNC589858 G655389:G655394 AQ655389:AQ655394 KM655389:KM655394 UI655389:UI655394 AEE655389:AEE655394 AOA655389:AOA655394 AXW655389:AXW655394 BHS655389:BHS655394 BRO655389:BRO655394 CBK655389:CBK655394 CLG655389:CLG655394 CVC655389:CVC655394 DEY655389:DEY655394 DOU655389:DOU655394 DYQ655389:DYQ655394 EIM655389:EIM655394 ESI655389:ESI655394 FCE655389:FCE655394 FMA655389:FMA655394 FVW655389:FVW655394 GFS655389:GFS655394 GPO655389:GPO655394 GZK655389:GZK655394 HJG655389:HJG655394 HTC655389:HTC655394 ICY655389:ICY655394 IMU655389:IMU655394 IWQ655389:IWQ655394 JGM655389:JGM655394 JQI655389:JQI655394 KAE655389:KAE655394 KKA655389:KKA655394 KTW655389:KTW655394 LDS655389:LDS655394 LNO655389:LNO655394 LXK655389:LXK655394 MHG655389:MHG655394 MRC655389:MRC655394 NAY655389:NAY655394 NKU655389:NKU655394 NUQ655389:NUQ655394 OEM655389:OEM655394 OOI655389:OOI655394 OYE655389:OYE655394 PIA655389:PIA655394 PRW655389:PRW655394 QBS655389:QBS655394 QLO655389:QLO655394 QVK655389:QVK655394 RFG655389:RFG655394 RPC655389:RPC655394 RYY655389:RYY655394 SIU655389:SIU655394 SSQ655389:SSQ655394 TCM655389:TCM655394 TMI655389:TMI655394 TWE655389:TWE655394 UGA655389:UGA655394 UPW655389:UPW655394 UZS655389:UZS655394 VJO655389:VJO655394 VTK655389:VTK655394 WDG655389:WDG655394 WNC655389:WNC655394 G720925:G720930 AQ720925:AQ720930 KM720925:KM720930 UI720925:UI720930 AEE720925:AEE720930 AOA720925:AOA720930 AXW720925:AXW720930 BHS720925:BHS720930 BRO720925:BRO720930 CBK720925:CBK720930 CLG720925:CLG720930 CVC720925:CVC720930 DEY720925:DEY720930 DOU720925:DOU720930 DYQ720925:DYQ720930 EIM720925:EIM720930 ESI720925:ESI720930 FCE720925:FCE720930 FMA720925:FMA720930 FVW720925:FVW720930 GFS720925:GFS720930 GPO720925:GPO720930 GZK720925:GZK720930 HJG720925:HJG720930 HTC720925:HTC720930 ICY720925:ICY720930 IMU720925:IMU720930 IWQ720925:IWQ720930 JGM720925:JGM720930 JQI720925:JQI720930 KAE720925:KAE720930 KKA720925:KKA720930 KTW720925:KTW720930 LDS720925:LDS720930 LNO720925:LNO720930 LXK720925:LXK720930 MHG720925:MHG720930 MRC720925:MRC720930 NAY720925:NAY720930 NKU720925:NKU720930 NUQ720925:NUQ720930 OEM720925:OEM720930 OOI720925:OOI720930 OYE720925:OYE720930 PIA720925:PIA720930 PRW720925:PRW720930 QBS720925:QBS720930 QLO720925:QLO720930 QVK720925:QVK720930 RFG720925:RFG720930 RPC720925:RPC720930 RYY720925:RYY720930 SIU720925:SIU720930 SSQ720925:SSQ720930 TCM720925:TCM720930 TMI720925:TMI720930 TWE720925:TWE720930 UGA720925:UGA720930 UPW720925:UPW720930 UZS720925:UZS720930 VJO720925:VJO720930 VTK720925:VTK720930 WDG720925:WDG720930 WNC720925:WNC720930 G786461:G786466 AQ786461:AQ786466 KM786461:KM786466 UI786461:UI786466 AEE786461:AEE786466 AOA786461:AOA786466 AXW786461:AXW786466 BHS786461:BHS786466 BRO786461:BRO786466 CBK786461:CBK786466 CLG786461:CLG786466 CVC786461:CVC786466 DEY786461:DEY786466 DOU786461:DOU786466 DYQ786461:DYQ786466 EIM786461:EIM786466 ESI786461:ESI786466 FCE786461:FCE786466 FMA786461:FMA786466 FVW786461:FVW786466 GFS786461:GFS786466 GPO786461:GPO786466 GZK786461:GZK786466 HJG786461:HJG786466 HTC786461:HTC786466 ICY786461:ICY786466 IMU786461:IMU786466 IWQ786461:IWQ786466 JGM786461:JGM786466 JQI786461:JQI786466 KAE786461:KAE786466 KKA786461:KKA786466 KTW786461:KTW786466 LDS786461:LDS786466 LNO786461:LNO786466 LXK786461:LXK786466 MHG786461:MHG786466 MRC786461:MRC786466 NAY786461:NAY786466 NKU786461:NKU786466 NUQ786461:NUQ786466 OEM786461:OEM786466 OOI786461:OOI786466 OYE786461:OYE786466 PIA786461:PIA786466 PRW786461:PRW786466 QBS786461:QBS786466 QLO786461:QLO786466 QVK786461:QVK786466 RFG786461:RFG786466 RPC786461:RPC786466 RYY786461:RYY786466 SIU786461:SIU786466 SSQ786461:SSQ786466 TCM786461:TCM786466 TMI786461:TMI786466 TWE786461:TWE786466 UGA786461:UGA786466 UPW786461:UPW786466 UZS786461:UZS786466 VJO786461:VJO786466 VTK786461:VTK786466 WDG786461:WDG786466 WNC786461:WNC786466 G851997:G852002 AQ851997:AQ852002 KM851997:KM852002 UI851997:UI852002 AEE851997:AEE852002 AOA851997:AOA852002 AXW851997:AXW852002 BHS851997:BHS852002 BRO851997:BRO852002 CBK851997:CBK852002 CLG851997:CLG852002 CVC851997:CVC852002 DEY851997:DEY852002 DOU851997:DOU852002 DYQ851997:DYQ852002 EIM851997:EIM852002 ESI851997:ESI852002 FCE851997:FCE852002 FMA851997:FMA852002 FVW851997:FVW852002 GFS851997:GFS852002 GPO851997:GPO852002 GZK851997:GZK852002 HJG851997:HJG852002 HTC851997:HTC852002 ICY851997:ICY852002 IMU851997:IMU852002 IWQ851997:IWQ852002 JGM851997:JGM852002 JQI851997:JQI852002 KAE851997:KAE852002 KKA851997:KKA852002 KTW851997:KTW852002 LDS851997:LDS852002 LNO851997:LNO852002 LXK851997:LXK852002 MHG851997:MHG852002 MRC851997:MRC852002 NAY851997:NAY852002 NKU851997:NKU852002 NUQ851997:NUQ852002 OEM851997:OEM852002 OOI851997:OOI852002 OYE851997:OYE852002 PIA851997:PIA852002 PRW851997:PRW852002 QBS851997:QBS852002 QLO851997:QLO852002 QVK851997:QVK852002 RFG851997:RFG852002 RPC851997:RPC852002 RYY851997:RYY852002 SIU851997:SIU852002 SSQ851997:SSQ852002 TCM851997:TCM852002 TMI851997:TMI852002 TWE851997:TWE852002 UGA851997:UGA852002 UPW851997:UPW852002 UZS851997:UZS852002 VJO851997:VJO852002 VTK851997:VTK852002 WDG851997:WDG852002 WNC851997:WNC852002 G917533:G917538 AQ917533:AQ917538 KM917533:KM917538 UI917533:UI917538 AEE917533:AEE917538 AOA917533:AOA917538 AXW917533:AXW917538 BHS917533:BHS917538 BRO917533:BRO917538 CBK917533:CBK917538 CLG917533:CLG917538 CVC917533:CVC917538 DEY917533:DEY917538 DOU917533:DOU917538 DYQ917533:DYQ917538 EIM917533:EIM917538 ESI917533:ESI917538 FCE917533:FCE917538 FMA917533:FMA917538 FVW917533:FVW917538 GFS917533:GFS917538 GPO917533:GPO917538 GZK917533:GZK917538 HJG917533:HJG917538 HTC917533:HTC917538 ICY917533:ICY917538 IMU917533:IMU917538 IWQ917533:IWQ917538 JGM917533:JGM917538 JQI917533:JQI917538 KAE917533:KAE917538 KKA917533:KKA917538 KTW917533:KTW917538 LDS917533:LDS917538 LNO917533:LNO917538 LXK917533:LXK917538 MHG917533:MHG917538 MRC917533:MRC917538 NAY917533:NAY917538 NKU917533:NKU917538 NUQ917533:NUQ917538 OEM917533:OEM917538 OOI917533:OOI917538 OYE917533:OYE917538 PIA917533:PIA917538 PRW917533:PRW917538 QBS917533:QBS917538 QLO917533:QLO917538 QVK917533:QVK917538 RFG917533:RFG917538 RPC917533:RPC917538 RYY917533:RYY917538 SIU917533:SIU917538 SSQ917533:SSQ917538 TCM917533:TCM917538 TMI917533:TMI917538 TWE917533:TWE917538 UGA917533:UGA917538 UPW917533:UPW917538 UZS917533:UZS917538 VJO917533:VJO917538 VTK917533:VTK917538 WDG917533:WDG917538 WNC917533:WNC917538 G983069:G983074 AQ983069:AQ983074 KM983069:KM983074 UI983069:UI983074 AEE983069:AEE983074 AOA983069:AOA983074 AXW983069:AXW983074 BHS983069:BHS983074 BRO983069:BRO983074 CBK983069:CBK983074 CLG983069:CLG983074 CVC983069:CVC983074 DEY983069:DEY983074 DOU983069:DOU983074 DYQ983069:DYQ983074 EIM983069:EIM983074 ESI983069:ESI983074 FCE983069:FCE983074 FMA983069:FMA983074 FVW983069:FVW983074 GFS983069:GFS983074 GPO983069:GPO983074 GZK983069:GZK983074 HJG983069:HJG983074 HTC983069:HTC983074 ICY983069:ICY983074 IMU983069:IMU983074 IWQ983069:IWQ983074 JGM983069:JGM983074 JQI983069:JQI983074 KAE983069:KAE983074 KKA983069:KKA983074 KTW983069:KTW983074 LDS983069:LDS983074 LNO983069:LNO983074 LXK983069:LXK983074 MHG983069:MHG983074 MRC983069:MRC983074 NAY983069:NAY983074 NKU983069:NKU983074 NUQ983069:NUQ983074 OEM983069:OEM983074 OOI983069:OOI983074 OYE983069:OYE983074 PIA983069:PIA983074 PRW983069:PRW983074 QBS983069:QBS983074 QLO983069:QLO983074 QVK983069:QVK983074 RFG983069:RFG983074 RPC983069:RPC983074 RYY983069:RYY983074 SIU983069:SIU983074 SSQ983069:SSQ983074 TCM983069:TCM983074 TMI983069:TMI983074 TWE983069:TWE983074 UGA983069:UGA983074 UPW983069:UPW983074 UZS983069:UZS983074 VJO983069:VJO983074 VTK983069:VTK983074 WDG983069:WDG983074 WNC983069:WNC983074 WDG983081:WDH983082 AQ43:AR44 KM43:KN44 UI43:UJ44 AEE43:AEF44 AOA43:AOB44 AXW43:AXX44 BHS43:BHT44 BRO43:BRP44 CBK43:CBL44 CLG43:CLH44 CVC43:CVD44 DEY43:DEZ44 DOU43:DOV44 DYQ43:DYR44 EIM43:EIN44 ESI43:ESJ44 FCE43:FCF44 FMA43:FMB44 FVW43:FVX44 GFS43:GFT44 GPO43:GPP44 GZK43:GZL44 HJG43:HJH44 HTC43:HTD44 ICY43:ICZ44 IMU43:IMV44 IWQ43:IWR44 JGM43:JGN44 JQI43:JQJ44 KAE43:KAF44 KKA43:KKB44 KTW43:KTX44 LDS43:LDT44 LNO43:LNP44 LXK43:LXL44 MHG43:MHH44 MRC43:MRD44 NAY43:NAZ44 NKU43:NKV44 NUQ43:NUR44 OEM43:OEN44 OOI43:OOJ44 OYE43:OYF44 PIA43:PIB44 PRW43:PRX44 QBS43:QBT44 QLO43:QLP44 QVK43:QVL44 RFG43:RFH44 RPC43:RPD44 RYY43:RYZ44 SIU43:SIV44 SSQ43:SSR44 TCM43:TCN44 TMI43:TMJ44 TWE43:TWF44 UGA43:UGB44 UPW43:UPX44 UZS43:UZT44 VJO43:VJP44 VTK43:VTL44 WDG43:WDH44 WNC43:WND44 G65577:H65578 AQ65577:AR65578 KM65577:KN65578 UI65577:UJ65578 AEE65577:AEF65578 AOA65577:AOB65578 AXW65577:AXX65578 BHS65577:BHT65578 BRO65577:BRP65578 CBK65577:CBL65578 CLG65577:CLH65578 CVC65577:CVD65578 DEY65577:DEZ65578 DOU65577:DOV65578 DYQ65577:DYR65578 EIM65577:EIN65578 ESI65577:ESJ65578 FCE65577:FCF65578 FMA65577:FMB65578 FVW65577:FVX65578 GFS65577:GFT65578 GPO65577:GPP65578 GZK65577:GZL65578 HJG65577:HJH65578 HTC65577:HTD65578 ICY65577:ICZ65578 IMU65577:IMV65578 IWQ65577:IWR65578 JGM65577:JGN65578 JQI65577:JQJ65578 KAE65577:KAF65578 KKA65577:KKB65578 KTW65577:KTX65578 LDS65577:LDT65578 LNO65577:LNP65578 LXK65577:LXL65578 MHG65577:MHH65578 MRC65577:MRD65578 NAY65577:NAZ65578 NKU65577:NKV65578 NUQ65577:NUR65578 OEM65577:OEN65578 OOI65577:OOJ65578 OYE65577:OYF65578 PIA65577:PIB65578 PRW65577:PRX65578 QBS65577:QBT65578 QLO65577:QLP65578 QVK65577:QVL65578 RFG65577:RFH65578 RPC65577:RPD65578 RYY65577:RYZ65578 SIU65577:SIV65578 SSQ65577:SSR65578 TCM65577:TCN65578 TMI65577:TMJ65578 TWE65577:TWF65578 UGA65577:UGB65578 UPW65577:UPX65578 UZS65577:UZT65578 VJO65577:VJP65578 VTK65577:VTL65578 WDG65577:WDH65578 WNC65577:WND65578 G131113:H131114 AQ131113:AR131114 KM131113:KN131114 UI131113:UJ131114 AEE131113:AEF131114 AOA131113:AOB131114 AXW131113:AXX131114 BHS131113:BHT131114 BRO131113:BRP131114 CBK131113:CBL131114 CLG131113:CLH131114 CVC131113:CVD131114 DEY131113:DEZ131114 DOU131113:DOV131114 DYQ131113:DYR131114 EIM131113:EIN131114 ESI131113:ESJ131114 FCE131113:FCF131114 FMA131113:FMB131114 FVW131113:FVX131114 GFS131113:GFT131114 GPO131113:GPP131114 GZK131113:GZL131114 HJG131113:HJH131114 HTC131113:HTD131114 ICY131113:ICZ131114 IMU131113:IMV131114 IWQ131113:IWR131114 JGM131113:JGN131114 JQI131113:JQJ131114 KAE131113:KAF131114 KKA131113:KKB131114 KTW131113:KTX131114 LDS131113:LDT131114 LNO131113:LNP131114 LXK131113:LXL131114 MHG131113:MHH131114 MRC131113:MRD131114 NAY131113:NAZ131114 NKU131113:NKV131114 NUQ131113:NUR131114 OEM131113:OEN131114 OOI131113:OOJ131114 OYE131113:OYF131114 PIA131113:PIB131114 PRW131113:PRX131114 QBS131113:QBT131114 QLO131113:QLP131114 QVK131113:QVL131114 RFG131113:RFH131114 RPC131113:RPD131114 RYY131113:RYZ131114 SIU131113:SIV131114 SSQ131113:SSR131114 TCM131113:TCN131114 TMI131113:TMJ131114 TWE131113:TWF131114 UGA131113:UGB131114 UPW131113:UPX131114 UZS131113:UZT131114 VJO131113:VJP131114 VTK131113:VTL131114 WDG131113:WDH131114 WNC131113:WND131114 G196649:H196650 AQ196649:AR196650 KM196649:KN196650 UI196649:UJ196650 AEE196649:AEF196650 AOA196649:AOB196650 AXW196649:AXX196650 BHS196649:BHT196650 BRO196649:BRP196650 CBK196649:CBL196650 CLG196649:CLH196650 CVC196649:CVD196650 DEY196649:DEZ196650 DOU196649:DOV196650 DYQ196649:DYR196650 EIM196649:EIN196650 ESI196649:ESJ196650 FCE196649:FCF196650 FMA196649:FMB196650 FVW196649:FVX196650 GFS196649:GFT196650 GPO196649:GPP196650 GZK196649:GZL196650 HJG196649:HJH196650 HTC196649:HTD196650 ICY196649:ICZ196650 IMU196649:IMV196650 IWQ196649:IWR196650 JGM196649:JGN196650 JQI196649:JQJ196650 KAE196649:KAF196650 KKA196649:KKB196650 KTW196649:KTX196650 LDS196649:LDT196650 LNO196649:LNP196650 LXK196649:LXL196650 MHG196649:MHH196650 MRC196649:MRD196650 NAY196649:NAZ196650 NKU196649:NKV196650 NUQ196649:NUR196650 OEM196649:OEN196650 OOI196649:OOJ196650 OYE196649:OYF196650 PIA196649:PIB196650 PRW196649:PRX196650 QBS196649:QBT196650 QLO196649:QLP196650 QVK196649:QVL196650 RFG196649:RFH196650 RPC196649:RPD196650 RYY196649:RYZ196650 SIU196649:SIV196650 SSQ196649:SSR196650 TCM196649:TCN196650 TMI196649:TMJ196650 TWE196649:TWF196650 UGA196649:UGB196650 UPW196649:UPX196650 UZS196649:UZT196650 VJO196649:VJP196650 VTK196649:VTL196650 WDG196649:WDH196650 WNC196649:WND196650 G262185:H262186 AQ262185:AR262186 KM262185:KN262186 UI262185:UJ262186 AEE262185:AEF262186 AOA262185:AOB262186 AXW262185:AXX262186 BHS262185:BHT262186 BRO262185:BRP262186 CBK262185:CBL262186 CLG262185:CLH262186 CVC262185:CVD262186 DEY262185:DEZ262186 DOU262185:DOV262186 DYQ262185:DYR262186 EIM262185:EIN262186 ESI262185:ESJ262186 FCE262185:FCF262186 FMA262185:FMB262186 FVW262185:FVX262186 GFS262185:GFT262186 GPO262185:GPP262186 GZK262185:GZL262186 HJG262185:HJH262186 HTC262185:HTD262186 ICY262185:ICZ262186 IMU262185:IMV262186 IWQ262185:IWR262186 JGM262185:JGN262186 JQI262185:JQJ262186 KAE262185:KAF262186 KKA262185:KKB262186 KTW262185:KTX262186 LDS262185:LDT262186 LNO262185:LNP262186 LXK262185:LXL262186 MHG262185:MHH262186 MRC262185:MRD262186 NAY262185:NAZ262186 NKU262185:NKV262186 NUQ262185:NUR262186 OEM262185:OEN262186 OOI262185:OOJ262186 OYE262185:OYF262186 PIA262185:PIB262186 PRW262185:PRX262186 QBS262185:QBT262186 QLO262185:QLP262186 QVK262185:QVL262186 RFG262185:RFH262186 RPC262185:RPD262186 RYY262185:RYZ262186 SIU262185:SIV262186 SSQ262185:SSR262186 TCM262185:TCN262186 TMI262185:TMJ262186 TWE262185:TWF262186 UGA262185:UGB262186 UPW262185:UPX262186 UZS262185:UZT262186 VJO262185:VJP262186 VTK262185:VTL262186 WDG262185:WDH262186 WNC262185:WND262186 G327721:H327722 AQ327721:AR327722 KM327721:KN327722 UI327721:UJ327722 AEE327721:AEF327722 AOA327721:AOB327722 AXW327721:AXX327722 BHS327721:BHT327722 BRO327721:BRP327722 CBK327721:CBL327722 CLG327721:CLH327722 CVC327721:CVD327722 DEY327721:DEZ327722 DOU327721:DOV327722 DYQ327721:DYR327722 EIM327721:EIN327722 ESI327721:ESJ327722 FCE327721:FCF327722 FMA327721:FMB327722 FVW327721:FVX327722 GFS327721:GFT327722 GPO327721:GPP327722 GZK327721:GZL327722 HJG327721:HJH327722 HTC327721:HTD327722 ICY327721:ICZ327722 IMU327721:IMV327722 IWQ327721:IWR327722 JGM327721:JGN327722 JQI327721:JQJ327722 KAE327721:KAF327722 KKA327721:KKB327722 KTW327721:KTX327722 LDS327721:LDT327722 LNO327721:LNP327722 LXK327721:LXL327722 MHG327721:MHH327722 MRC327721:MRD327722 NAY327721:NAZ327722 NKU327721:NKV327722 NUQ327721:NUR327722 OEM327721:OEN327722 OOI327721:OOJ327722 OYE327721:OYF327722 PIA327721:PIB327722 PRW327721:PRX327722 QBS327721:QBT327722 QLO327721:QLP327722 QVK327721:QVL327722 RFG327721:RFH327722 RPC327721:RPD327722 RYY327721:RYZ327722 SIU327721:SIV327722 SSQ327721:SSR327722 TCM327721:TCN327722 TMI327721:TMJ327722 TWE327721:TWF327722 UGA327721:UGB327722 UPW327721:UPX327722 UZS327721:UZT327722 VJO327721:VJP327722 VTK327721:VTL327722 WDG327721:WDH327722 WNC327721:WND327722 G393257:H393258 AQ393257:AR393258 KM393257:KN393258 UI393257:UJ393258 AEE393257:AEF393258 AOA393257:AOB393258 AXW393257:AXX393258 BHS393257:BHT393258 BRO393257:BRP393258 CBK393257:CBL393258 CLG393257:CLH393258 CVC393257:CVD393258 DEY393257:DEZ393258 DOU393257:DOV393258 DYQ393257:DYR393258 EIM393257:EIN393258 ESI393257:ESJ393258 FCE393257:FCF393258 FMA393257:FMB393258 FVW393257:FVX393258 GFS393257:GFT393258 GPO393257:GPP393258 GZK393257:GZL393258 HJG393257:HJH393258 HTC393257:HTD393258 ICY393257:ICZ393258 IMU393257:IMV393258 IWQ393257:IWR393258 JGM393257:JGN393258 JQI393257:JQJ393258 KAE393257:KAF393258 KKA393257:KKB393258 KTW393257:KTX393258 LDS393257:LDT393258 LNO393257:LNP393258 LXK393257:LXL393258 MHG393257:MHH393258 MRC393257:MRD393258 NAY393257:NAZ393258 NKU393257:NKV393258 NUQ393257:NUR393258 OEM393257:OEN393258 OOI393257:OOJ393258 OYE393257:OYF393258 PIA393257:PIB393258 PRW393257:PRX393258 QBS393257:QBT393258 QLO393257:QLP393258 QVK393257:QVL393258 RFG393257:RFH393258 RPC393257:RPD393258 RYY393257:RYZ393258 SIU393257:SIV393258 SSQ393257:SSR393258 TCM393257:TCN393258 TMI393257:TMJ393258 TWE393257:TWF393258 UGA393257:UGB393258 UPW393257:UPX393258 UZS393257:UZT393258 VJO393257:VJP393258 VTK393257:VTL393258 WDG393257:WDH393258 WNC393257:WND393258 G458793:H458794 AQ458793:AR458794 KM458793:KN458794 UI458793:UJ458794 AEE458793:AEF458794 AOA458793:AOB458794 AXW458793:AXX458794 BHS458793:BHT458794 BRO458793:BRP458794 CBK458793:CBL458794 CLG458793:CLH458794 CVC458793:CVD458794 DEY458793:DEZ458794 DOU458793:DOV458794 DYQ458793:DYR458794 EIM458793:EIN458794 ESI458793:ESJ458794 FCE458793:FCF458794 FMA458793:FMB458794 FVW458793:FVX458794 GFS458793:GFT458794 GPO458793:GPP458794 GZK458793:GZL458794 HJG458793:HJH458794 HTC458793:HTD458794 ICY458793:ICZ458794 IMU458793:IMV458794 IWQ458793:IWR458794 JGM458793:JGN458794 JQI458793:JQJ458794 KAE458793:KAF458794 KKA458793:KKB458794 KTW458793:KTX458794 LDS458793:LDT458794 LNO458793:LNP458794 LXK458793:LXL458794 MHG458793:MHH458794 MRC458793:MRD458794 NAY458793:NAZ458794 NKU458793:NKV458794 NUQ458793:NUR458794 OEM458793:OEN458794 OOI458793:OOJ458794 OYE458793:OYF458794 PIA458793:PIB458794 PRW458793:PRX458794 QBS458793:QBT458794 QLO458793:QLP458794 QVK458793:QVL458794 RFG458793:RFH458794 RPC458793:RPD458794 RYY458793:RYZ458794 SIU458793:SIV458794 SSQ458793:SSR458794 TCM458793:TCN458794 TMI458793:TMJ458794 TWE458793:TWF458794 UGA458793:UGB458794 UPW458793:UPX458794 UZS458793:UZT458794 VJO458793:VJP458794 VTK458793:VTL458794 WDG458793:WDH458794 WNC458793:WND458794 G524329:H524330 AQ524329:AR524330 KM524329:KN524330 UI524329:UJ524330 AEE524329:AEF524330 AOA524329:AOB524330 AXW524329:AXX524330 BHS524329:BHT524330 BRO524329:BRP524330 CBK524329:CBL524330 CLG524329:CLH524330 CVC524329:CVD524330 DEY524329:DEZ524330 DOU524329:DOV524330 DYQ524329:DYR524330 EIM524329:EIN524330 ESI524329:ESJ524330 FCE524329:FCF524330 FMA524329:FMB524330 FVW524329:FVX524330 GFS524329:GFT524330 GPO524329:GPP524330 GZK524329:GZL524330 HJG524329:HJH524330 HTC524329:HTD524330 ICY524329:ICZ524330 IMU524329:IMV524330 IWQ524329:IWR524330 JGM524329:JGN524330 JQI524329:JQJ524330 KAE524329:KAF524330 KKA524329:KKB524330 KTW524329:KTX524330 LDS524329:LDT524330 LNO524329:LNP524330 LXK524329:LXL524330 MHG524329:MHH524330 MRC524329:MRD524330 NAY524329:NAZ524330 NKU524329:NKV524330 NUQ524329:NUR524330 OEM524329:OEN524330 OOI524329:OOJ524330 OYE524329:OYF524330 PIA524329:PIB524330 PRW524329:PRX524330 QBS524329:QBT524330 QLO524329:QLP524330 QVK524329:QVL524330 RFG524329:RFH524330 RPC524329:RPD524330 RYY524329:RYZ524330 SIU524329:SIV524330 SSQ524329:SSR524330 TCM524329:TCN524330 TMI524329:TMJ524330 TWE524329:TWF524330 UGA524329:UGB524330 UPW524329:UPX524330 UZS524329:UZT524330 VJO524329:VJP524330 VTK524329:VTL524330 WDG524329:WDH524330 WNC524329:WND524330 G589865:H589866 AQ589865:AR589866 KM589865:KN589866 UI589865:UJ589866 AEE589865:AEF589866 AOA589865:AOB589866 AXW589865:AXX589866 BHS589865:BHT589866 BRO589865:BRP589866 CBK589865:CBL589866 CLG589865:CLH589866 CVC589865:CVD589866 DEY589865:DEZ589866 DOU589865:DOV589866 DYQ589865:DYR589866 EIM589865:EIN589866 ESI589865:ESJ589866 FCE589865:FCF589866 FMA589865:FMB589866 FVW589865:FVX589866 GFS589865:GFT589866 GPO589865:GPP589866 GZK589865:GZL589866 HJG589865:HJH589866 HTC589865:HTD589866 ICY589865:ICZ589866 IMU589865:IMV589866 IWQ589865:IWR589866 JGM589865:JGN589866 JQI589865:JQJ589866 KAE589865:KAF589866 KKA589865:KKB589866 KTW589865:KTX589866 LDS589865:LDT589866 LNO589865:LNP589866 LXK589865:LXL589866 MHG589865:MHH589866 MRC589865:MRD589866 NAY589865:NAZ589866 NKU589865:NKV589866 NUQ589865:NUR589866 OEM589865:OEN589866 OOI589865:OOJ589866 OYE589865:OYF589866 PIA589865:PIB589866 PRW589865:PRX589866 QBS589865:QBT589866 QLO589865:QLP589866 QVK589865:QVL589866 RFG589865:RFH589866 RPC589865:RPD589866 RYY589865:RYZ589866 SIU589865:SIV589866 SSQ589865:SSR589866 TCM589865:TCN589866 TMI589865:TMJ589866 TWE589865:TWF589866 UGA589865:UGB589866 UPW589865:UPX589866 UZS589865:UZT589866 VJO589865:VJP589866 VTK589865:VTL589866 WDG589865:WDH589866 WNC589865:WND589866 G655401:H655402 AQ655401:AR655402 KM655401:KN655402 UI655401:UJ655402 AEE655401:AEF655402 AOA655401:AOB655402 AXW655401:AXX655402 BHS655401:BHT655402 BRO655401:BRP655402 CBK655401:CBL655402 CLG655401:CLH655402 CVC655401:CVD655402 DEY655401:DEZ655402 DOU655401:DOV655402 DYQ655401:DYR655402 EIM655401:EIN655402 ESI655401:ESJ655402 FCE655401:FCF655402 FMA655401:FMB655402 FVW655401:FVX655402 GFS655401:GFT655402 GPO655401:GPP655402 GZK655401:GZL655402 HJG655401:HJH655402 HTC655401:HTD655402 ICY655401:ICZ655402 IMU655401:IMV655402 IWQ655401:IWR655402 JGM655401:JGN655402 JQI655401:JQJ655402 KAE655401:KAF655402 KKA655401:KKB655402 KTW655401:KTX655402 LDS655401:LDT655402 LNO655401:LNP655402 LXK655401:LXL655402 MHG655401:MHH655402 MRC655401:MRD655402 NAY655401:NAZ655402 NKU655401:NKV655402 NUQ655401:NUR655402 OEM655401:OEN655402 OOI655401:OOJ655402 OYE655401:OYF655402 PIA655401:PIB655402 PRW655401:PRX655402 QBS655401:QBT655402 QLO655401:QLP655402 QVK655401:QVL655402 RFG655401:RFH655402 RPC655401:RPD655402 RYY655401:RYZ655402 SIU655401:SIV655402 SSQ655401:SSR655402 TCM655401:TCN655402 TMI655401:TMJ655402 TWE655401:TWF655402 UGA655401:UGB655402 UPW655401:UPX655402 UZS655401:UZT655402 VJO655401:VJP655402 VTK655401:VTL655402 WDG655401:WDH655402 WNC655401:WND655402 G720937:H720938 AQ720937:AR720938 KM720937:KN720938 UI720937:UJ720938 AEE720937:AEF720938 AOA720937:AOB720938 AXW720937:AXX720938 BHS720937:BHT720938 BRO720937:BRP720938 CBK720937:CBL720938 CLG720937:CLH720938 CVC720937:CVD720938 DEY720937:DEZ720938 DOU720937:DOV720938 DYQ720937:DYR720938 EIM720937:EIN720938 ESI720937:ESJ720938 FCE720937:FCF720938 FMA720937:FMB720938 FVW720937:FVX720938 GFS720937:GFT720938 GPO720937:GPP720938 GZK720937:GZL720938 HJG720937:HJH720938 HTC720937:HTD720938 ICY720937:ICZ720938 IMU720937:IMV720938 IWQ720937:IWR720938 JGM720937:JGN720938 JQI720937:JQJ720938 KAE720937:KAF720938 KKA720937:KKB720938 KTW720937:KTX720938 LDS720937:LDT720938 LNO720937:LNP720938 LXK720937:LXL720938 MHG720937:MHH720938 MRC720937:MRD720938 NAY720937:NAZ720938 NKU720937:NKV720938 NUQ720937:NUR720938 OEM720937:OEN720938 OOI720937:OOJ720938 OYE720937:OYF720938 PIA720937:PIB720938 PRW720937:PRX720938 QBS720937:QBT720938 QLO720937:QLP720938 QVK720937:QVL720938 RFG720937:RFH720938 RPC720937:RPD720938 RYY720937:RYZ720938 SIU720937:SIV720938 SSQ720937:SSR720938 TCM720937:TCN720938 TMI720937:TMJ720938 TWE720937:TWF720938 UGA720937:UGB720938 UPW720937:UPX720938 UZS720937:UZT720938 VJO720937:VJP720938 VTK720937:VTL720938 WDG720937:WDH720938 WNC720937:WND720938 G786473:H786474 AQ786473:AR786474 KM786473:KN786474 UI786473:UJ786474 AEE786473:AEF786474 AOA786473:AOB786474 AXW786473:AXX786474 BHS786473:BHT786474 BRO786473:BRP786474 CBK786473:CBL786474 CLG786473:CLH786474 CVC786473:CVD786474 DEY786473:DEZ786474 DOU786473:DOV786474 DYQ786473:DYR786474 EIM786473:EIN786474 ESI786473:ESJ786474 FCE786473:FCF786474 FMA786473:FMB786474 FVW786473:FVX786474 GFS786473:GFT786474 GPO786473:GPP786474 GZK786473:GZL786474 HJG786473:HJH786474 HTC786473:HTD786474 ICY786473:ICZ786474 IMU786473:IMV786474 IWQ786473:IWR786474 JGM786473:JGN786474 JQI786473:JQJ786474 KAE786473:KAF786474 KKA786473:KKB786474 KTW786473:KTX786474 LDS786473:LDT786474 LNO786473:LNP786474 LXK786473:LXL786474 MHG786473:MHH786474 MRC786473:MRD786474 NAY786473:NAZ786474 NKU786473:NKV786474 NUQ786473:NUR786474 OEM786473:OEN786474 OOI786473:OOJ786474 OYE786473:OYF786474 PIA786473:PIB786474 PRW786473:PRX786474 QBS786473:QBT786474 QLO786473:QLP786474 QVK786473:QVL786474 RFG786473:RFH786474 RPC786473:RPD786474 RYY786473:RYZ786474 SIU786473:SIV786474 SSQ786473:SSR786474 TCM786473:TCN786474 TMI786473:TMJ786474 TWE786473:TWF786474 UGA786473:UGB786474 UPW786473:UPX786474 UZS786473:UZT786474 VJO786473:VJP786474 VTK786473:VTL786474 WDG786473:WDH786474 WNC786473:WND786474 G852009:H852010 AQ852009:AR852010 KM852009:KN852010 UI852009:UJ852010 AEE852009:AEF852010 AOA852009:AOB852010 AXW852009:AXX852010 BHS852009:BHT852010 BRO852009:BRP852010 CBK852009:CBL852010 CLG852009:CLH852010 CVC852009:CVD852010 DEY852009:DEZ852010 DOU852009:DOV852010 DYQ852009:DYR852010 EIM852009:EIN852010 ESI852009:ESJ852010 FCE852009:FCF852010 FMA852009:FMB852010 FVW852009:FVX852010 GFS852009:GFT852010 GPO852009:GPP852010 GZK852009:GZL852010 HJG852009:HJH852010 HTC852009:HTD852010 ICY852009:ICZ852010 IMU852009:IMV852010 IWQ852009:IWR852010 JGM852009:JGN852010 JQI852009:JQJ852010 KAE852009:KAF852010 KKA852009:KKB852010 KTW852009:KTX852010 LDS852009:LDT852010 LNO852009:LNP852010 LXK852009:LXL852010 MHG852009:MHH852010 MRC852009:MRD852010 NAY852009:NAZ852010 NKU852009:NKV852010 NUQ852009:NUR852010 OEM852009:OEN852010 OOI852009:OOJ852010 OYE852009:OYF852010 PIA852009:PIB852010 PRW852009:PRX852010 QBS852009:QBT852010 QLO852009:QLP852010 QVK852009:QVL852010 RFG852009:RFH852010 RPC852009:RPD852010 RYY852009:RYZ852010 SIU852009:SIV852010 SSQ852009:SSR852010 TCM852009:TCN852010 TMI852009:TMJ852010 TWE852009:TWF852010 UGA852009:UGB852010 UPW852009:UPX852010 UZS852009:UZT852010 VJO852009:VJP852010 VTK852009:VTL852010 WDG852009:WDH852010 WNC852009:WND852010 G917545:H917546 AQ917545:AR917546 KM917545:KN917546 UI917545:UJ917546 AEE917545:AEF917546 AOA917545:AOB917546 AXW917545:AXX917546 BHS917545:BHT917546 BRO917545:BRP917546 CBK917545:CBL917546 CLG917545:CLH917546 CVC917545:CVD917546 DEY917545:DEZ917546 DOU917545:DOV917546 DYQ917545:DYR917546 EIM917545:EIN917546 ESI917545:ESJ917546 FCE917545:FCF917546 FMA917545:FMB917546 FVW917545:FVX917546 GFS917545:GFT917546 GPO917545:GPP917546 GZK917545:GZL917546 HJG917545:HJH917546 HTC917545:HTD917546 ICY917545:ICZ917546 IMU917545:IMV917546 IWQ917545:IWR917546 JGM917545:JGN917546 JQI917545:JQJ917546 KAE917545:KAF917546 KKA917545:KKB917546 KTW917545:KTX917546 LDS917545:LDT917546 LNO917545:LNP917546 LXK917545:LXL917546 MHG917545:MHH917546 MRC917545:MRD917546 NAY917545:NAZ917546 NKU917545:NKV917546 NUQ917545:NUR917546 OEM917545:OEN917546 OOI917545:OOJ917546 OYE917545:OYF917546 PIA917545:PIB917546 PRW917545:PRX917546 QBS917545:QBT917546 QLO917545:QLP917546 QVK917545:QVL917546 RFG917545:RFH917546 RPC917545:RPD917546 RYY917545:RYZ917546 SIU917545:SIV917546 SSQ917545:SSR917546 TCM917545:TCN917546 TMI917545:TMJ917546 TWE917545:TWF917546 UGA917545:UGB917546 UPW917545:UPX917546 UZS917545:UZT917546 VJO917545:VJP917546 VTK917545:VTL917546 WDG917545:WDH917546 WNC917545:WND917546 G983081:H983082 AQ983081:AR983082 KM983081:KN983082 UI983081:UJ983082 AEE983081:AEF983082 AOA983081:AOB983082 AXW983081:AXX983082 BHS983081:BHT983082 BRO983081:BRP983082 CBK983081:CBL983082 CLG983081:CLH983082 CVC983081:CVD983082 DEY983081:DEZ983082 DOU983081:DOV983082 DYQ983081:DYR983082 EIM983081:EIN983082 ESI983081:ESJ983082 FCE983081:FCF983082 FMA983081:FMB983082 FVW983081:FVX983082 GFS983081:GFT983082 GPO983081:GPP983082 GZK983081:GZL983082 HJG983081:HJH983082 HTC983081:HTD983082 ICY983081:ICZ983082 IMU983081:IMV983082 IWQ983081:IWR983082 JGM983081:JGN983082 JQI983081:JQJ983082 KAE983081:KAF983082 KKA983081:KKB983082 KTW983081:KTX983082 LDS983081:LDT983082 LNO983081:LNP983082 LXK983081:LXL983082 MHG983081:MHH983082 MRC983081:MRD983082 NAY983081:NAZ983082 NKU983081:NKV983082 NUQ983081:NUR983082 OEM983081:OEN983082 OOI983081:OOJ983082 OYE983081:OYF983082 PIA983081:PIB983082 PRW983081:PRX983082 QBS983081:QBT983082 QLO983081:QLP983082 QVK983081:QVL983082 RFG983081:RFH983082 RPC983081:RPD983082 RYY983081:RYZ983082 SIU983081:SIV983082 SSQ983081:SSR983082 TCM983081:TCN983082 TMI983081:TMJ983082 TWE983081:TWF983082 UGA983081:UGB983082 UPW983081:UPX983082 UZS983081:UZT983082 VJO983081:VJP983082">
      <formula1>0</formula1>
      <formula2>1</formula2>
    </dataValidation>
    <dataValidation type="decimal" operator="greaterThanOrEqual" allowBlank="1" showInputMessage="1" showErrorMessage="1" errorTitle="Error" error="This figure cannot be negative. Please provide a positive lump sum" sqref="AO53:AO54 AQ53 KM53 UI53 AEE53 AOA53 AXW53 BHS53 BRO53 CBK53 CLG53 CVC53 DEY53 DOU53 DYQ53 EIM53 ESI53 FCE53 FMA53 FVW53 GFS53 GPO53 GZK53 HJG53 HTC53 ICY53 IMU53 IWQ53 JGM53 JQI53 KAE53 KKA53 KTW53 LDS53 LNO53 LXK53 MHG53 MRC53 NAY53 NKU53 NUQ53 OEM53 OOI53 OYE53 PIA53 PRW53 QBS53 QLO53 QVK53 RFG53 RPC53 RYY53 SIU53 SSQ53 TCM53 TMI53 TWE53 UGA53 UPW53 UZS53 VJO53 VTK53 WDG53 WNC53 G65586 AQ65586 KM65586 UI65586 AEE65586 AOA65586 AXW65586 BHS65586 BRO65586 CBK65586 CLG65586 CVC65586 DEY65586 DOU65586 DYQ65586 EIM65586 ESI65586 FCE65586 FMA65586 FVW65586 GFS65586 GPO65586 GZK65586 HJG65586 HTC65586 ICY65586 IMU65586 IWQ65586 JGM65586 JQI65586 KAE65586 KKA65586 KTW65586 LDS65586 LNO65586 LXK65586 MHG65586 MRC65586 NAY65586 NKU65586 NUQ65586 OEM65586 OOI65586 OYE65586 PIA65586 PRW65586 QBS65586 QLO65586 QVK65586 RFG65586 RPC65586 RYY65586 SIU65586 SSQ65586 TCM65586 TMI65586 TWE65586 UGA65586 UPW65586 UZS65586 VJO65586 VTK65586 WDG65586 WNC65586 G131122 AQ131122 KM131122 UI131122 AEE131122 AOA131122 AXW131122 BHS131122 BRO131122 CBK131122 CLG131122 CVC131122 DEY131122 DOU131122 DYQ131122 EIM131122 ESI131122 FCE131122 FMA131122 FVW131122 GFS131122 GPO131122 GZK131122 HJG131122 HTC131122 ICY131122 IMU131122 IWQ131122 JGM131122 JQI131122 KAE131122 KKA131122 KTW131122 LDS131122 LNO131122 LXK131122 MHG131122 MRC131122 NAY131122 NKU131122 NUQ131122 OEM131122 OOI131122 OYE131122 PIA131122 PRW131122 QBS131122 QLO131122 QVK131122 RFG131122 RPC131122 RYY131122 SIU131122 SSQ131122 TCM131122 TMI131122 TWE131122 UGA131122 UPW131122 UZS131122 VJO131122 VTK131122 WDG131122 WNC131122 G196658 AQ196658 KM196658 UI196658 AEE196658 AOA196658 AXW196658 BHS196658 BRO196658 CBK196658 CLG196658 CVC196658 DEY196658 DOU196658 DYQ196658 EIM196658 ESI196658 FCE196658 FMA196658 FVW196658 GFS196658 GPO196658 GZK196658 HJG196658 HTC196658 ICY196658 IMU196658 IWQ196658 JGM196658 JQI196658 KAE196658 KKA196658 KTW196658 LDS196658 LNO196658 LXK196658 MHG196658 MRC196658 NAY196658 NKU196658 NUQ196658 OEM196658 OOI196658 OYE196658 PIA196658 PRW196658 QBS196658 QLO196658 QVK196658 RFG196658 RPC196658 RYY196658 SIU196658 SSQ196658 TCM196658 TMI196658 TWE196658 UGA196658 UPW196658 UZS196658 VJO196658 VTK196658 WDG196658 WNC196658 G262194 AQ262194 KM262194 UI262194 AEE262194 AOA262194 AXW262194 BHS262194 BRO262194 CBK262194 CLG262194 CVC262194 DEY262194 DOU262194 DYQ262194 EIM262194 ESI262194 FCE262194 FMA262194 FVW262194 GFS262194 GPO262194 GZK262194 HJG262194 HTC262194 ICY262194 IMU262194 IWQ262194 JGM262194 JQI262194 KAE262194 KKA262194 KTW262194 LDS262194 LNO262194 LXK262194 MHG262194 MRC262194 NAY262194 NKU262194 NUQ262194 OEM262194 OOI262194 OYE262194 PIA262194 PRW262194 QBS262194 QLO262194 QVK262194 RFG262194 RPC262194 RYY262194 SIU262194 SSQ262194 TCM262194 TMI262194 TWE262194 UGA262194 UPW262194 UZS262194 VJO262194 VTK262194 WDG262194 WNC262194 G327730 AQ327730 KM327730 UI327730 AEE327730 AOA327730 AXW327730 BHS327730 BRO327730 CBK327730 CLG327730 CVC327730 DEY327730 DOU327730 DYQ327730 EIM327730 ESI327730 FCE327730 FMA327730 FVW327730 GFS327730 GPO327730 GZK327730 HJG327730 HTC327730 ICY327730 IMU327730 IWQ327730 JGM327730 JQI327730 KAE327730 KKA327730 KTW327730 LDS327730 LNO327730 LXK327730 MHG327730 MRC327730 NAY327730 NKU327730 NUQ327730 OEM327730 OOI327730 OYE327730 PIA327730 PRW327730 QBS327730 QLO327730 QVK327730 RFG327730 RPC327730 RYY327730 SIU327730 SSQ327730 TCM327730 TMI327730 TWE327730 UGA327730 UPW327730 UZS327730 VJO327730 VTK327730 WDG327730 WNC327730 G393266 AQ393266 KM393266 UI393266 AEE393266 AOA393266 AXW393266 BHS393266 BRO393266 CBK393266 CLG393266 CVC393266 DEY393266 DOU393266 DYQ393266 EIM393266 ESI393266 FCE393266 FMA393266 FVW393266 GFS393266 GPO393266 GZK393266 HJG393266 HTC393266 ICY393266 IMU393266 IWQ393266 JGM393266 JQI393266 KAE393266 KKA393266 KTW393266 LDS393266 LNO393266 LXK393266 MHG393266 MRC393266 NAY393266 NKU393266 NUQ393266 OEM393266 OOI393266 OYE393266 PIA393266 PRW393266 QBS393266 QLO393266 QVK393266 RFG393266 RPC393266 RYY393266 SIU393266 SSQ393266 TCM393266 TMI393266 TWE393266 UGA393266 UPW393266 UZS393266 VJO393266 VTK393266 WDG393266 WNC393266 G458802 AQ458802 KM458802 UI458802 AEE458802 AOA458802 AXW458802 BHS458802 BRO458802 CBK458802 CLG458802 CVC458802 DEY458802 DOU458802 DYQ458802 EIM458802 ESI458802 FCE458802 FMA458802 FVW458802 GFS458802 GPO458802 GZK458802 HJG458802 HTC458802 ICY458802 IMU458802 IWQ458802 JGM458802 JQI458802 KAE458802 KKA458802 KTW458802 LDS458802 LNO458802 LXK458802 MHG458802 MRC458802 NAY458802 NKU458802 NUQ458802 OEM458802 OOI458802 OYE458802 PIA458802 PRW458802 QBS458802 QLO458802 QVK458802 RFG458802 RPC458802 RYY458802 SIU458802 SSQ458802 TCM458802 TMI458802 TWE458802 UGA458802 UPW458802 UZS458802 VJO458802 VTK458802 WDG458802 WNC458802 G524338 AQ524338 KM524338 UI524338 AEE524338 AOA524338 AXW524338 BHS524338 BRO524338 CBK524338 CLG524338 CVC524338 DEY524338 DOU524338 DYQ524338 EIM524338 ESI524338 FCE524338 FMA524338 FVW524338 GFS524338 GPO524338 GZK524338 HJG524338 HTC524338 ICY524338 IMU524338 IWQ524338 JGM524338 JQI524338 KAE524338 KKA524338 KTW524338 LDS524338 LNO524338 LXK524338 MHG524338 MRC524338 NAY524338 NKU524338 NUQ524338 OEM524338 OOI524338 OYE524338 PIA524338 PRW524338 QBS524338 QLO524338 QVK524338 RFG524338 RPC524338 RYY524338 SIU524338 SSQ524338 TCM524338 TMI524338 TWE524338 UGA524338 UPW524338 UZS524338 VJO524338 VTK524338 WDG524338 WNC524338 G589874 AQ589874 KM589874 UI589874 AEE589874 AOA589874 AXW589874 BHS589874 BRO589874 CBK589874 CLG589874 CVC589874 DEY589874 DOU589874 DYQ589874 EIM589874 ESI589874 FCE589874 FMA589874 FVW589874 GFS589874 GPO589874 GZK589874 HJG589874 HTC589874 ICY589874 IMU589874 IWQ589874 JGM589874 JQI589874 KAE589874 KKA589874 KTW589874 LDS589874 LNO589874 LXK589874 MHG589874 MRC589874 NAY589874 NKU589874 NUQ589874 OEM589874 OOI589874 OYE589874 PIA589874 PRW589874 QBS589874 QLO589874 QVK589874 RFG589874 RPC589874 RYY589874 SIU589874 SSQ589874 TCM589874 TMI589874 TWE589874 UGA589874 UPW589874 UZS589874 VJO589874 VTK589874 WDG589874 WNC589874 G655410 AQ655410 KM655410 UI655410 AEE655410 AOA655410 AXW655410 BHS655410 BRO655410 CBK655410 CLG655410 CVC655410 DEY655410 DOU655410 DYQ655410 EIM655410 ESI655410 FCE655410 FMA655410 FVW655410 GFS655410 GPO655410 GZK655410 HJG655410 HTC655410 ICY655410 IMU655410 IWQ655410 JGM655410 JQI655410 KAE655410 KKA655410 KTW655410 LDS655410 LNO655410 LXK655410 MHG655410 MRC655410 NAY655410 NKU655410 NUQ655410 OEM655410 OOI655410 OYE655410 PIA655410 PRW655410 QBS655410 QLO655410 QVK655410 RFG655410 RPC655410 RYY655410 SIU655410 SSQ655410 TCM655410 TMI655410 TWE655410 UGA655410 UPW655410 UZS655410 VJO655410 VTK655410 WDG655410 WNC655410 G720946 AQ720946 KM720946 UI720946 AEE720946 AOA720946 AXW720946 BHS720946 BRO720946 CBK720946 CLG720946 CVC720946 DEY720946 DOU720946 DYQ720946 EIM720946 ESI720946 FCE720946 FMA720946 FVW720946 GFS720946 GPO720946 GZK720946 HJG720946 HTC720946 ICY720946 IMU720946 IWQ720946 JGM720946 JQI720946 KAE720946 KKA720946 KTW720946 LDS720946 LNO720946 LXK720946 MHG720946 MRC720946 NAY720946 NKU720946 NUQ720946 OEM720946 OOI720946 OYE720946 PIA720946 PRW720946 QBS720946 QLO720946 QVK720946 RFG720946 RPC720946 RYY720946 SIU720946 SSQ720946 TCM720946 TMI720946 TWE720946 UGA720946 UPW720946 UZS720946 VJO720946 VTK720946 WDG720946 WNC720946 G786482 AQ786482 KM786482 UI786482 AEE786482 AOA786482 AXW786482 BHS786482 BRO786482 CBK786482 CLG786482 CVC786482 DEY786482 DOU786482 DYQ786482 EIM786482 ESI786482 FCE786482 FMA786482 FVW786482 GFS786482 GPO786482 GZK786482 HJG786482 HTC786482 ICY786482 IMU786482 IWQ786482 JGM786482 JQI786482 KAE786482 KKA786482 KTW786482 LDS786482 LNO786482 LXK786482 MHG786482 MRC786482 NAY786482 NKU786482 NUQ786482 OEM786482 OOI786482 OYE786482 PIA786482 PRW786482 QBS786482 QLO786482 QVK786482 RFG786482 RPC786482 RYY786482 SIU786482 SSQ786482 TCM786482 TMI786482 TWE786482 UGA786482 UPW786482 UZS786482 VJO786482 VTK786482 WDG786482 WNC786482 G852018 AQ852018 KM852018 UI852018 AEE852018 AOA852018 AXW852018 BHS852018 BRO852018 CBK852018 CLG852018 CVC852018 DEY852018 DOU852018 DYQ852018 EIM852018 ESI852018 FCE852018 FMA852018 FVW852018 GFS852018 GPO852018 GZK852018 HJG852018 HTC852018 ICY852018 IMU852018 IWQ852018 JGM852018 JQI852018 KAE852018 KKA852018 KTW852018 LDS852018 LNO852018 LXK852018 MHG852018 MRC852018 NAY852018 NKU852018 NUQ852018 OEM852018 OOI852018 OYE852018 PIA852018 PRW852018 QBS852018 QLO852018 QVK852018 RFG852018 RPC852018 RYY852018 SIU852018 SSQ852018 TCM852018 TMI852018 TWE852018 UGA852018 UPW852018 UZS852018 VJO852018 VTK852018 WDG852018 WNC852018 G917554 AQ917554 KM917554 UI917554 AEE917554 AOA917554 AXW917554 BHS917554 BRO917554 CBK917554 CLG917554 CVC917554 DEY917554 DOU917554 DYQ917554 EIM917554 ESI917554 FCE917554 FMA917554 FVW917554 GFS917554 GPO917554 GZK917554 HJG917554 HTC917554 ICY917554 IMU917554 IWQ917554 JGM917554 JQI917554 KAE917554 KKA917554 KTW917554 LDS917554 LNO917554 LXK917554 MHG917554 MRC917554 NAY917554 NKU917554 NUQ917554 OEM917554 OOI917554 OYE917554 PIA917554 PRW917554 QBS917554 QLO917554 QVK917554 RFG917554 RPC917554 RYY917554 SIU917554 SSQ917554 TCM917554 TMI917554 TWE917554 UGA917554 UPW917554 UZS917554 VJO917554 VTK917554 WDG917554 WNC917554 G983090 AQ983090 KM983090 UI983090 AEE983090 AOA983090 AXW983090 BHS983090 BRO983090 CBK983090 CLG983090 CVC983090 DEY983090 DOU983090 DYQ983090 EIM983090 ESI983090 FCE983090 FMA983090 FVW983090 GFS983090 GPO983090 GZK983090 HJG983090 HTC983090 ICY983090 IMU983090 IWQ983090 JGM983090 JQI983090 KAE983090 KKA983090 KTW983090 LDS983090 LNO983090 LXK983090 MHG983090 MRC983090 NAY983090 NKU983090 NUQ983090 OEM983090 OOI983090 OYE983090 PIA983090 PRW983090 QBS983090 QLO983090 QVK983090 RFG983090 RPC983090 RYY983090 SIU983090 SSQ983090 TCM983090 TMI983090 TWE983090 UGA983090 UPW983090 UZS983090 VJO983090 VTK983090 WDG983090 WNC983090 WDE983090:WDE983092 AP54:AR54 KL54:KN54 UH54:UJ54 AED54:AEF54 ANZ54:AOB54 AXV54:AXX54 BHR54:BHT54 BRN54:BRP54 CBJ54:CBL54 CLF54:CLH54 CVB54:CVD54 DEX54:DEZ54 DOT54:DOV54 DYP54:DYR54 EIL54:EIN54 ESH54:ESJ54 FCD54:FCF54 FLZ54:FMB54 FVV54:FVX54 GFR54:GFT54 GPN54:GPP54 GZJ54:GZL54 HJF54:HJH54 HTB54:HTD54 ICX54:ICZ54 IMT54:IMV54 IWP54:IWR54 JGL54:JGN54 JQH54:JQJ54 KAD54:KAF54 KJZ54:KKB54 KTV54:KTX54 LDR54:LDT54 LNN54:LNP54 LXJ54:LXL54 MHF54:MHH54 MRB54:MRD54 NAX54:NAZ54 NKT54:NKV54 NUP54:NUR54 OEL54:OEN54 OOH54:OOJ54 OYD54:OYF54 PHZ54:PIB54 PRV54:PRX54 QBR54:QBT54 QLN54:QLP54 QVJ54:QVL54 RFF54:RFH54 RPB54:RPD54 RYX54:RYZ54 SIT54:SIV54 SSP54:SSR54 TCL54:TCN54 TMH54:TMJ54 TWD54:TWF54 UFZ54:UGB54 UPV54:UPX54 UZR54:UZT54 VJN54:VJP54 VTJ54:VTL54 WDF54:WDH54 WNB54:WND54 F65588:H65588 AP65588:AR65588 KL65588:KN65588 UH65588:UJ65588 AED65588:AEF65588 ANZ65588:AOB65588 AXV65588:AXX65588 BHR65588:BHT65588 BRN65588:BRP65588 CBJ65588:CBL65588 CLF65588:CLH65588 CVB65588:CVD65588 DEX65588:DEZ65588 DOT65588:DOV65588 DYP65588:DYR65588 EIL65588:EIN65588 ESH65588:ESJ65588 FCD65588:FCF65588 FLZ65588:FMB65588 FVV65588:FVX65588 GFR65588:GFT65588 GPN65588:GPP65588 GZJ65588:GZL65588 HJF65588:HJH65588 HTB65588:HTD65588 ICX65588:ICZ65588 IMT65588:IMV65588 IWP65588:IWR65588 JGL65588:JGN65588 JQH65588:JQJ65588 KAD65588:KAF65588 KJZ65588:KKB65588 KTV65588:KTX65588 LDR65588:LDT65588 LNN65588:LNP65588 LXJ65588:LXL65588 MHF65588:MHH65588 MRB65588:MRD65588 NAX65588:NAZ65588 NKT65588:NKV65588 NUP65588:NUR65588 OEL65588:OEN65588 OOH65588:OOJ65588 OYD65588:OYF65588 PHZ65588:PIB65588 PRV65588:PRX65588 QBR65588:QBT65588 QLN65588:QLP65588 QVJ65588:QVL65588 RFF65588:RFH65588 RPB65588:RPD65588 RYX65588:RYZ65588 SIT65588:SIV65588 SSP65588:SSR65588 TCL65588:TCN65588 TMH65588:TMJ65588 TWD65588:TWF65588 UFZ65588:UGB65588 UPV65588:UPX65588 UZR65588:UZT65588 VJN65588:VJP65588 VTJ65588:VTL65588 WDF65588:WDH65588 WNB65588:WND65588 F131124:H131124 AP131124:AR131124 KL131124:KN131124 UH131124:UJ131124 AED131124:AEF131124 ANZ131124:AOB131124 AXV131124:AXX131124 BHR131124:BHT131124 BRN131124:BRP131124 CBJ131124:CBL131124 CLF131124:CLH131124 CVB131124:CVD131124 DEX131124:DEZ131124 DOT131124:DOV131124 DYP131124:DYR131124 EIL131124:EIN131124 ESH131124:ESJ131124 FCD131124:FCF131124 FLZ131124:FMB131124 FVV131124:FVX131124 GFR131124:GFT131124 GPN131124:GPP131124 GZJ131124:GZL131124 HJF131124:HJH131124 HTB131124:HTD131124 ICX131124:ICZ131124 IMT131124:IMV131124 IWP131124:IWR131124 JGL131124:JGN131124 JQH131124:JQJ131124 KAD131124:KAF131124 KJZ131124:KKB131124 KTV131124:KTX131124 LDR131124:LDT131124 LNN131124:LNP131124 LXJ131124:LXL131124 MHF131124:MHH131124 MRB131124:MRD131124 NAX131124:NAZ131124 NKT131124:NKV131124 NUP131124:NUR131124 OEL131124:OEN131124 OOH131124:OOJ131124 OYD131124:OYF131124 PHZ131124:PIB131124 PRV131124:PRX131124 QBR131124:QBT131124 QLN131124:QLP131124 QVJ131124:QVL131124 RFF131124:RFH131124 RPB131124:RPD131124 RYX131124:RYZ131124 SIT131124:SIV131124 SSP131124:SSR131124 TCL131124:TCN131124 TMH131124:TMJ131124 TWD131124:TWF131124 UFZ131124:UGB131124 UPV131124:UPX131124 UZR131124:UZT131124 VJN131124:VJP131124 VTJ131124:VTL131124 WDF131124:WDH131124 WNB131124:WND131124 F196660:H196660 AP196660:AR196660 KL196660:KN196660 UH196660:UJ196660 AED196660:AEF196660 ANZ196660:AOB196660 AXV196660:AXX196660 BHR196660:BHT196660 BRN196660:BRP196660 CBJ196660:CBL196660 CLF196660:CLH196660 CVB196660:CVD196660 DEX196660:DEZ196660 DOT196660:DOV196660 DYP196660:DYR196660 EIL196660:EIN196660 ESH196660:ESJ196660 FCD196660:FCF196660 FLZ196660:FMB196660 FVV196660:FVX196660 GFR196660:GFT196660 GPN196660:GPP196660 GZJ196660:GZL196660 HJF196660:HJH196660 HTB196660:HTD196660 ICX196660:ICZ196660 IMT196660:IMV196660 IWP196660:IWR196660 JGL196660:JGN196660 JQH196660:JQJ196660 KAD196660:KAF196660 KJZ196660:KKB196660 KTV196660:KTX196660 LDR196660:LDT196660 LNN196660:LNP196660 LXJ196660:LXL196660 MHF196660:MHH196660 MRB196660:MRD196660 NAX196660:NAZ196660 NKT196660:NKV196660 NUP196660:NUR196660 OEL196660:OEN196660 OOH196660:OOJ196660 OYD196660:OYF196660 PHZ196660:PIB196660 PRV196660:PRX196660 QBR196660:QBT196660 QLN196660:QLP196660 QVJ196660:QVL196660 RFF196660:RFH196660 RPB196660:RPD196660 RYX196660:RYZ196660 SIT196660:SIV196660 SSP196660:SSR196660 TCL196660:TCN196660 TMH196660:TMJ196660 TWD196660:TWF196660 UFZ196660:UGB196660 UPV196660:UPX196660 UZR196660:UZT196660 VJN196660:VJP196660 VTJ196660:VTL196660 WDF196660:WDH196660 WNB196660:WND196660 F262196:H262196 AP262196:AR262196 KL262196:KN262196 UH262196:UJ262196 AED262196:AEF262196 ANZ262196:AOB262196 AXV262196:AXX262196 BHR262196:BHT262196 BRN262196:BRP262196 CBJ262196:CBL262196 CLF262196:CLH262196 CVB262196:CVD262196 DEX262196:DEZ262196 DOT262196:DOV262196 DYP262196:DYR262196 EIL262196:EIN262196 ESH262196:ESJ262196 FCD262196:FCF262196 FLZ262196:FMB262196 FVV262196:FVX262196 GFR262196:GFT262196 GPN262196:GPP262196 GZJ262196:GZL262196 HJF262196:HJH262196 HTB262196:HTD262196 ICX262196:ICZ262196 IMT262196:IMV262196 IWP262196:IWR262196 JGL262196:JGN262196 JQH262196:JQJ262196 KAD262196:KAF262196 KJZ262196:KKB262196 KTV262196:KTX262196 LDR262196:LDT262196 LNN262196:LNP262196 LXJ262196:LXL262196 MHF262196:MHH262196 MRB262196:MRD262196 NAX262196:NAZ262196 NKT262196:NKV262196 NUP262196:NUR262196 OEL262196:OEN262196 OOH262196:OOJ262196 OYD262196:OYF262196 PHZ262196:PIB262196 PRV262196:PRX262196 QBR262196:QBT262196 QLN262196:QLP262196 QVJ262196:QVL262196 RFF262196:RFH262196 RPB262196:RPD262196 RYX262196:RYZ262196 SIT262196:SIV262196 SSP262196:SSR262196 TCL262196:TCN262196 TMH262196:TMJ262196 TWD262196:TWF262196 UFZ262196:UGB262196 UPV262196:UPX262196 UZR262196:UZT262196 VJN262196:VJP262196 VTJ262196:VTL262196 WDF262196:WDH262196 WNB262196:WND262196 F327732:H327732 AP327732:AR327732 KL327732:KN327732 UH327732:UJ327732 AED327732:AEF327732 ANZ327732:AOB327732 AXV327732:AXX327732 BHR327732:BHT327732 BRN327732:BRP327732 CBJ327732:CBL327732 CLF327732:CLH327732 CVB327732:CVD327732 DEX327732:DEZ327732 DOT327732:DOV327732 DYP327732:DYR327732 EIL327732:EIN327732 ESH327732:ESJ327732 FCD327732:FCF327732 FLZ327732:FMB327732 FVV327732:FVX327732 GFR327732:GFT327732 GPN327732:GPP327732 GZJ327732:GZL327732 HJF327732:HJH327732 HTB327732:HTD327732 ICX327732:ICZ327732 IMT327732:IMV327732 IWP327732:IWR327732 JGL327732:JGN327732 JQH327732:JQJ327732 KAD327732:KAF327732 KJZ327732:KKB327732 KTV327732:KTX327732 LDR327732:LDT327732 LNN327732:LNP327732 LXJ327732:LXL327732 MHF327732:MHH327732 MRB327732:MRD327732 NAX327732:NAZ327732 NKT327732:NKV327732 NUP327732:NUR327732 OEL327732:OEN327732 OOH327732:OOJ327732 OYD327732:OYF327732 PHZ327732:PIB327732 PRV327732:PRX327732 QBR327732:QBT327732 QLN327732:QLP327732 QVJ327732:QVL327732 RFF327732:RFH327732 RPB327732:RPD327732 RYX327732:RYZ327732 SIT327732:SIV327732 SSP327732:SSR327732 TCL327732:TCN327732 TMH327732:TMJ327732 TWD327732:TWF327732 UFZ327732:UGB327732 UPV327732:UPX327732 UZR327732:UZT327732 VJN327732:VJP327732 VTJ327732:VTL327732 WDF327732:WDH327732 WNB327732:WND327732 F393268:H393268 AP393268:AR393268 KL393268:KN393268 UH393268:UJ393268 AED393268:AEF393268 ANZ393268:AOB393268 AXV393268:AXX393268 BHR393268:BHT393268 BRN393268:BRP393268 CBJ393268:CBL393268 CLF393268:CLH393268 CVB393268:CVD393268 DEX393268:DEZ393268 DOT393268:DOV393268 DYP393268:DYR393268 EIL393268:EIN393268 ESH393268:ESJ393268 FCD393268:FCF393268 FLZ393268:FMB393268 FVV393268:FVX393268 GFR393268:GFT393268 GPN393268:GPP393268 GZJ393268:GZL393268 HJF393268:HJH393268 HTB393268:HTD393268 ICX393268:ICZ393268 IMT393268:IMV393268 IWP393268:IWR393268 JGL393268:JGN393268 JQH393268:JQJ393268 KAD393268:KAF393268 KJZ393268:KKB393268 KTV393268:KTX393268 LDR393268:LDT393268 LNN393268:LNP393268 LXJ393268:LXL393268 MHF393268:MHH393268 MRB393268:MRD393268 NAX393268:NAZ393268 NKT393268:NKV393268 NUP393268:NUR393268 OEL393268:OEN393268 OOH393268:OOJ393268 OYD393268:OYF393268 PHZ393268:PIB393268 PRV393268:PRX393268 QBR393268:QBT393268 QLN393268:QLP393268 QVJ393268:QVL393268 RFF393268:RFH393268 RPB393268:RPD393268 RYX393268:RYZ393268 SIT393268:SIV393268 SSP393268:SSR393268 TCL393268:TCN393268 TMH393268:TMJ393268 TWD393268:TWF393268 UFZ393268:UGB393268 UPV393268:UPX393268 UZR393268:UZT393268 VJN393268:VJP393268 VTJ393268:VTL393268 WDF393268:WDH393268 WNB393268:WND393268 F458804:H458804 AP458804:AR458804 KL458804:KN458804 UH458804:UJ458804 AED458804:AEF458804 ANZ458804:AOB458804 AXV458804:AXX458804 BHR458804:BHT458804 BRN458804:BRP458804 CBJ458804:CBL458804 CLF458804:CLH458804 CVB458804:CVD458804 DEX458804:DEZ458804 DOT458804:DOV458804 DYP458804:DYR458804 EIL458804:EIN458804 ESH458804:ESJ458804 FCD458804:FCF458804 FLZ458804:FMB458804 FVV458804:FVX458804 GFR458804:GFT458804 GPN458804:GPP458804 GZJ458804:GZL458804 HJF458804:HJH458804 HTB458804:HTD458804 ICX458804:ICZ458804 IMT458804:IMV458804 IWP458804:IWR458804 JGL458804:JGN458804 JQH458804:JQJ458804 KAD458804:KAF458804 KJZ458804:KKB458804 KTV458804:KTX458804 LDR458804:LDT458804 LNN458804:LNP458804 LXJ458804:LXL458804 MHF458804:MHH458804 MRB458804:MRD458804 NAX458804:NAZ458804 NKT458804:NKV458804 NUP458804:NUR458804 OEL458804:OEN458804 OOH458804:OOJ458804 OYD458804:OYF458804 PHZ458804:PIB458804 PRV458804:PRX458804 QBR458804:QBT458804 QLN458804:QLP458804 QVJ458804:QVL458804 RFF458804:RFH458804 RPB458804:RPD458804 RYX458804:RYZ458804 SIT458804:SIV458804 SSP458804:SSR458804 TCL458804:TCN458804 TMH458804:TMJ458804 TWD458804:TWF458804 UFZ458804:UGB458804 UPV458804:UPX458804 UZR458804:UZT458804 VJN458804:VJP458804 VTJ458804:VTL458804 WDF458804:WDH458804 WNB458804:WND458804 F524340:H524340 AP524340:AR524340 KL524340:KN524340 UH524340:UJ524340 AED524340:AEF524340 ANZ524340:AOB524340 AXV524340:AXX524340 BHR524340:BHT524340 BRN524340:BRP524340 CBJ524340:CBL524340 CLF524340:CLH524340 CVB524340:CVD524340 DEX524340:DEZ524340 DOT524340:DOV524340 DYP524340:DYR524340 EIL524340:EIN524340 ESH524340:ESJ524340 FCD524340:FCF524340 FLZ524340:FMB524340 FVV524340:FVX524340 GFR524340:GFT524340 GPN524340:GPP524340 GZJ524340:GZL524340 HJF524340:HJH524340 HTB524340:HTD524340 ICX524340:ICZ524340 IMT524340:IMV524340 IWP524340:IWR524340 JGL524340:JGN524340 JQH524340:JQJ524340 KAD524340:KAF524340 KJZ524340:KKB524340 KTV524340:KTX524340 LDR524340:LDT524340 LNN524340:LNP524340 LXJ524340:LXL524340 MHF524340:MHH524340 MRB524340:MRD524340 NAX524340:NAZ524340 NKT524340:NKV524340 NUP524340:NUR524340 OEL524340:OEN524340 OOH524340:OOJ524340 OYD524340:OYF524340 PHZ524340:PIB524340 PRV524340:PRX524340 QBR524340:QBT524340 QLN524340:QLP524340 QVJ524340:QVL524340 RFF524340:RFH524340 RPB524340:RPD524340 RYX524340:RYZ524340 SIT524340:SIV524340 SSP524340:SSR524340 TCL524340:TCN524340 TMH524340:TMJ524340 TWD524340:TWF524340 UFZ524340:UGB524340 UPV524340:UPX524340 UZR524340:UZT524340 VJN524340:VJP524340 VTJ524340:VTL524340 WDF524340:WDH524340 WNB524340:WND524340 F589876:H589876 AP589876:AR589876 KL589876:KN589876 UH589876:UJ589876 AED589876:AEF589876 ANZ589876:AOB589876 AXV589876:AXX589876 BHR589876:BHT589876 BRN589876:BRP589876 CBJ589876:CBL589876 CLF589876:CLH589876 CVB589876:CVD589876 DEX589876:DEZ589876 DOT589876:DOV589876 DYP589876:DYR589876 EIL589876:EIN589876 ESH589876:ESJ589876 FCD589876:FCF589876 FLZ589876:FMB589876 FVV589876:FVX589876 GFR589876:GFT589876 GPN589876:GPP589876 GZJ589876:GZL589876 HJF589876:HJH589876 HTB589876:HTD589876 ICX589876:ICZ589876 IMT589876:IMV589876 IWP589876:IWR589876 JGL589876:JGN589876 JQH589876:JQJ589876 KAD589876:KAF589876 KJZ589876:KKB589876 KTV589876:KTX589876 LDR589876:LDT589876 LNN589876:LNP589876 LXJ589876:LXL589876 MHF589876:MHH589876 MRB589876:MRD589876 NAX589876:NAZ589876 NKT589876:NKV589876 NUP589876:NUR589876 OEL589876:OEN589876 OOH589876:OOJ589876 OYD589876:OYF589876 PHZ589876:PIB589876 PRV589876:PRX589876 QBR589876:QBT589876 QLN589876:QLP589876 QVJ589876:QVL589876 RFF589876:RFH589876 RPB589876:RPD589876 RYX589876:RYZ589876 SIT589876:SIV589876 SSP589876:SSR589876 TCL589876:TCN589876 TMH589876:TMJ589876 TWD589876:TWF589876 UFZ589876:UGB589876 UPV589876:UPX589876 UZR589876:UZT589876 VJN589876:VJP589876 VTJ589876:VTL589876 WDF589876:WDH589876 WNB589876:WND589876 F655412:H655412 AP655412:AR655412 KL655412:KN655412 UH655412:UJ655412 AED655412:AEF655412 ANZ655412:AOB655412 AXV655412:AXX655412 BHR655412:BHT655412 BRN655412:BRP655412 CBJ655412:CBL655412 CLF655412:CLH655412 CVB655412:CVD655412 DEX655412:DEZ655412 DOT655412:DOV655412 DYP655412:DYR655412 EIL655412:EIN655412 ESH655412:ESJ655412 FCD655412:FCF655412 FLZ655412:FMB655412 FVV655412:FVX655412 GFR655412:GFT655412 GPN655412:GPP655412 GZJ655412:GZL655412 HJF655412:HJH655412 HTB655412:HTD655412 ICX655412:ICZ655412 IMT655412:IMV655412 IWP655412:IWR655412 JGL655412:JGN655412 JQH655412:JQJ655412 KAD655412:KAF655412 KJZ655412:KKB655412 KTV655412:KTX655412 LDR655412:LDT655412 LNN655412:LNP655412 LXJ655412:LXL655412 MHF655412:MHH655412 MRB655412:MRD655412 NAX655412:NAZ655412 NKT655412:NKV655412 NUP655412:NUR655412 OEL655412:OEN655412 OOH655412:OOJ655412 OYD655412:OYF655412 PHZ655412:PIB655412 PRV655412:PRX655412 QBR655412:QBT655412 QLN655412:QLP655412 QVJ655412:QVL655412 RFF655412:RFH655412 RPB655412:RPD655412 RYX655412:RYZ655412 SIT655412:SIV655412 SSP655412:SSR655412 TCL655412:TCN655412 TMH655412:TMJ655412 TWD655412:TWF655412 UFZ655412:UGB655412 UPV655412:UPX655412 UZR655412:UZT655412 VJN655412:VJP655412 VTJ655412:VTL655412 WDF655412:WDH655412 WNB655412:WND655412 F720948:H720948 AP720948:AR720948 KL720948:KN720948 UH720948:UJ720948 AED720948:AEF720948 ANZ720948:AOB720948 AXV720948:AXX720948 BHR720948:BHT720948 BRN720948:BRP720948 CBJ720948:CBL720948 CLF720948:CLH720948 CVB720948:CVD720948 DEX720948:DEZ720948 DOT720948:DOV720948 DYP720948:DYR720948 EIL720948:EIN720948 ESH720948:ESJ720948 FCD720948:FCF720948 FLZ720948:FMB720948 FVV720948:FVX720948 GFR720948:GFT720948 GPN720948:GPP720948 GZJ720948:GZL720948 HJF720948:HJH720948 HTB720948:HTD720948 ICX720948:ICZ720948 IMT720948:IMV720948 IWP720948:IWR720948 JGL720948:JGN720948 JQH720948:JQJ720948 KAD720948:KAF720948 KJZ720948:KKB720948 KTV720948:KTX720948 LDR720948:LDT720948 LNN720948:LNP720948 LXJ720948:LXL720948 MHF720948:MHH720948 MRB720948:MRD720948 NAX720948:NAZ720948 NKT720948:NKV720948 NUP720948:NUR720948 OEL720948:OEN720948 OOH720948:OOJ720948 OYD720948:OYF720948 PHZ720948:PIB720948 PRV720948:PRX720948 QBR720948:QBT720948 QLN720948:QLP720948 QVJ720948:QVL720948 RFF720948:RFH720948 RPB720948:RPD720948 RYX720948:RYZ720948 SIT720948:SIV720948 SSP720948:SSR720948 TCL720948:TCN720948 TMH720948:TMJ720948 TWD720948:TWF720948 UFZ720948:UGB720948 UPV720948:UPX720948 UZR720948:UZT720948 VJN720948:VJP720948 VTJ720948:VTL720948 WDF720948:WDH720948 WNB720948:WND720948 F786484:H786484 AP786484:AR786484 KL786484:KN786484 UH786484:UJ786484 AED786484:AEF786484 ANZ786484:AOB786484 AXV786484:AXX786484 BHR786484:BHT786484 BRN786484:BRP786484 CBJ786484:CBL786484 CLF786484:CLH786484 CVB786484:CVD786484 DEX786484:DEZ786484 DOT786484:DOV786484 DYP786484:DYR786484 EIL786484:EIN786484 ESH786484:ESJ786484 FCD786484:FCF786484 FLZ786484:FMB786484 FVV786484:FVX786484 GFR786484:GFT786484 GPN786484:GPP786484 GZJ786484:GZL786484 HJF786484:HJH786484 HTB786484:HTD786484 ICX786484:ICZ786484 IMT786484:IMV786484 IWP786484:IWR786484 JGL786484:JGN786484 JQH786484:JQJ786484 KAD786484:KAF786484 KJZ786484:KKB786484 KTV786484:KTX786484 LDR786484:LDT786484 LNN786484:LNP786484 LXJ786484:LXL786484 MHF786484:MHH786484 MRB786484:MRD786484 NAX786484:NAZ786484 NKT786484:NKV786484 NUP786484:NUR786484 OEL786484:OEN786484 OOH786484:OOJ786484 OYD786484:OYF786484 PHZ786484:PIB786484 PRV786484:PRX786484 QBR786484:QBT786484 QLN786484:QLP786484 QVJ786484:QVL786484 RFF786484:RFH786484 RPB786484:RPD786484 RYX786484:RYZ786484 SIT786484:SIV786484 SSP786484:SSR786484 TCL786484:TCN786484 TMH786484:TMJ786484 TWD786484:TWF786484 UFZ786484:UGB786484 UPV786484:UPX786484 UZR786484:UZT786484 VJN786484:VJP786484 VTJ786484:VTL786484 WDF786484:WDH786484 WNB786484:WND786484 F852020:H852020 AP852020:AR852020 KL852020:KN852020 UH852020:UJ852020 AED852020:AEF852020 ANZ852020:AOB852020 AXV852020:AXX852020 BHR852020:BHT852020 BRN852020:BRP852020 CBJ852020:CBL852020 CLF852020:CLH852020 CVB852020:CVD852020 DEX852020:DEZ852020 DOT852020:DOV852020 DYP852020:DYR852020 EIL852020:EIN852020 ESH852020:ESJ852020 FCD852020:FCF852020 FLZ852020:FMB852020 FVV852020:FVX852020 GFR852020:GFT852020 GPN852020:GPP852020 GZJ852020:GZL852020 HJF852020:HJH852020 HTB852020:HTD852020 ICX852020:ICZ852020 IMT852020:IMV852020 IWP852020:IWR852020 JGL852020:JGN852020 JQH852020:JQJ852020 KAD852020:KAF852020 KJZ852020:KKB852020 KTV852020:KTX852020 LDR852020:LDT852020 LNN852020:LNP852020 LXJ852020:LXL852020 MHF852020:MHH852020 MRB852020:MRD852020 NAX852020:NAZ852020 NKT852020:NKV852020 NUP852020:NUR852020 OEL852020:OEN852020 OOH852020:OOJ852020 OYD852020:OYF852020 PHZ852020:PIB852020 PRV852020:PRX852020 QBR852020:QBT852020 QLN852020:QLP852020 QVJ852020:QVL852020 RFF852020:RFH852020 RPB852020:RPD852020 RYX852020:RYZ852020 SIT852020:SIV852020 SSP852020:SSR852020 TCL852020:TCN852020 TMH852020:TMJ852020 TWD852020:TWF852020 UFZ852020:UGB852020 UPV852020:UPX852020 UZR852020:UZT852020 VJN852020:VJP852020 VTJ852020:VTL852020 WDF852020:WDH852020 WNB852020:WND852020 F917556:H917556 AP917556:AR917556 KL917556:KN917556 UH917556:UJ917556 AED917556:AEF917556 ANZ917556:AOB917556 AXV917556:AXX917556 BHR917556:BHT917556 BRN917556:BRP917556 CBJ917556:CBL917556 CLF917556:CLH917556 CVB917556:CVD917556 DEX917556:DEZ917556 DOT917556:DOV917556 DYP917556:DYR917556 EIL917556:EIN917556 ESH917556:ESJ917556 FCD917556:FCF917556 FLZ917556:FMB917556 FVV917556:FVX917556 GFR917556:GFT917556 GPN917556:GPP917556 GZJ917556:GZL917556 HJF917556:HJH917556 HTB917556:HTD917556 ICX917556:ICZ917556 IMT917556:IMV917556 IWP917556:IWR917556 JGL917556:JGN917556 JQH917556:JQJ917556 KAD917556:KAF917556 KJZ917556:KKB917556 KTV917556:KTX917556 LDR917556:LDT917556 LNN917556:LNP917556 LXJ917556:LXL917556 MHF917556:MHH917556 MRB917556:MRD917556 NAX917556:NAZ917556 NKT917556:NKV917556 NUP917556:NUR917556 OEL917556:OEN917556 OOH917556:OOJ917556 OYD917556:OYF917556 PHZ917556:PIB917556 PRV917556:PRX917556 QBR917556:QBT917556 QLN917556:QLP917556 QVJ917556:QVL917556 RFF917556:RFH917556 RPB917556:RPD917556 RYX917556:RYZ917556 SIT917556:SIV917556 SSP917556:SSR917556 TCL917556:TCN917556 TMH917556:TMJ917556 TWD917556:TWF917556 UFZ917556:UGB917556 UPV917556:UPX917556 UZR917556:UZT917556 VJN917556:VJP917556 VTJ917556:VTL917556 WDF917556:WDH917556 WNB917556:WND917556 F983092:H983092 AP983092:AR983092 KL983092:KN983092 UH983092:UJ983092 AED983092:AEF983092 ANZ983092:AOB983092 AXV983092:AXX983092 BHR983092:BHT983092 BRN983092:BRP983092 CBJ983092:CBL983092 CLF983092:CLH983092 CVB983092:CVD983092 DEX983092:DEZ983092 DOT983092:DOV983092 DYP983092:DYR983092 EIL983092:EIN983092 ESH983092:ESJ983092 FCD983092:FCF983092 FLZ983092:FMB983092 FVV983092:FVX983092 GFR983092:GFT983092 GPN983092:GPP983092 GZJ983092:GZL983092 HJF983092:HJH983092 HTB983092:HTD983092 ICX983092:ICZ983092 IMT983092:IMV983092 IWP983092:IWR983092 JGL983092:JGN983092 JQH983092:JQJ983092 KAD983092:KAF983092 KJZ983092:KKB983092 KTV983092:KTX983092 LDR983092:LDT983092 LNN983092:LNP983092 LXJ983092:LXL983092 MHF983092:MHH983092 MRB983092:MRD983092 NAX983092:NAZ983092 NKT983092:NKV983092 NUP983092:NUR983092 OEL983092:OEN983092 OOH983092:OOJ983092 OYD983092:OYF983092 PHZ983092:PIB983092 PRV983092:PRX983092 QBR983092:QBT983092 QLN983092:QLP983092 QVJ983092:QVL983092 RFF983092:RFH983092 RPB983092:RPD983092 RYX983092:RYZ983092 SIT983092:SIV983092 SSP983092:SSR983092 TCL983092:TCN983092 TMH983092:TMJ983092 TWD983092:TWF983092 UFZ983092:UGB983092 UPV983092:UPX983092 UZR983092:UZT983092 VJN983092:VJP983092 VTJ983092:VTL983092 WDF983092:WDH983092 WNB983092:WND983092 WNA983090:WNA983092 E65586:E65588 AO65586:AO65588 KK65586:KK65588 UG65586:UG65588 AEC65586:AEC65588 ANY65586:ANY65588 AXU65586:AXU65588 BHQ65586:BHQ65588 BRM65586:BRM65588 CBI65586:CBI65588 CLE65586:CLE65588 CVA65586:CVA65588 DEW65586:DEW65588 DOS65586:DOS65588 DYO65586:DYO65588 EIK65586:EIK65588 ESG65586:ESG65588 FCC65586:FCC65588 FLY65586:FLY65588 FVU65586:FVU65588 GFQ65586:GFQ65588 GPM65586:GPM65588 GZI65586:GZI65588 HJE65586:HJE65588 HTA65586:HTA65588 ICW65586:ICW65588 IMS65586:IMS65588 IWO65586:IWO65588 JGK65586:JGK65588 JQG65586:JQG65588 KAC65586:KAC65588 KJY65586:KJY65588 KTU65586:KTU65588 LDQ65586:LDQ65588 LNM65586:LNM65588 LXI65586:LXI65588 MHE65586:MHE65588 MRA65586:MRA65588 NAW65586:NAW65588 NKS65586:NKS65588 NUO65586:NUO65588 OEK65586:OEK65588 OOG65586:OOG65588 OYC65586:OYC65588 PHY65586:PHY65588 PRU65586:PRU65588 QBQ65586:QBQ65588 QLM65586:QLM65588 QVI65586:QVI65588 RFE65586:RFE65588 RPA65586:RPA65588 RYW65586:RYW65588 SIS65586:SIS65588 SSO65586:SSO65588 TCK65586:TCK65588 TMG65586:TMG65588 TWC65586:TWC65588 UFY65586:UFY65588 UPU65586:UPU65588 UZQ65586:UZQ65588 VJM65586:VJM65588 VTI65586:VTI65588 WDE65586:WDE65588 WNA65586:WNA65588 E131122:E131124 AO131122:AO131124 KK131122:KK131124 UG131122:UG131124 AEC131122:AEC131124 ANY131122:ANY131124 AXU131122:AXU131124 BHQ131122:BHQ131124 BRM131122:BRM131124 CBI131122:CBI131124 CLE131122:CLE131124 CVA131122:CVA131124 DEW131122:DEW131124 DOS131122:DOS131124 DYO131122:DYO131124 EIK131122:EIK131124 ESG131122:ESG131124 FCC131122:FCC131124 FLY131122:FLY131124 FVU131122:FVU131124 GFQ131122:GFQ131124 GPM131122:GPM131124 GZI131122:GZI131124 HJE131122:HJE131124 HTA131122:HTA131124 ICW131122:ICW131124 IMS131122:IMS131124 IWO131122:IWO131124 JGK131122:JGK131124 JQG131122:JQG131124 KAC131122:KAC131124 KJY131122:KJY131124 KTU131122:KTU131124 LDQ131122:LDQ131124 LNM131122:LNM131124 LXI131122:LXI131124 MHE131122:MHE131124 MRA131122:MRA131124 NAW131122:NAW131124 NKS131122:NKS131124 NUO131122:NUO131124 OEK131122:OEK131124 OOG131122:OOG131124 OYC131122:OYC131124 PHY131122:PHY131124 PRU131122:PRU131124 QBQ131122:QBQ131124 QLM131122:QLM131124 QVI131122:QVI131124 RFE131122:RFE131124 RPA131122:RPA131124 RYW131122:RYW131124 SIS131122:SIS131124 SSO131122:SSO131124 TCK131122:TCK131124 TMG131122:TMG131124 TWC131122:TWC131124 UFY131122:UFY131124 UPU131122:UPU131124 UZQ131122:UZQ131124 VJM131122:VJM131124 VTI131122:VTI131124 WDE131122:WDE131124 WNA131122:WNA131124 E196658:E196660 AO196658:AO196660 KK196658:KK196660 UG196658:UG196660 AEC196658:AEC196660 ANY196658:ANY196660 AXU196658:AXU196660 BHQ196658:BHQ196660 BRM196658:BRM196660 CBI196658:CBI196660 CLE196658:CLE196660 CVA196658:CVA196660 DEW196658:DEW196660 DOS196658:DOS196660 DYO196658:DYO196660 EIK196658:EIK196660 ESG196658:ESG196660 FCC196658:FCC196660 FLY196658:FLY196660 FVU196658:FVU196660 GFQ196658:GFQ196660 GPM196658:GPM196660 GZI196658:GZI196660 HJE196658:HJE196660 HTA196658:HTA196660 ICW196658:ICW196660 IMS196658:IMS196660 IWO196658:IWO196660 JGK196658:JGK196660 JQG196658:JQG196660 KAC196658:KAC196660 KJY196658:KJY196660 KTU196658:KTU196660 LDQ196658:LDQ196660 LNM196658:LNM196660 LXI196658:LXI196660 MHE196658:MHE196660 MRA196658:MRA196660 NAW196658:NAW196660 NKS196658:NKS196660 NUO196658:NUO196660 OEK196658:OEK196660 OOG196658:OOG196660 OYC196658:OYC196660 PHY196658:PHY196660 PRU196658:PRU196660 QBQ196658:QBQ196660 QLM196658:QLM196660 QVI196658:QVI196660 RFE196658:RFE196660 RPA196658:RPA196660 RYW196658:RYW196660 SIS196658:SIS196660 SSO196658:SSO196660 TCK196658:TCK196660 TMG196658:TMG196660 TWC196658:TWC196660 UFY196658:UFY196660 UPU196658:UPU196660 UZQ196658:UZQ196660 VJM196658:VJM196660 VTI196658:VTI196660 WDE196658:WDE196660 WNA196658:WNA196660 E262194:E262196 AO262194:AO262196 KK262194:KK262196 UG262194:UG262196 AEC262194:AEC262196 ANY262194:ANY262196 AXU262194:AXU262196 BHQ262194:BHQ262196 BRM262194:BRM262196 CBI262194:CBI262196 CLE262194:CLE262196 CVA262194:CVA262196 DEW262194:DEW262196 DOS262194:DOS262196 DYO262194:DYO262196 EIK262194:EIK262196 ESG262194:ESG262196 FCC262194:FCC262196 FLY262194:FLY262196 FVU262194:FVU262196 GFQ262194:GFQ262196 GPM262194:GPM262196 GZI262194:GZI262196 HJE262194:HJE262196 HTA262194:HTA262196 ICW262194:ICW262196 IMS262194:IMS262196 IWO262194:IWO262196 JGK262194:JGK262196 JQG262194:JQG262196 KAC262194:KAC262196 KJY262194:KJY262196 KTU262194:KTU262196 LDQ262194:LDQ262196 LNM262194:LNM262196 LXI262194:LXI262196 MHE262194:MHE262196 MRA262194:MRA262196 NAW262194:NAW262196 NKS262194:NKS262196 NUO262194:NUO262196 OEK262194:OEK262196 OOG262194:OOG262196 OYC262194:OYC262196 PHY262194:PHY262196 PRU262194:PRU262196 QBQ262194:QBQ262196 QLM262194:QLM262196 QVI262194:QVI262196 RFE262194:RFE262196 RPA262194:RPA262196 RYW262194:RYW262196 SIS262194:SIS262196 SSO262194:SSO262196 TCK262194:TCK262196 TMG262194:TMG262196 TWC262194:TWC262196 UFY262194:UFY262196 UPU262194:UPU262196 UZQ262194:UZQ262196 VJM262194:VJM262196 VTI262194:VTI262196 WDE262194:WDE262196 WNA262194:WNA262196 E327730:E327732 AO327730:AO327732 KK327730:KK327732 UG327730:UG327732 AEC327730:AEC327732 ANY327730:ANY327732 AXU327730:AXU327732 BHQ327730:BHQ327732 BRM327730:BRM327732 CBI327730:CBI327732 CLE327730:CLE327732 CVA327730:CVA327732 DEW327730:DEW327732 DOS327730:DOS327732 DYO327730:DYO327732 EIK327730:EIK327732 ESG327730:ESG327732 FCC327730:FCC327732 FLY327730:FLY327732 FVU327730:FVU327732 GFQ327730:GFQ327732 GPM327730:GPM327732 GZI327730:GZI327732 HJE327730:HJE327732 HTA327730:HTA327732 ICW327730:ICW327732 IMS327730:IMS327732 IWO327730:IWO327732 JGK327730:JGK327732 JQG327730:JQG327732 KAC327730:KAC327732 KJY327730:KJY327732 KTU327730:KTU327732 LDQ327730:LDQ327732 LNM327730:LNM327732 LXI327730:LXI327732 MHE327730:MHE327732 MRA327730:MRA327732 NAW327730:NAW327732 NKS327730:NKS327732 NUO327730:NUO327732 OEK327730:OEK327732 OOG327730:OOG327732 OYC327730:OYC327732 PHY327730:PHY327732 PRU327730:PRU327732 QBQ327730:QBQ327732 QLM327730:QLM327732 QVI327730:QVI327732 RFE327730:RFE327732 RPA327730:RPA327732 RYW327730:RYW327732 SIS327730:SIS327732 SSO327730:SSO327732 TCK327730:TCK327732 TMG327730:TMG327732 TWC327730:TWC327732 UFY327730:UFY327732 UPU327730:UPU327732 UZQ327730:UZQ327732 VJM327730:VJM327732 VTI327730:VTI327732 WDE327730:WDE327732 WNA327730:WNA327732 E393266:E393268 AO393266:AO393268 KK393266:KK393268 UG393266:UG393268 AEC393266:AEC393268 ANY393266:ANY393268 AXU393266:AXU393268 BHQ393266:BHQ393268 BRM393266:BRM393268 CBI393266:CBI393268 CLE393266:CLE393268 CVA393266:CVA393268 DEW393266:DEW393268 DOS393266:DOS393268 DYO393266:DYO393268 EIK393266:EIK393268 ESG393266:ESG393268 FCC393266:FCC393268 FLY393266:FLY393268 FVU393266:FVU393268 GFQ393266:GFQ393268 GPM393266:GPM393268 GZI393266:GZI393268 HJE393266:HJE393268 HTA393266:HTA393268 ICW393266:ICW393268 IMS393266:IMS393268 IWO393266:IWO393268 JGK393266:JGK393268 JQG393266:JQG393268 KAC393266:KAC393268 KJY393266:KJY393268 KTU393266:KTU393268 LDQ393266:LDQ393268 LNM393266:LNM393268 LXI393266:LXI393268 MHE393266:MHE393268 MRA393266:MRA393268 NAW393266:NAW393268 NKS393266:NKS393268 NUO393266:NUO393268 OEK393266:OEK393268 OOG393266:OOG393268 OYC393266:OYC393268 PHY393266:PHY393268 PRU393266:PRU393268 QBQ393266:QBQ393268 QLM393266:QLM393268 QVI393266:QVI393268 RFE393266:RFE393268 RPA393266:RPA393268 RYW393266:RYW393268 SIS393266:SIS393268 SSO393266:SSO393268 TCK393266:TCK393268 TMG393266:TMG393268 TWC393266:TWC393268 UFY393266:UFY393268 UPU393266:UPU393268 UZQ393266:UZQ393268 VJM393266:VJM393268 VTI393266:VTI393268 WDE393266:WDE393268 WNA393266:WNA393268 E458802:E458804 AO458802:AO458804 KK458802:KK458804 UG458802:UG458804 AEC458802:AEC458804 ANY458802:ANY458804 AXU458802:AXU458804 BHQ458802:BHQ458804 BRM458802:BRM458804 CBI458802:CBI458804 CLE458802:CLE458804 CVA458802:CVA458804 DEW458802:DEW458804 DOS458802:DOS458804 DYO458802:DYO458804 EIK458802:EIK458804 ESG458802:ESG458804 FCC458802:FCC458804 FLY458802:FLY458804 FVU458802:FVU458804 GFQ458802:GFQ458804 GPM458802:GPM458804 GZI458802:GZI458804 HJE458802:HJE458804 HTA458802:HTA458804 ICW458802:ICW458804 IMS458802:IMS458804 IWO458802:IWO458804 JGK458802:JGK458804 JQG458802:JQG458804 KAC458802:KAC458804 KJY458802:KJY458804 KTU458802:KTU458804 LDQ458802:LDQ458804 LNM458802:LNM458804 LXI458802:LXI458804 MHE458802:MHE458804 MRA458802:MRA458804 NAW458802:NAW458804 NKS458802:NKS458804 NUO458802:NUO458804 OEK458802:OEK458804 OOG458802:OOG458804 OYC458802:OYC458804 PHY458802:PHY458804 PRU458802:PRU458804 QBQ458802:QBQ458804 QLM458802:QLM458804 QVI458802:QVI458804 RFE458802:RFE458804 RPA458802:RPA458804 RYW458802:RYW458804 SIS458802:SIS458804 SSO458802:SSO458804 TCK458802:TCK458804 TMG458802:TMG458804 TWC458802:TWC458804 UFY458802:UFY458804 UPU458802:UPU458804 UZQ458802:UZQ458804 VJM458802:VJM458804 VTI458802:VTI458804 WDE458802:WDE458804 WNA458802:WNA458804 E524338:E524340 AO524338:AO524340 KK524338:KK524340 UG524338:UG524340 AEC524338:AEC524340 ANY524338:ANY524340 AXU524338:AXU524340 BHQ524338:BHQ524340 BRM524338:BRM524340 CBI524338:CBI524340 CLE524338:CLE524340 CVA524338:CVA524340 DEW524338:DEW524340 DOS524338:DOS524340 DYO524338:DYO524340 EIK524338:EIK524340 ESG524338:ESG524340 FCC524338:FCC524340 FLY524338:FLY524340 FVU524338:FVU524340 GFQ524338:GFQ524340 GPM524338:GPM524340 GZI524338:GZI524340 HJE524338:HJE524340 HTA524338:HTA524340 ICW524338:ICW524340 IMS524338:IMS524340 IWO524338:IWO524340 JGK524338:JGK524340 JQG524338:JQG524340 KAC524338:KAC524340 KJY524338:KJY524340 KTU524338:KTU524340 LDQ524338:LDQ524340 LNM524338:LNM524340 LXI524338:LXI524340 MHE524338:MHE524340 MRA524338:MRA524340 NAW524338:NAW524340 NKS524338:NKS524340 NUO524338:NUO524340 OEK524338:OEK524340 OOG524338:OOG524340 OYC524338:OYC524340 PHY524338:PHY524340 PRU524338:PRU524340 QBQ524338:QBQ524340 QLM524338:QLM524340 QVI524338:QVI524340 RFE524338:RFE524340 RPA524338:RPA524340 RYW524338:RYW524340 SIS524338:SIS524340 SSO524338:SSO524340 TCK524338:TCK524340 TMG524338:TMG524340 TWC524338:TWC524340 UFY524338:UFY524340 UPU524338:UPU524340 UZQ524338:UZQ524340 VJM524338:VJM524340 VTI524338:VTI524340 WDE524338:WDE524340 WNA524338:WNA524340 E589874:E589876 AO589874:AO589876 KK589874:KK589876 UG589874:UG589876 AEC589874:AEC589876 ANY589874:ANY589876 AXU589874:AXU589876 BHQ589874:BHQ589876 BRM589874:BRM589876 CBI589874:CBI589876 CLE589874:CLE589876 CVA589874:CVA589876 DEW589874:DEW589876 DOS589874:DOS589876 DYO589874:DYO589876 EIK589874:EIK589876 ESG589874:ESG589876 FCC589874:FCC589876 FLY589874:FLY589876 FVU589874:FVU589876 GFQ589874:GFQ589876 GPM589874:GPM589876 GZI589874:GZI589876 HJE589874:HJE589876 HTA589874:HTA589876 ICW589874:ICW589876 IMS589874:IMS589876 IWO589874:IWO589876 JGK589874:JGK589876 JQG589874:JQG589876 KAC589874:KAC589876 KJY589874:KJY589876 KTU589874:KTU589876 LDQ589874:LDQ589876 LNM589874:LNM589876 LXI589874:LXI589876 MHE589874:MHE589876 MRA589874:MRA589876 NAW589874:NAW589876 NKS589874:NKS589876 NUO589874:NUO589876 OEK589874:OEK589876 OOG589874:OOG589876 OYC589874:OYC589876 PHY589874:PHY589876 PRU589874:PRU589876 QBQ589874:QBQ589876 QLM589874:QLM589876 QVI589874:QVI589876 RFE589874:RFE589876 RPA589874:RPA589876 RYW589874:RYW589876 SIS589874:SIS589876 SSO589874:SSO589876 TCK589874:TCK589876 TMG589874:TMG589876 TWC589874:TWC589876 UFY589874:UFY589876 UPU589874:UPU589876 UZQ589874:UZQ589876 VJM589874:VJM589876 VTI589874:VTI589876 WDE589874:WDE589876 WNA589874:WNA589876 E655410:E655412 AO655410:AO655412 KK655410:KK655412 UG655410:UG655412 AEC655410:AEC655412 ANY655410:ANY655412 AXU655410:AXU655412 BHQ655410:BHQ655412 BRM655410:BRM655412 CBI655410:CBI655412 CLE655410:CLE655412 CVA655410:CVA655412 DEW655410:DEW655412 DOS655410:DOS655412 DYO655410:DYO655412 EIK655410:EIK655412 ESG655410:ESG655412 FCC655410:FCC655412 FLY655410:FLY655412 FVU655410:FVU655412 GFQ655410:GFQ655412 GPM655410:GPM655412 GZI655410:GZI655412 HJE655410:HJE655412 HTA655410:HTA655412 ICW655410:ICW655412 IMS655410:IMS655412 IWO655410:IWO655412 JGK655410:JGK655412 JQG655410:JQG655412 KAC655410:KAC655412 KJY655410:KJY655412 KTU655410:KTU655412 LDQ655410:LDQ655412 LNM655410:LNM655412 LXI655410:LXI655412 MHE655410:MHE655412 MRA655410:MRA655412 NAW655410:NAW655412 NKS655410:NKS655412 NUO655410:NUO655412 OEK655410:OEK655412 OOG655410:OOG655412 OYC655410:OYC655412 PHY655410:PHY655412 PRU655410:PRU655412 QBQ655410:QBQ655412 QLM655410:QLM655412 QVI655410:QVI655412 RFE655410:RFE655412 RPA655410:RPA655412 RYW655410:RYW655412 SIS655410:SIS655412 SSO655410:SSO655412 TCK655410:TCK655412 TMG655410:TMG655412 TWC655410:TWC655412 UFY655410:UFY655412 UPU655410:UPU655412 UZQ655410:UZQ655412 VJM655410:VJM655412 VTI655410:VTI655412 WDE655410:WDE655412 WNA655410:WNA655412 E720946:E720948 AO720946:AO720948 KK720946:KK720948 UG720946:UG720948 AEC720946:AEC720948 ANY720946:ANY720948 AXU720946:AXU720948 BHQ720946:BHQ720948 BRM720946:BRM720948 CBI720946:CBI720948 CLE720946:CLE720948 CVA720946:CVA720948 DEW720946:DEW720948 DOS720946:DOS720948 DYO720946:DYO720948 EIK720946:EIK720948 ESG720946:ESG720948 FCC720946:FCC720948 FLY720946:FLY720948 FVU720946:FVU720948 GFQ720946:GFQ720948 GPM720946:GPM720948 GZI720946:GZI720948 HJE720946:HJE720948 HTA720946:HTA720948 ICW720946:ICW720948 IMS720946:IMS720948 IWO720946:IWO720948 JGK720946:JGK720948 JQG720946:JQG720948 KAC720946:KAC720948 KJY720946:KJY720948 KTU720946:KTU720948 LDQ720946:LDQ720948 LNM720946:LNM720948 LXI720946:LXI720948 MHE720946:MHE720948 MRA720946:MRA720948 NAW720946:NAW720948 NKS720946:NKS720948 NUO720946:NUO720948 OEK720946:OEK720948 OOG720946:OOG720948 OYC720946:OYC720948 PHY720946:PHY720948 PRU720946:PRU720948 QBQ720946:QBQ720948 QLM720946:QLM720948 QVI720946:QVI720948 RFE720946:RFE720948 RPA720946:RPA720948 RYW720946:RYW720948 SIS720946:SIS720948 SSO720946:SSO720948 TCK720946:TCK720948 TMG720946:TMG720948 TWC720946:TWC720948 UFY720946:UFY720948 UPU720946:UPU720948 UZQ720946:UZQ720948 VJM720946:VJM720948 VTI720946:VTI720948 WDE720946:WDE720948 WNA720946:WNA720948 E786482:E786484 AO786482:AO786484 KK786482:KK786484 UG786482:UG786484 AEC786482:AEC786484 ANY786482:ANY786484 AXU786482:AXU786484 BHQ786482:BHQ786484 BRM786482:BRM786484 CBI786482:CBI786484 CLE786482:CLE786484 CVA786482:CVA786484 DEW786482:DEW786484 DOS786482:DOS786484 DYO786482:DYO786484 EIK786482:EIK786484 ESG786482:ESG786484 FCC786482:FCC786484 FLY786482:FLY786484 FVU786482:FVU786484 GFQ786482:GFQ786484 GPM786482:GPM786484 GZI786482:GZI786484 HJE786482:HJE786484 HTA786482:HTA786484 ICW786482:ICW786484 IMS786482:IMS786484 IWO786482:IWO786484 JGK786482:JGK786484 JQG786482:JQG786484 KAC786482:KAC786484 KJY786482:KJY786484 KTU786482:KTU786484 LDQ786482:LDQ786484 LNM786482:LNM786484 LXI786482:LXI786484 MHE786482:MHE786484 MRA786482:MRA786484 NAW786482:NAW786484 NKS786482:NKS786484 NUO786482:NUO786484 OEK786482:OEK786484 OOG786482:OOG786484 OYC786482:OYC786484 PHY786482:PHY786484 PRU786482:PRU786484 QBQ786482:QBQ786484 QLM786482:QLM786484 QVI786482:QVI786484 RFE786482:RFE786484 RPA786482:RPA786484 RYW786482:RYW786484 SIS786482:SIS786484 SSO786482:SSO786484 TCK786482:TCK786484 TMG786482:TMG786484 TWC786482:TWC786484 UFY786482:UFY786484 UPU786482:UPU786484 UZQ786482:UZQ786484 VJM786482:VJM786484 VTI786482:VTI786484 WDE786482:WDE786484 WNA786482:WNA786484 E852018:E852020 AO852018:AO852020 KK852018:KK852020 UG852018:UG852020 AEC852018:AEC852020 ANY852018:ANY852020 AXU852018:AXU852020 BHQ852018:BHQ852020 BRM852018:BRM852020 CBI852018:CBI852020 CLE852018:CLE852020 CVA852018:CVA852020 DEW852018:DEW852020 DOS852018:DOS852020 DYO852018:DYO852020 EIK852018:EIK852020 ESG852018:ESG852020 FCC852018:FCC852020 FLY852018:FLY852020 FVU852018:FVU852020 GFQ852018:GFQ852020 GPM852018:GPM852020 GZI852018:GZI852020 HJE852018:HJE852020 HTA852018:HTA852020 ICW852018:ICW852020 IMS852018:IMS852020 IWO852018:IWO852020 JGK852018:JGK852020 JQG852018:JQG852020 KAC852018:KAC852020 KJY852018:KJY852020 KTU852018:KTU852020 LDQ852018:LDQ852020 LNM852018:LNM852020 LXI852018:LXI852020 MHE852018:MHE852020 MRA852018:MRA852020 NAW852018:NAW852020 NKS852018:NKS852020 NUO852018:NUO852020 OEK852018:OEK852020 OOG852018:OOG852020 OYC852018:OYC852020 PHY852018:PHY852020 PRU852018:PRU852020 QBQ852018:QBQ852020 QLM852018:QLM852020 QVI852018:QVI852020 RFE852018:RFE852020 RPA852018:RPA852020 RYW852018:RYW852020 SIS852018:SIS852020 SSO852018:SSO852020 TCK852018:TCK852020 TMG852018:TMG852020 TWC852018:TWC852020 UFY852018:UFY852020 UPU852018:UPU852020 UZQ852018:UZQ852020 VJM852018:VJM852020 VTI852018:VTI852020 WDE852018:WDE852020 WNA852018:WNA852020 E917554:E917556 AO917554:AO917556 KK917554:KK917556 UG917554:UG917556 AEC917554:AEC917556 ANY917554:ANY917556 AXU917554:AXU917556 BHQ917554:BHQ917556 BRM917554:BRM917556 CBI917554:CBI917556 CLE917554:CLE917556 CVA917554:CVA917556 DEW917554:DEW917556 DOS917554:DOS917556 DYO917554:DYO917556 EIK917554:EIK917556 ESG917554:ESG917556 FCC917554:FCC917556 FLY917554:FLY917556 FVU917554:FVU917556 GFQ917554:GFQ917556 GPM917554:GPM917556 GZI917554:GZI917556 HJE917554:HJE917556 HTA917554:HTA917556 ICW917554:ICW917556 IMS917554:IMS917556 IWO917554:IWO917556 JGK917554:JGK917556 JQG917554:JQG917556 KAC917554:KAC917556 KJY917554:KJY917556 KTU917554:KTU917556 LDQ917554:LDQ917556 LNM917554:LNM917556 LXI917554:LXI917556 MHE917554:MHE917556 MRA917554:MRA917556 NAW917554:NAW917556 NKS917554:NKS917556 NUO917554:NUO917556 OEK917554:OEK917556 OOG917554:OOG917556 OYC917554:OYC917556 PHY917554:PHY917556 PRU917554:PRU917556 QBQ917554:QBQ917556 QLM917554:QLM917556 QVI917554:QVI917556 RFE917554:RFE917556 RPA917554:RPA917556 RYW917554:RYW917556 SIS917554:SIS917556 SSO917554:SSO917556 TCK917554:TCK917556 TMG917554:TMG917556 TWC917554:TWC917556 UFY917554:UFY917556 UPU917554:UPU917556 UZQ917554:UZQ917556 VJM917554:VJM917556 VTI917554:VTI917556 WDE917554:WDE917556 WNA917554:WNA917556 E983090:E983092 AO983090:AO983092 KK983090:KK983092 UG983090:UG983092 AEC983090:AEC983092 ANY983090:ANY983092 AXU983090:AXU983092 BHQ983090:BHQ983092 BRM983090:BRM983092 CBI983090:CBI983092 CLE983090:CLE983092 CVA983090:CVA983092 DEW983090:DEW983092 DOS983090:DOS983092 DYO983090:DYO983092 EIK983090:EIK983092 ESG983090:ESG983092 FCC983090:FCC983092 FLY983090:FLY983092 FVU983090:FVU983092 GFQ983090:GFQ983092 GPM983090:GPM983092 GZI983090:GZI983092 HJE983090:HJE983092 HTA983090:HTA983092 ICW983090:ICW983092 IMS983090:IMS983092 IWO983090:IWO983092 JGK983090:JGK983092 JQG983090:JQG983092 KAC983090:KAC983092 KJY983090:KJY983092 KTU983090:KTU983092 LDQ983090:LDQ983092 LNM983090:LNM983092 LXI983090:LXI983092 MHE983090:MHE983092 MRA983090:MRA983092 NAW983090:NAW983092 NKS983090:NKS983092 NUO983090:NUO983092 OEK983090:OEK983092 OOG983090:OOG983092 OYC983090:OYC983092 PHY983090:PHY983092 PRU983090:PRU983092 QBQ983090:QBQ983092 QLM983090:QLM983092 QVI983090:QVI983092 RFE983090:RFE983092 RPA983090:RPA983092 RYW983090:RYW983092 SIS983090:SIS983092 SSO983090:SSO983092 TCK983090:TCK983092 TMG983090:TMG983092 TWC983090:TWC983092 UFY983090:UFY983092 UPU983090:UPU983092 UZQ983090:UZQ983092 VJM983090:VJM983092 VTI983090:VTI983092 WNA53:WNA54 WDE53:WDE54 VTI53:VTI54 VJM53:VJM54 UZQ53:UZQ54 UPU53:UPU54 UFY53:UFY54 TWC53:TWC54 TMG53:TMG54 TCK53:TCK54 SSO53:SSO54 SIS53:SIS54 RYW53:RYW54 RPA53:RPA54 RFE53:RFE54 QVI53:QVI54 QLM53:QLM54 QBQ53:QBQ54 PRU53:PRU54 PHY53:PHY54 OYC53:OYC54 OOG53:OOG54 OEK53:OEK54 NUO53:NUO54 NKS53:NKS54 NAW53:NAW54 MRA53:MRA54 MHE53:MHE54 LXI53:LXI54 LNM53:LNM54 LDQ53:LDQ54 KTU53:KTU54 KJY53:KJY54 KAC53:KAC54 JQG53:JQG54 JGK53:JGK54 IWO53:IWO54 IMS53:IMS54 ICW53:ICW54 HTA53:HTA54 HJE53:HJE54 GZI53:GZI54 GPM53:GPM54 GFQ53:GFQ54 FVU53:FVU54 FLY53:FLY54 FCC53:FCC54 ESG53:ESG54 EIK53:EIK54 DYO53:DYO54 DOS53:DOS54 DEW53:DEW54 CVA53:CVA54 CLE53:CLE54 CBI53:CBI54 BRM53:BRM54 BHQ53:BHQ54 AXU53:AXU54 ANY53:ANY54 AEC53:AEC54 UG53:UG54 KK53:KK54">
      <formula1>0</formula1>
    </dataValidation>
    <dataValidation type="decimal" operator="greaterThanOrEqual" allowBlank="1" showInputMessage="1" showErrorMessage="1" errorTitle="Error" error="This figure cannot be negative. Please enter a positive unit value." sqref="WNA983083 AO43 KK43 UG43 AEC43 ANY43 AXU43 BHQ43 BRM43 CBI43 CLE43 CVA43 DEW43 DOS43 DYO43 EIK43 ESG43 FCC43 FLY43 FVU43 GFQ43 GPM43 GZI43 HJE43 HTA43 ICW43 IMS43 IWO43 JGK43 JQG43 KAC43 KJY43 KTU43 LDQ43 LNM43 LXI43 MHE43 MRA43 NAW43 NKS43 NUO43 OEK43 OOG43 OYC43 PHY43 PRU43 QBQ43 QLM43 QVI43 RFE43 RPA43 RYW43 SIS43 SSO43 TCK43 TMG43 TWC43 UFY43 UPU43 UZQ43 VJM43 VTI43 WDE43 WNA43 E65577 AO65577 KK65577 UG65577 AEC65577 ANY65577 AXU65577 BHQ65577 BRM65577 CBI65577 CLE65577 CVA65577 DEW65577 DOS65577 DYO65577 EIK65577 ESG65577 FCC65577 FLY65577 FVU65577 GFQ65577 GPM65577 GZI65577 HJE65577 HTA65577 ICW65577 IMS65577 IWO65577 JGK65577 JQG65577 KAC65577 KJY65577 KTU65577 LDQ65577 LNM65577 LXI65577 MHE65577 MRA65577 NAW65577 NKS65577 NUO65577 OEK65577 OOG65577 OYC65577 PHY65577 PRU65577 QBQ65577 QLM65577 QVI65577 RFE65577 RPA65577 RYW65577 SIS65577 SSO65577 TCK65577 TMG65577 TWC65577 UFY65577 UPU65577 UZQ65577 VJM65577 VTI65577 WDE65577 WNA65577 E131113 AO131113 KK131113 UG131113 AEC131113 ANY131113 AXU131113 BHQ131113 BRM131113 CBI131113 CLE131113 CVA131113 DEW131113 DOS131113 DYO131113 EIK131113 ESG131113 FCC131113 FLY131113 FVU131113 GFQ131113 GPM131113 GZI131113 HJE131113 HTA131113 ICW131113 IMS131113 IWO131113 JGK131113 JQG131113 KAC131113 KJY131113 KTU131113 LDQ131113 LNM131113 LXI131113 MHE131113 MRA131113 NAW131113 NKS131113 NUO131113 OEK131113 OOG131113 OYC131113 PHY131113 PRU131113 QBQ131113 QLM131113 QVI131113 RFE131113 RPA131113 RYW131113 SIS131113 SSO131113 TCK131113 TMG131113 TWC131113 UFY131113 UPU131113 UZQ131113 VJM131113 VTI131113 WDE131113 WNA131113 E196649 AO196649 KK196649 UG196649 AEC196649 ANY196649 AXU196649 BHQ196649 BRM196649 CBI196649 CLE196649 CVA196649 DEW196649 DOS196649 DYO196649 EIK196649 ESG196649 FCC196649 FLY196649 FVU196649 GFQ196649 GPM196649 GZI196649 HJE196649 HTA196649 ICW196649 IMS196649 IWO196649 JGK196649 JQG196649 KAC196649 KJY196649 KTU196649 LDQ196649 LNM196649 LXI196649 MHE196649 MRA196649 NAW196649 NKS196649 NUO196649 OEK196649 OOG196649 OYC196649 PHY196649 PRU196649 QBQ196649 QLM196649 QVI196649 RFE196649 RPA196649 RYW196649 SIS196649 SSO196649 TCK196649 TMG196649 TWC196649 UFY196649 UPU196649 UZQ196649 VJM196649 VTI196649 WDE196649 WNA196649 E262185 AO262185 KK262185 UG262185 AEC262185 ANY262185 AXU262185 BHQ262185 BRM262185 CBI262185 CLE262185 CVA262185 DEW262185 DOS262185 DYO262185 EIK262185 ESG262185 FCC262185 FLY262185 FVU262185 GFQ262185 GPM262185 GZI262185 HJE262185 HTA262185 ICW262185 IMS262185 IWO262185 JGK262185 JQG262185 KAC262185 KJY262185 KTU262185 LDQ262185 LNM262185 LXI262185 MHE262185 MRA262185 NAW262185 NKS262185 NUO262185 OEK262185 OOG262185 OYC262185 PHY262185 PRU262185 QBQ262185 QLM262185 QVI262185 RFE262185 RPA262185 RYW262185 SIS262185 SSO262185 TCK262185 TMG262185 TWC262185 UFY262185 UPU262185 UZQ262185 VJM262185 VTI262185 WDE262185 WNA262185 E327721 AO327721 KK327721 UG327721 AEC327721 ANY327721 AXU327721 BHQ327721 BRM327721 CBI327721 CLE327721 CVA327721 DEW327721 DOS327721 DYO327721 EIK327721 ESG327721 FCC327721 FLY327721 FVU327721 GFQ327721 GPM327721 GZI327721 HJE327721 HTA327721 ICW327721 IMS327721 IWO327721 JGK327721 JQG327721 KAC327721 KJY327721 KTU327721 LDQ327721 LNM327721 LXI327721 MHE327721 MRA327721 NAW327721 NKS327721 NUO327721 OEK327721 OOG327721 OYC327721 PHY327721 PRU327721 QBQ327721 QLM327721 QVI327721 RFE327721 RPA327721 RYW327721 SIS327721 SSO327721 TCK327721 TMG327721 TWC327721 UFY327721 UPU327721 UZQ327721 VJM327721 VTI327721 WDE327721 WNA327721 E393257 AO393257 KK393257 UG393257 AEC393257 ANY393257 AXU393257 BHQ393257 BRM393257 CBI393257 CLE393257 CVA393257 DEW393257 DOS393257 DYO393257 EIK393257 ESG393257 FCC393257 FLY393257 FVU393257 GFQ393257 GPM393257 GZI393257 HJE393257 HTA393257 ICW393257 IMS393257 IWO393257 JGK393257 JQG393257 KAC393257 KJY393257 KTU393257 LDQ393257 LNM393257 LXI393257 MHE393257 MRA393257 NAW393257 NKS393257 NUO393257 OEK393257 OOG393257 OYC393257 PHY393257 PRU393257 QBQ393257 QLM393257 QVI393257 RFE393257 RPA393257 RYW393257 SIS393257 SSO393257 TCK393257 TMG393257 TWC393257 UFY393257 UPU393257 UZQ393257 VJM393257 VTI393257 WDE393257 WNA393257 E458793 AO458793 KK458793 UG458793 AEC458793 ANY458793 AXU458793 BHQ458793 BRM458793 CBI458793 CLE458793 CVA458793 DEW458793 DOS458793 DYO458793 EIK458793 ESG458793 FCC458793 FLY458793 FVU458793 GFQ458793 GPM458793 GZI458793 HJE458793 HTA458793 ICW458793 IMS458793 IWO458793 JGK458793 JQG458793 KAC458793 KJY458793 KTU458793 LDQ458793 LNM458793 LXI458793 MHE458793 MRA458793 NAW458793 NKS458793 NUO458793 OEK458793 OOG458793 OYC458793 PHY458793 PRU458793 QBQ458793 QLM458793 QVI458793 RFE458793 RPA458793 RYW458793 SIS458793 SSO458793 TCK458793 TMG458793 TWC458793 UFY458793 UPU458793 UZQ458793 VJM458793 VTI458793 WDE458793 WNA458793 E524329 AO524329 KK524329 UG524329 AEC524329 ANY524329 AXU524329 BHQ524329 BRM524329 CBI524329 CLE524329 CVA524329 DEW524329 DOS524329 DYO524329 EIK524329 ESG524329 FCC524329 FLY524329 FVU524329 GFQ524329 GPM524329 GZI524329 HJE524329 HTA524329 ICW524329 IMS524329 IWO524329 JGK524329 JQG524329 KAC524329 KJY524329 KTU524329 LDQ524329 LNM524329 LXI524329 MHE524329 MRA524329 NAW524329 NKS524329 NUO524329 OEK524329 OOG524329 OYC524329 PHY524329 PRU524329 QBQ524329 QLM524329 QVI524329 RFE524329 RPA524329 RYW524329 SIS524329 SSO524329 TCK524329 TMG524329 TWC524329 UFY524329 UPU524329 UZQ524329 VJM524329 VTI524329 WDE524329 WNA524329 E589865 AO589865 KK589865 UG589865 AEC589865 ANY589865 AXU589865 BHQ589865 BRM589865 CBI589865 CLE589865 CVA589865 DEW589865 DOS589865 DYO589865 EIK589865 ESG589865 FCC589865 FLY589865 FVU589865 GFQ589865 GPM589865 GZI589865 HJE589865 HTA589865 ICW589865 IMS589865 IWO589865 JGK589865 JQG589865 KAC589865 KJY589865 KTU589865 LDQ589865 LNM589865 LXI589865 MHE589865 MRA589865 NAW589865 NKS589865 NUO589865 OEK589865 OOG589865 OYC589865 PHY589865 PRU589865 QBQ589865 QLM589865 QVI589865 RFE589865 RPA589865 RYW589865 SIS589865 SSO589865 TCK589865 TMG589865 TWC589865 UFY589865 UPU589865 UZQ589865 VJM589865 VTI589865 WDE589865 WNA589865 E655401 AO655401 KK655401 UG655401 AEC655401 ANY655401 AXU655401 BHQ655401 BRM655401 CBI655401 CLE655401 CVA655401 DEW655401 DOS655401 DYO655401 EIK655401 ESG655401 FCC655401 FLY655401 FVU655401 GFQ655401 GPM655401 GZI655401 HJE655401 HTA655401 ICW655401 IMS655401 IWO655401 JGK655401 JQG655401 KAC655401 KJY655401 KTU655401 LDQ655401 LNM655401 LXI655401 MHE655401 MRA655401 NAW655401 NKS655401 NUO655401 OEK655401 OOG655401 OYC655401 PHY655401 PRU655401 QBQ655401 QLM655401 QVI655401 RFE655401 RPA655401 RYW655401 SIS655401 SSO655401 TCK655401 TMG655401 TWC655401 UFY655401 UPU655401 UZQ655401 VJM655401 VTI655401 WDE655401 WNA655401 E720937 AO720937 KK720937 UG720937 AEC720937 ANY720937 AXU720937 BHQ720937 BRM720937 CBI720937 CLE720937 CVA720937 DEW720937 DOS720937 DYO720937 EIK720937 ESG720937 FCC720937 FLY720937 FVU720937 GFQ720937 GPM720937 GZI720937 HJE720937 HTA720937 ICW720937 IMS720937 IWO720937 JGK720937 JQG720937 KAC720937 KJY720937 KTU720937 LDQ720937 LNM720937 LXI720937 MHE720937 MRA720937 NAW720937 NKS720937 NUO720937 OEK720937 OOG720937 OYC720937 PHY720937 PRU720937 QBQ720937 QLM720937 QVI720937 RFE720937 RPA720937 RYW720937 SIS720937 SSO720937 TCK720937 TMG720937 TWC720937 UFY720937 UPU720937 UZQ720937 VJM720937 VTI720937 WDE720937 WNA720937 E786473 AO786473 KK786473 UG786473 AEC786473 ANY786473 AXU786473 BHQ786473 BRM786473 CBI786473 CLE786473 CVA786473 DEW786473 DOS786473 DYO786473 EIK786473 ESG786473 FCC786473 FLY786473 FVU786473 GFQ786473 GPM786473 GZI786473 HJE786473 HTA786473 ICW786473 IMS786473 IWO786473 JGK786473 JQG786473 KAC786473 KJY786473 KTU786473 LDQ786473 LNM786473 LXI786473 MHE786473 MRA786473 NAW786473 NKS786473 NUO786473 OEK786473 OOG786473 OYC786473 PHY786473 PRU786473 QBQ786473 QLM786473 QVI786473 RFE786473 RPA786473 RYW786473 SIS786473 SSO786473 TCK786473 TMG786473 TWC786473 UFY786473 UPU786473 UZQ786473 VJM786473 VTI786473 WDE786473 WNA786473 E852009 AO852009 KK852009 UG852009 AEC852009 ANY852009 AXU852009 BHQ852009 BRM852009 CBI852009 CLE852009 CVA852009 DEW852009 DOS852009 DYO852009 EIK852009 ESG852009 FCC852009 FLY852009 FVU852009 GFQ852009 GPM852009 GZI852009 HJE852009 HTA852009 ICW852009 IMS852009 IWO852009 JGK852009 JQG852009 KAC852009 KJY852009 KTU852009 LDQ852009 LNM852009 LXI852009 MHE852009 MRA852009 NAW852009 NKS852009 NUO852009 OEK852009 OOG852009 OYC852009 PHY852009 PRU852009 QBQ852009 QLM852009 QVI852009 RFE852009 RPA852009 RYW852009 SIS852009 SSO852009 TCK852009 TMG852009 TWC852009 UFY852009 UPU852009 UZQ852009 VJM852009 VTI852009 WDE852009 WNA852009 E917545 AO917545 KK917545 UG917545 AEC917545 ANY917545 AXU917545 BHQ917545 BRM917545 CBI917545 CLE917545 CVA917545 DEW917545 DOS917545 DYO917545 EIK917545 ESG917545 FCC917545 FLY917545 FVU917545 GFQ917545 GPM917545 GZI917545 HJE917545 HTA917545 ICW917545 IMS917545 IWO917545 JGK917545 JQG917545 KAC917545 KJY917545 KTU917545 LDQ917545 LNM917545 LXI917545 MHE917545 MRA917545 NAW917545 NKS917545 NUO917545 OEK917545 OOG917545 OYC917545 PHY917545 PRU917545 QBQ917545 QLM917545 QVI917545 RFE917545 RPA917545 RYW917545 SIS917545 SSO917545 TCK917545 TMG917545 TWC917545 UFY917545 UPU917545 UZQ917545 VJM917545 VTI917545 WDE917545 WNA917545 E983081 AO983081 KK983081 UG983081 AEC983081 ANY983081 AXU983081 BHQ983081 BRM983081 CBI983081 CLE983081 CVA983081 DEW983081 DOS983081 DYO983081 EIK983081 ESG983081 FCC983081 FLY983081 FVU983081 GFQ983081 GPM983081 GZI983081 HJE983081 HTA983081 ICW983081 IMS983081 IWO983081 JGK983081 JQG983081 KAC983081 KJY983081 KTU983081 LDQ983081 LNM983081 LXI983081 MHE983081 MRA983081 NAW983081 NKS983081 NUO983081 OEK983081 OOG983081 OYC983081 PHY983081 PRU983081 QBQ983081 QLM983081 QVI983081 RFE983081 RPA983081 RYW983081 SIS983081 SSO983081 TCK983081 TMG983081 TWC983081 UFY983081 UPU983081 UZQ983081 VJM983081 VTI983081 WDE983081 WNA983081 WDE983083 AO45:AO46 KK45:KK46 UG45:UG46 AEC45:AEC46 ANY45:ANY46 AXU45:AXU46 BHQ45:BHQ46 BRM45:BRM46 CBI45:CBI46 CLE45:CLE46 CVA45:CVA46 DEW45:DEW46 DOS45:DOS46 DYO45:DYO46 EIK45:EIK46 ESG45:ESG46 FCC45:FCC46 FLY45:FLY46 FVU45:FVU46 GFQ45:GFQ46 GPM45:GPM46 GZI45:GZI46 HJE45:HJE46 HTA45:HTA46 ICW45:ICW46 IMS45:IMS46 IWO45:IWO46 JGK45:JGK46 JQG45:JQG46 KAC45:KAC46 KJY45:KJY46 KTU45:KTU46 LDQ45:LDQ46 LNM45:LNM46 LXI45:LXI46 MHE45:MHE46 MRA45:MRA46 NAW45:NAW46 NKS45:NKS46 NUO45:NUO46 OEK45:OEK46 OOG45:OOG46 OYC45:OYC46 PHY45:PHY46 PRU45:PRU46 QBQ45:QBQ46 QLM45:QLM46 QVI45:QVI46 RFE45:RFE46 RPA45:RPA46 RYW45:RYW46 SIS45:SIS46 SSO45:SSO46 TCK45:TCK46 TMG45:TMG46 TWC45:TWC46 UFY45:UFY46 UPU45:UPU46 UZQ45:UZQ46 VJM45:VJM46 VTI45:VTI46 WDE45:WDE46 WNA45:WNA46 E65579 AO65579 KK65579 UG65579 AEC65579 ANY65579 AXU65579 BHQ65579 BRM65579 CBI65579 CLE65579 CVA65579 DEW65579 DOS65579 DYO65579 EIK65579 ESG65579 FCC65579 FLY65579 FVU65579 GFQ65579 GPM65579 GZI65579 HJE65579 HTA65579 ICW65579 IMS65579 IWO65579 JGK65579 JQG65579 KAC65579 KJY65579 KTU65579 LDQ65579 LNM65579 LXI65579 MHE65579 MRA65579 NAW65579 NKS65579 NUO65579 OEK65579 OOG65579 OYC65579 PHY65579 PRU65579 QBQ65579 QLM65579 QVI65579 RFE65579 RPA65579 RYW65579 SIS65579 SSO65579 TCK65579 TMG65579 TWC65579 UFY65579 UPU65579 UZQ65579 VJM65579 VTI65579 WDE65579 WNA65579 E131115 AO131115 KK131115 UG131115 AEC131115 ANY131115 AXU131115 BHQ131115 BRM131115 CBI131115 CLE131115 CVA131115 DEW131115 DOS131115 DYO131115 EIK131115 ESG131115 FCC131115 FLY131115 FVU131115 GFQ131115 GPM131115 GZI131115 HJE131115 HTA131115 ICW131115 IMS131115 IWO131115 JGK131115 JQG131115 KAC131115 KJY131115 KTU131115 LDQ131115 LNM131115 LXI131115 MHE131115 MRA131115 NAW131115 NKS131115 NUO131115 OEK131115 OOG131115 OYC131115 PHY131115 PRU131115 QBQ131115 QLM131115 QVI131115 RFE131115 RPA131115 RYW131115 SIS131115 SSO131115 TCK131115 TMG131115 TWC131115 UFY131115 UPU131115 UZQ131115 VJM131115 VTI131115 WDE131115 WNA131115 E196651 AO196651 KK196651 UG196651 AEC196651 ANY196651 AXU196651 BHQ196651 BRM196651 CBI196651 CLE196651 CVA196651 DEW196651 DOS196651 DYO196651 EIK196651 ESG196651 FCC196651 FLY196651 FVU196651 GFQ196651 GPM196651 GZI196651 HJE196651 HTA196651 ICW196651 IMS196651 IWO196651 JGK196651 JQG196651 KAC196651 KJY196651 KTU196651 LDQ196651 LNM196651 LXI196651 MHE196651 MRA196651 NAW196651 NKS196651 NUO196651 OEK196651 OOG196651 OYC196651 PHY196651 PRU196651 QBQ196651 QLM196651 QVI196651 RFE196651 RPA196651 RYW196651 SIS196651 SSO196651 TCK196651 TMG196651 TWC196651 UFY196651 UPU196651 UZQ196651 VJM196651 VTI196651 WDE196651 WNA196651 E262187 AO262187 KK262187 UG262187 AEC262187 ANY262187 AXU262187 BHQ262187 BRM262187 CBI262187 CLE262187 CVA262187 DEW262187 DOS262187 DYO262187 EIK262187 ESG262187 FCC262187 FLY262187 FVU262187 GFQ262187 GPM262187 GZI262187 HJE262187 HTA262187 ICW262187 IMS262187 IWO262187 JGK262187 JQG262187 KAC262187 KJY262187 KTU262187 LDQ262187 LNM262187 LXI262187 MHE262187 MRA262187 NAW262187 NKS262187 NUO262187 OEK262187 OOG262187 OYC262187 PHY262187 PRU262187 QBQ262187 QLM262187 QVI262187 RFE262187 RPA262187 RYW262187 SIS262187 SSO262187 TCK262187 TMG262187 TWC262187 UFY262187 UPU262187 UZQ262187 VJM262187 VTI262187 WDE262187 WNA262187 E327723 AO327723 KK327723 UG327723 AEC327723 ANY327723 AXU327723 BHQ327723 BRM327723 CBI327723 CLE327723 CVA327723 DEW327723 DOS327723 DYO327723 EIK327723 ESG327723 FCC327723 FLY327723 FVU327723 GFQ327723 GPM327723 GZI327723 HJE327723 HTA327723 ICW327723 IMS327723 IWO327723 JGK327723 JQG327723 KAC327723 KJY327723 KTU327723 LDQ327723 LNM327723 LXI327723 MHE327723 MRA327723 NAW327723 NKS327723 NUO327723 OEK327723 OOG327723 OYC327723 PHY327723 PRU327723 QBQ327723 QLM327723 QVI327723 RFE327723 RPA327723 RYW327723 SIS327723 SSO327723 TCK327723 TMG327723 TWC327723 UFY327723 UPU327723 UZQ327723 VJM327723 VTI327723 WDE327723 WNA327723 E393259 AO393259 KK393259 UG393259 AEC393259 ANY393259 AXU393259 BHQ393259 BRM393259 CBI393259 CLE393259 CVA393259 DEW393259 DOS393259 DYO393259 EIK393259 ESG393259 FCC393259 FLY393259 FVU393259 GFQ393259 GPM393259 GZI393259 HJE393259 HTA393259 ICW393259 IMS393259 IWO393259 JGK393259 JQG393259 KAC393259 KJY393259 KTU393259 LDQ393259 LNM393259 LXI393259 MHE393259 MRA393259 NAW393259 NKS393259 NUO393259 OEK393259 OOG393259 OYC393259 PHY393259 PRU393259 QBQ393259 QLM393259 QVI393259 RFE393259 RPA393259 RYW393259 SIS393259 SSO393259 TCK393259 TMG393259 TWC393259 UFY393259 UPU393259 UZQ393259 VJM393259 VTI393259 WDE393259 WNA393259 E458795 AO458795 KK458795 UG458795 AEC458795 ANY458795 AXU458795 BHQ458795 BRM458795 CBI458795 CLE458795 CVA458795 DEW458795 DOS458795 DYO458795 EIK458795 ESG458795 FCC458795 FLY458795 FVU458795 GFQ458795 GPM458795 GZI458795 HJE458795 HTA458795 ICW458795 IMS458795 IWO458795 JGK458795 JQG458795 KAC458795 KJY458795 KTU458795 LDQ458795 LNM458795 LXI458795 MHE458795 MRA458795 NAW458795 NKS458795 NUO458795 OEK458795 OOG458795 OYC458795 PHY458795 PRU458795 QBQ458795 QLM458795 QVI458795 RFE458795 RPA458795 RYW458795 SIS458795 SSO458795 TCK458795 TMG458795 TWC458795 UFY458795 UPU458795 UZQ458795 VJM458795 VTI458795 WDE458795 WNA458795 E524331 AO524331 KK524331 UG524331 AEC524331 ANY524331 AXU524331 BHQ524331 BRM524331 CBI524331 CLE524331 CVA524331 DEW524331 DOS524331 DYO524331 EIK524331 ESG524331 FCC524331 FLY524331 FVU524331 GFQ524331 GPM524331 GZI524331 HJE524331 HTA524331 ICW524331 IMS524331 IWO524331 JGK524331 JQG524331 KAC524331 KJY524331 KTU524331 LDQ524331 LNM524331 LXI524331 MHE524331 MRA524331 NAW524331 NKS524331 NUO524331 OEK524331 OOG524331 OYC524331 PHY524331 PRU524331 QBQ524331 QLM524331 QVI524331 RFE524331 RPA524331 RYW524331 SIS524331 SSO524331 TCK524331 TMG524331 TWC524331 UFY524331 UPU524331 UZQ524331 VJM524331 VTI524331 WDE524331 WNA524331 E589867 AO589867 KK589867 UG589867 AEC589867 ANY589867 AXU589867 BHQ589867 BRM589867 CBI589867 CLE589867 CVA589867 DEW589867 DOS589867 DYO589867 EIK589867 ESG589867 FCC589867 FLY589867 FVU589867 GFQ589867 GPM589867 GZI589867 HJE589867 HTA589867 ICW589867 IMS589867 IWO589867 JGK589867 JQG589867 KAC589867 KJY589867 KTU589867 LDQ589867 LNM589867 LXI589867 MHE589867 MRA589867 NAW589867 NKS589867 NUO589867 OEK589867 OOG589867 OYC589867 PHY589867 PRU589867 QBQ589867 QLM589867 QVI589867 RFE589867 RPA589867 RYW589867 SIS589867 SSO589867 TCK589867 TMG589867 TWC589867 UFY589867 UPU589867 UZQ589867 VJM589867 VTI589867 WDE589867 WNA589867 E655403 AO655403 KK655403 UG655403 AEC655403 ANY655403 AXU655403 BHQ655403 BRM655403 CBI655403 CLE655403 CVA655403 DEW655403 DOS655403 DYO655403 EIK655403 ESG655403 FCC655403 FLY655403 FVU655403 GFQ655403 GPM655403 GZI655403 HJE655403 HTA655403 ICW655403 IMS655403 IWO655403 JGK655403 JQG655403 KAC655403 KJY655403 KTU655403 LDQ655403 LNM655403 LXI655403 MHE655403 MRA655403 NAW655403 NKS655403 NUO655403 OEK655403 OOG655403 OYC655403 PHY655403 PRU655403 QBQ655403 QLM655403 QVI655403 RFE655403 RPA655403 RYW655403 SIS655403 SSO655403 TCK655403 TMG655403 TWC655403 UFY655403 UPU655403 UZQ655403 VJM655403 VTI655403 WDE655403 WNA655403 E720939 AO720939 KK720939 UG720939 AEC720939 ANY720939 AXU720939 BHQ720939 BRM720939 CBI720939 CLE720939 CVA720939 DEW720939 DOS720939 DYO720939 EIK720939 ESG720939 FCC720939 FLY720939 FVU720939 GFQ720939 GPM720939 GZI720939 HJE720939 HTA720939 ICW720939 IMS720939 IWO720939 JGK720939 JQG720939 KAC720939 KJY720939 KTU720939 LDQ720939 LNM720939 LXI720939 MHE720939 MRA720939 NAW720939 NKS720939 NUO720939 OEK720939 OOG720939 OYC720939 PHY720939 PRU720939 QBQ720939 QLM720939 QVI720939 RFE720939 RPA720939 RYW720939 SIS720939 SSO720939 TCK720939 TMG720939 TWC720939 UFY720939 UPU720939 UZQ720939 VJM720939 VTI720939 WDE720939 WNA720939 E786475 AO786475 KK786475 UG786475 AEC786475 ANY786475 AXU786475 BHQ786475 BRM786475 CBI786475 CLE786475 CVA786475 DEW786475 DOS786475 DYO786475 EIK786475 ESG786475 FCC786475 FLY786475 FVU786475 GFQ786475 GPM786475 GZI786475 HJE786475 HTA786475 ICW786475 IMS786475 IWO786475 JGK786475 JQG786475 KAC786475 KJY786475 KTU786475 LDQ786475 LNM786475 LXI786475 MHE786475 MRA786475 NAW786475 NKS786475 NUO786475 OEK786475 OOG786475 OYC786475 PHY786475 PRU786475 QBQ786475 QLM786475 QVI786475 RFE786475 RPA786475 RYW786475 SIS786475 SSO786475 TCK786475 TMG786475 TWC786475 UFY786475 UPU786475 UZQ786475 VJM786475 VTI786475 WDE786475 WNA786475 E852011 AO852011 KK852011 UG852011 AEC852011 ANY852011 AXU852011 BHQ852011 BRM852011 CBI852011 CLE852011 CVA852011 DEW852011 DOS852011 DYO852011 EIK852011 ESG852011 FCC852011 FLY852011 FVU852011 GFQ852011 GPM852011 GZI852011 HJE852011 HTA852011 ICW852011 IMS852011 IWO852011 JGK852011 JQG852011 KAC852011 KJY852011 KTU852011 LDQ852011 LNM852011 LXI852011 MHE852011 MRA852011 NAW852011 NKS852011 NUO852011 OEK852011 OOG852011 OYC852011 PHY852011 PRU852011 QBQ852011 QLM852011 QVI852011 RFE852011 RPA852011 RYW852011 SIS852011 SSO852011 TCK852011 TMG852011 TWC852011 UFY852011 UPU852011 UZQ852011 VJM852011 VTI852011 WDE852011 WNA852011 E917547 AO917547 KK917547 UG917547 AEC917547 ANY917547 AXU917547 BHQ917547 BRM917547 CBI917547 CLE917547 CVA917547 DEW917547 DOS917547 DYO917547 EIK917547 ESG917547 FCC917547 FLY917547 FVU917547 GFQ917547 GPM917547 GZI917547 HJE917547 HTA917547 ICW917547 IMS917547 IWO917547 JGK917547 JQG917547 KAC917547 KJY917547 KTU917547 LDQ917547 LNM917547 LXI917547 MHE917547 MRA917547 NAW917547 NKS917547 NUO917547 OEK917547 OOG917547 OYC917547 PHY917547 PRU917547 QBQ917547 QLM917547 QVI917547 RFE917547 RPA917547 RYW917547 SIS917547 SSO917547 TCK917547 TMG917547 TWC917547 UFY917547 UPU917547 UZQ917547 VJM917547 VTI917547 WDE917547 WNA917547 E983083 AO983083 KK983083 UG983083 AEC983083 ANY983083 AXU983083 BHQ983083 BRM983083 CBI983083 CLE983083 CVA983083 DEW983083 DOS983083 DYO983083 EIK983083 ESG983083 FCC983083 FLY983083 FVU983083 GFQ983083 GPM983083 GZI983083 HJE983083 HTA983083 ICW983083 IMS983083 IWO983083 JGK983083 JQG983083 KAC983083 KJY983083 KTU983083 LDQ983083 LNM983083 LXI983083 MHE983083 MRA983083 NAW983083 NKS983083 NUO983083 OEK983083 OOG983083 OYC983083 PHY983083 PRU983083 QBQ983083 QLM983083 QVI983083 RFE983083 RPA983083 RYW983083 SIS983083 SSO983083 TCK983083 TMG983083 TWC983083 UFY983083 UPU983083 UZQ983083 VJM983083 VTI983083">
      <formula1>0</formula1>
    </dataValidation>
    <dataValidation operator="greaterThanOrEqual" allowBlank="1" showInputMessage="1" showErrorMessage="1" error="This figure cannot be negative. Please enter a positive unit value." sqref="WNA983080 AO42 KK42 UG42 AEC42 ANY42 AXU42 BHQ42 BRM42 CBI42 CLE42 CVA42 DEW42 DOS42 DYO42 EIK42 ESG42 FCC42 FLY42 FVU42 GFQ42 GPM42 GZI42 HJE42 HTA42 ICW42 IMS42 IWO42 JGK42 JQG42 KAC42 KJY42 KTU42 LDQ42 LNM42 LXI42 MHE42 MRA42 NAW42 NKS42 NUO42 OEK42 OOG42 OYC42 PHY42 PRU42 QBQ42 QLM42 QVI42 RFE42 RPA42 RYW42 SIS42 SSO42 TCK42 TMG42 TWC42 UFY42 UPU42 UZQ42 VJM42 VTI42 WDE42 WNA42 E65576 AO65576 KK65576 UG65576 AEC65576 ANY65576 AXU65576 BHQ65576 BRM65576 CBI65576 CLE65576 CVA65576 DEW65576 DOS65576 DYO65576 EIK65576 ESG65576 FCC65576 FLY65576 FVU65576 GFQ65576 GPM65576 GZI65576 HJE65576 HTA65576 ICW65576 IMS65576 IWO65576 JGK65576 JQG65576 KAC65576 KJY65576 KTU65576 LDQ65576 LNM65576 LXI65576 MHE65576 MRA65576 NAW65576 NKS65576 NUO65576 OEK65576 OOG65576 OYC65576 PHY65576 PRU65576 QBQ65576 QLM65576 QVI65576 RFE65576 RPA65576 RYW65576 SIS65576 SSO65576 TCK65576 TMG65576 TWC65576 UFY65576 UPU65576 UZQ65576 VJM65576 VTI65576 WDE65576 WNA65576 E131112 AO131112 KK131112 UG131112 AEC131112 ANY131112 AXU131112 BHQ131112 BRM131112 CBI131112 CLE131112 CVA131112 DEW131112 DOS131112 DYO131112 EIK131112 ESG131112 FCC131112 FLY131112 FVU131112 GFQ131112 GPM131112 GZI131112 HJE131112 HTA131112 ICW131112 IMS131112 IWO131112 JGK131112 JQG131112 KAC131112 KJY131112 KTU131112 LDQ131112 LNM131112 LXI131112 MHE131112 MRA131112 NAW131112 NKS131112 NUO131112 OEK131112 OOG131112 OYC131112 PHY131112 PRU131112 QBQ131112 QLM131112 QVI131112 RFE131112 RPA131112 RYW131112 SIS131112 SSO131112 TCK131112 TMG131112 TWC131112 UFY131112 UPU131112 UZQ131112 VJM131112 VTI131112 WDE131112 WNA131112 E196648 AO196648 KK196648 UG196648 AEC196648 ANY196648 AXU196648 BHQ196648 BRM196648 CBI196648 CLE196648 CVA196648 DEW196648 DOS196648 DYO196648 EIK196648 ESG196648 FCC196648 FLY196648 FVU196648 GFQ196648 GPM196648 GZI196648 HJE196648 HTA196648 ICW196648 IMS196648 IWO196648 JGK196648 JQG196648 KAC196648 KJY196648 KTU196648 LDQ196648 LNM196648 LXI196648 MHE196648 MRA196648 NAW196648 NKS196648 NUO196648 OEK196648 OOG196648 OYC196648 PHY196648 PRU196648 QBQ196648 QLM196648 QVI196648 RFE196648 RPA196648 RYW196648 SIS196648 SSO196648 TCK196648 TMG196648 TWC196648 UFY196648 UPU196648 UZQ196648 VJM196648 VTI196648 WDE196648 WNA196648 E262184 AO262184 KK262184 UG262184 AEC262184 ANY262184 AXU262184 BHQ262184 BRM262184 CBI262184 CLE262184 CVA262184 DEW262184 DOS262184 DYO262184 EIK262184 ESG262184 FCC262184 FLY262184 FVU262184 GFQ262184 GPM262184 GZI262184 HJE262184 HTA262184 ICW262184 IMS262184 IWO262184 JGK262184 JQG262184 KAC262184 KJY262184 KTU262184 LDQ262184 LNM262184 LXI262184 MHE262184 MRA262184 NAW262184 NKS262184 NUO262184 OEK262184 OOG262184 OYC262184 PHY262184 PRU262184 QBQ262184 QLM262184 QVI262184 RFE262184 RPA262184 RYW262184 SIS262184 SSO262184 TCK262184 TMG262184 TWC262184 UFY262184 UPU262184 UZQ262184 VJM262184 VTI262184 WDE262184 WNA262184 E327720 AO327720 KK327720 UG327720 AEC327720 ANY327720 AXU327720 BHQ327720 BRM327720 CBI327720 CLE327720 CVA327720 DEW327720 DOS327720 DYO327720 EIK327720 ESG327720 FCC327720 FLY327720 FVU327720 GFQ327720 GPM327720 GZI327720 HJE327720 HTA327720 ICW327720 IMS327720 IWO327720 JGK327720 JQG327720 KAC327720 KJY327720 KTU327720 LDQ327720 LNM327720 LXI327720 MHE327720 MRA327720 NAW327720 NKS327720 NUO327720 OEK327720 OOG327720 OYC327720 PHY327720 PRU327720 QBQ327720 QLM327720 QVI327720 RFE327720 RPA327720 RYW327720 SIS327720 SSO327720 TCK327720 TMG327720 TWC327720 UFY327720 UPU327720 UZQ327720 VJM327720 VTI327720 WDE327720 WNA327720 E393256 AO393256 KK393256 UG393256 AEC393256 ANY393256 AXU393256 BHQ393256 BRM393256 CBI393256 CLE393256 CVA393256 DEW393256 DOS393256 DYO393256 EIK393256 ESG393256 FCC393256 FLY393256 FVU393256 GFQ393256 GPM393256 GZI393256 HJE393256 HTA393256 ICW393256 IMS393256 IWO393256 JGK393256 JQG393256 KAC393256 KJY393256 KTU393256 LDQ393256 LNM393256 LXI393256 MHE393256 MRA393256 NAW393256 NKS393256 NUO393256 OEK393256 OOG393256 OYC393256 PHY393256 PRU393256 QBQ393256 QLM393256 QVI393256 RFE393256 RPA393256 RYW393256 SIS393256 SSO393256 TCK393256 TMG393256 TWC393256 UFY393256 UPU393256 UZQ393256 VJM393256 VTI393256 WDE393256 WNA393256 E458792 AO458792 KK458792 UG458792 AEC458792 ANY458792 AXU458792 BHQ458792 BRM458792 CBI458792 CLE458792 CVA458792 DEW458792 DOS458792 DYO458792 EIK458792 ESG458792 FCC458792 FLY458792 FVU458792 GFQ458792 GPM458792 GZI458792 HJE458792 HTA458792 ICW458792 IMS458792 IWO458792 JGK458792 JQG458792 KAC458792 KJY458792 KTU458792 LDQ458792 LNM458792 LXI458792 MHE458792 MRA458792 NAW458792 NKS458792 NUO458792 OEK458792 OOG458792 OYC458792 PHY458792 PRU458792 QBQ458792 QLM458792 QVI458792 RFE458792 RPA458792 RYW458792 SIS458792 SSO458792 TCK458792 TMG458792 TWC458792 UFY458792 UPU458792 UZQ458792 VJM458792 VTI458792 WDE458792 WNA458792 E524328 AO524328 KK524328 UG524328 AEC524328 ANY524328 AXU524328 BHQ524328 BRM524328 CBI524328 CLE524328 CVA524328 DEW524328 DOS524328 DYO524328 EIK524328 ESG524328 FCC524328 FLY524328 FVU524328 GFQ524328 GPM524328 GZI524328 HJE524328 HTA524328 ICW524328 IMS524328 IWO524328 JGK524328 JQG524328 KAC524328 KJY524328 KTU524328 LDQ524328 LNM524328 LXI524328 MHE524328 MRA524328 NAW524328 NKS524328 NUO524328 OEK524328 OOG524328 OYC524328 PHY524328 PRU524328 QBQ524328 QLM524328 QVI524328 RFE524328 RPA524328 RYW524328 SIS524328 SSO524328 TCK524328 TMG524328 TWC524328 UFY524328 UPU524328 UZQ524328 VJM524328 VTI524328 WDE524328 WNA524328 E589864 AO589864 KK589864 UG589864 AEC589864 ANY589864 AXU589864 BHQ589864 BRM589864 CBI589864 CLE589864 CVA589864 DEW589864 DOS589864 DYO589864 EIK589864 ESG589864 FCC589864 FLY589864 FVU589864 GFQ589864 GPM589864 GZI589864 HJE589864 HTA589864 ICW589864 IMS589864 IWO589864 JGK589864 JQG589864 KAC589864 KJY589864 KTU589864 LDQ589864 LNM589864 LXI589864 MHE589864 MRA589864 NAW589864 NKS589864 NUO589864 OEK589864 OOG589864 OYC589864 PHY589864 PRU589864 QBQ589864 QLM589864 QVI589864 RFE589864 RPA589864 RYW589864 SIS589864 SSO589864 TCK589864 TMG589864 TWC589864 UFY589864 UPU589864 UZQ589864 VJM589864 VTI589864 WDE589864 WNA589864 E655400 AO655400 KK655400 UG655400 AEC655400 ANY655400 AXU655400 BHQ655400 BRM655400 CBI655400 CLE655400 CVA655400 DEW655400 DOS655400 DYO655400 EIK655400 ESG655400 FCC655400 FLY655400 FVU655400 GFQ655400 GPM655400 GZI655400 HJE655400 HTA655400 ICW655400 IMS655400 IWO655400 JGK655400 JQG655400 KAC655400 KJY655400 KTU655400 LDQ655400 LNM655400 LXI655400 MHE655400 MRA655400 NAW655400 NKS655400 NUO655400 OEK655400 OOG655400 OYC655400 PHY655400 PRU655400 QBQ655400 QLM655400 QVI655400 RFE655400 RPA655400 RYW655400 SIS655400 SSO655400 TCK655400 TMG655400 TWC655400 UFY655400 UPU655400 UZQ655400 VJM655400 VTI655400 WDE655400 WNA655400 E720936 AO720936 KK720936 UG720936 AEC720936 ANY720936 AXU720936 BHQ720936 BRM720936 CBI720936 CLE720936 CVA720936 DEW720936 DOS720936 DYO720936 EIK720936 ESG720936 FCC720936 FLY720936 FVU720936 GFQ720936 GPM720936 GZI720936 HJE720936 HTA720936 ICW720936 IMS720936 IWO720936 JGK720936 JQG720936 KAC720936 KJY720936 KTU720936 LDQ720936 LNM720936 LXI720936 MHE720936 MRA720936 NAW720936 NKS720936 NUO720936 OEK720936 OOG720936 OYC720936 PHY720936 PRU720936 QBQ720936 QLM720936 QVI720936 RFE720936 RPA720936 RYW720936 SIS720936 SSO720936 TCK720936 TMG720936 TWC720936 UFY720936 UPU720936 UZQ720936 VJM720936 VTI720936 WDE720936 WNA720936 E786472 AO786472 KK786472 UG786472 AEC786472 ANY786472 AXU786472 BHQ786472 BRM786472 CBI786472 CLE786472 CVA786472 DEW786472 DOS786472 DYO786472 EIK786472 ESG786472 FCC786472 FLY786472 FVU786472 GFQ786472 GPM786472 GZI786472 HJE786472 HTA786472 ICW786472 IMS786472 IWO786472 JGK786472 JQG786472 KAC786472 KJY786472 KTU786472 LDQ786472 LNM786472 LXI786472 MHE786472 MRA786472 NAW786472 NKS786472 NUO786472 OEK786472 OOG786472 OYC786472 PHY786472 PRU786472 QBQ786472 QLM786472 QVI786472 RFE786472 RPA786472 RYW786472 SIS786472 SSO786472 TCK786472 TMG786472 TWC786472 UFY786472 UPU786472 UZQ786472 VJM786472 VTI786472 WDE786472 WNA786472 E852008 AO852008 KK852008 UG852008 AEC852008 ANY852008 AXU852008 BHQ852008 BRM852008 CBI852008 CLE852008 CVA852008 DEW852008 DOS852008 DYO852008 EIK852008 ESG852008 FCC852008 FLY852008 FVU852008 GFQ852008 GPM852008 GZI852008 HJE852008 HTA852008 ICW852008 IMS852008 IWO852008 JGK852008 JQG852008 KAC852008 KJY852008 KTU852008 LDQ852008 LNM852008 LXI852008 MHE852008 MRA852008 NAW852008 NKS852008 NUO852008 OEK852008 OOG852008 OYC852008 PHY852008 PRU852008 QBQ852008 QLM852008 QVI852008 RFE852008 RPA852008 RYW852008 SIS852008 SSO852008 TCK852008 TMG852008 TWC852008 UFY852008 UPU852008 UZQ852008 VJM852008 VTI852008 WDE852008 WNA852008 E917544 AO917544 KK917544 UG917544 AEC917544 ANY917544 AXU917544 BHQ917544 BRM917544 CBI917544 CLE917544 CVA917544 DEW917544 DOS917544 DYO917544 EIK917544 ESG917544 FCC917544 FLY917544 FVU917544 GFQ917544 GPM917544 GZI917544 HJE917544 HTA917544 ICW917544 IMS917544 IWO917544 JGK917544 JQG917544 KAC917544 KJY917544 KTU917544 LDQ917544 LNM917544 LXI917544 MHE917544 MRA917544 NAW917544 NKS917544 NUO917544 OEK917544 OOG917544 OYC917544 PHY917544 PRU917544 QBQ917544 QLM917544 QVI917544 RFE917544 RPA917544 RYW917544 SIS917544 SSO917544 TCK917544 TMG917544 TWC917544 UFY917544 UPU917544 UZQ917544 VJM917544 VTI917544 WDE917544 WNA917544 E983080 AO983080 KK983080 UG983080 AEC983080 ANY983080 AXU983080 BHQ983080 BRM983080 CBI983080 CLE983080 CVA983080 DEW983080 DOS983080 DYO983080 EIK983080 ESG983080 FCC983080 FLY983080 FVU983080 GFQ983080 GPM983080 GZI983080 HJE983080 HTA983080 ICW983080 IMS983080 IWO983080 JGK983080 JQG983080 KAC983080 KJY983080 KTU983080 LDQ983080 LNM983080 LXI983080 MHE983080 MRA983080 NAW983080 NKS983080 NUO983080 OEK983080 OOG983080 OYC983080 PHY983080 PRU983080 QBQ983080 QLM983080 QVI983080 RFE983080 RPA983080 RYW983080 SIS983080 SSO983080 TCK983080 TMG983080 TWC983080 UFY983080 UPU983080 UZQ983080 VJM983080 VTI983080 WDE983080 E42:F42"/>
    <dataValidation showInputMessage="1" showErrorMessage="1" sqref="F14 AP14 KL14 UH14 AED14 ANZ14 AXV14 BHR14 BRN14 CBJ14 CLF14 CVB14 DEX14 DOT14 DYP14 EIL14 ESH14 FCD14 FLZ14 FVV14 GFR14 GPN14 GZJ14 HJF14 HTB14 ICX14 IMT14 IWP14 JGL14 JQH14 KAD14 KJZ14 KTV14 LDR14 LNN14 LXJ14 MHF14 MRB14 NAX14 NKT14 NUP14 OEL14 OOH14 OYD14 PHZ14 PRV14 QBR14 QLN14 QVJ14 RFF14 RPB14 RYX14 SIT14 SSP14 TCL14 TMH14 TWD14 UFZ14 UPV14 UZR14 VJN14 VTJ14 WDF14 WNB14 F65548 AP65548 KL65548 UH65548 AED65548 ANZ65548 AXV65548 BHR65548 BRN65548 CBJ65548 CLF65548 CVB65548 DEX65548 DOT65548 DYP65548 EIL65548 ESH65548 FCD65548 FLZ65548 FVV65548 GFR65548 GPN65548 GZJ65548 HJF65548 HTB65548 ICX65548 IMT65548 IWP65548 JGL65548 JQH65548 KAD65548 KJZ65548 KTV65548 LDR65548 LNN65548 LXJ65548 MHF65548 MRB65548 NAX65548 NKT65548 NUP65548 OEL65548 OOH65548 OYD65548 PHZ65548 PRV65548 QBR65548 QLN65548 QVJ65548 RFF65548 RPB65548 RYX65548 SIT65548 SSP65548 TCL65548 TMH65548 TWD65548 UFZ65548 UPV65548 UZR65548 VJN65548 VTJ65548 WDF65548 WNB65548 F131084 AP131084 KL131084 UH131084 AED131084 ANZ131084 AXV131084 BHR131084 BRN131084 CBJ131084 CLF131084 CVB131084 DEX131084 DOT131084 DYP131084 EIL131084 ESH131084 FCD131084 FLZ131084 FVV131084 GFR131084 GPN131084 GZJ131084 HJF131084 HTB131084 ICX131084 IMT131084 IWP131084 JGL131084 JQH131084 KAD131084 KJZ131084 KTV131084 LDR131084 LNN131084 LXJ131084 MHF131084 MRB131084 NAX131084 NKT131084 NUP131084 OEL131084 OOH131084 OYD131084 PHZ131084 PRV131084 QBR131084 QLN131084 QVJ131084 RFF131084 RPB131084 RYX131084 SIT131084 SSP131084 TCL131084 TMH131084 TWD131084 UFZ131084 UPV131084 UZR131084 VJN131084 VTJ131084 WDF131084 WNB131084 F196620 AP196620 KL196620 UH196620 AED196620 ANZ196620 AXV196620 BHR196620 BRN196620 CBJ196620 CLF196620 CVB196620 DEX196620 DOT196620 DYP196620 EIL196620 ESH196620 FCD196620 FLZ196620 FVV196620 GFR196620 GPN196620 GZJ196620 HJF196620 HTB196620 ICX196620 IMT196620 IWP196620 JGL196620 JQH196620 KAD196620 KJZ196620 KTV196620 LDR196620 LNN196620 LXJ196620 MHF196620 MRB196620 NAX196620 NKT196620 NUP196620 OEL196620 OOH196620 OYD196620 PHZ196620 PRV196620 QBR196620 QLN196620 QVJ196620 RFF196620 RPB196620 RYX196620 SIT196620 SSP196620 TCL196620 TMH196620 TWD196620 UFZ196620 UPV196620 UZR196620 VJN196620 VTJ196620 WDF196620 WNB196620 F262156 AP262156 KL262156 UH262156 AED262156 ANZ262156 AXV262156 BHR262156 BRN262156 CBJ262156 CLF262156 CVB262156 DEX262156 DOT262156 DYP262156 EIL262156 ESH262156 FCD262156 FLZ262156 FVV262156 GFR262156 GPN262156 GZJ262156 HJF262156 HTB262156 ICX262156 IMT262156 IWP262156 JGL262156 JQH262156 KAD262156 KJZ262156 KTV262156 LDR262156 LNN262156 LXJ262156 MHF262156 MRB262156 NAX262156 NKT262156 NUP262156 OEL262156 OOH262156 OYD262156 PHZ262156 PRV262156 QBR262156 QLN262156 QVJ262156 RFF262156 RPB262156 RYX262156 SIT262156 SSP262156 TCL262156 TMH262156 TWD262156 UFZ262156 UPV262156 UZR262156 VJN262156 VTJ262156 WDF262156 WNB262156 F327692 AP327692 KL327692 UH327692 AED327692 ANZ327692 AXV327692 BHR327692 BRN327692 CBJ327692 CLF327692 CVB327692 DEX327692 DOT327692 DYP327692 EIL327692 ESH327692 FCD327692 FLZ327692 FVV327692 GFR327692 GPN327692 GZJ327692 HJF327692 HTB327692 ICX327692 IMT327692 IWP327692 JGL327692 JQH327692 KAD327692 KJZ327692 KTV327692 LDR327692 LNN327692 LXJ327692 MHF327692 MRB327692 NAX327692 NKT327692 NUP327692 OEL327692 OOH327692 OYD327692 PHZ327692 PRV327692 QBR327692 QLN327692 QVJ327692 RFF327692 RPB327692 RYX327692 SIT327692 SSP327692 TCL327692 TMH327692 TWD327692 UFZ327692 UPV327692 UZR327692 VJN327692 VTJ327692 WDF327692 WNB327692 F393228 AP393228 KL393228 UH393228 AED393228 ANZ393228 AXV393228 BHR393228 BRN393228 CBJ393228 CLF393228 CVB393228 DEX393228 DOT393228 DYP393228 EIL393228 ESH393228 FCD393228 FLZ393228 FVV393228 GFR393228 GPN393228 GZJ393228 HJF393228 HTB393228 ICX393228 IMT393228 IWP393228 JGL393228 JQH393228 KAD393228 KJZ393228 KTV393228 LDR393228 LNN393228 LXJ393228 MHF393228 MRB393228 NAX393228 NKT393228 NUP393228 OEL393228 OOH393228 OYD393228 PHZ393228 PRV393228 QBR393228 QLN393228 QVJ393228 RFF393228 RPB393228 RYX393228 SIT393228 SSP393228 TCL393228 TMH393228 TWD393228 UFZ393228 UPV393228 UZR393228 VJN393228 VTJ393228 WDF393228 WNB393228 F458764 AP458764 KL458764 UH458764 AED458764 ANZ458764 AXV458764 BHR458764 BRN458764 CBJ458764 CLF458764 CVB458764 DEX458764 DOT458764 DYP458764 EIL458764 ESH458764 FCD458764 FLZ458764 FVV458764 GFR458764 GPN458764 GZJ458764 HJF458764 HTB458764 ICX458764 IMT458764 IWP458764 JGL458764 JQH458764 KAD458764 KJZ458764 KTV458764 LDR458764 LNN458764 LXJ458764 MHF458764 MRB458764 NAX458764 NKT458764 NUP458764 OEL458764 OOH458764 OYD458764 PHZ458764 PRV458764 QBR458764 QLN458764 QVJ458764 RFF458764 RPB458764 RYX458764 SIT458764 SSP458764 TCL458764 TMH458764 TWD458764 UFZ458764 UPV458764 UZR458764 VJN458764 VTJ458764 WDF458764 WNB458764 F524300 AP524300 KL524300 UH524300 AED524300 ANZ524300 AXV524300 BHR524300 BRN524300 CBJ524300 CLF524300 CVB524300 DEX524300 DOT524300 DYP524300 EIL524300 ESH524300 FCD524300 FLZ524300 FVV524300 GFR524300 GPN524300 GZJ524300 HJF524300 HTB524300 ICX524300 IMT524300 IWP524300 JGL524300 JQH524300 KAD524300 KJZ524300 KTV524300 LDR524300 LNN524300 LXJ524300 MHF524300 MRB524300 NAX524300 NKT524300 NUP524300 OEL524300 OOH524300 OYD524300 PHZ524300 PRV524300 QBR524300 QLN524300 QVJ524300 RFF524300 RPB524300 RYX524300 SIT524300 SSP524300 TCL524300 TMH524300 TWD524300 UFZ524300 UPV524300 UZR524300 VJN524300 VTJ524300 WDF524300 WNB524300 F589836 AP589836 KL589836 UH589836 AED589836 ANZ589836 AXV589836 BHR589836 BRN589836 CBJ589836 CLF589836 CVB589836 DEX589836 DOT589836 DYP589836 EIL589836 ESH589836 FCD589836 FLZ589836 FVV589836 GFR589836 GPN589836 GZJ589836 HJF589836 HTB589836 ICX589836 IMT589836 IWP589836 JGL589836 JQH589836 KAD589836 KJZ589836 KTV589836 LDR589836 LNN589836 LXJ589836 MHF589836 MRB589836 NAX589836 NKT589836 NUP589836 OEL589836 OOH589836 OYD589836 PHZ589836 PRV589836 QBR589836 QLN589836 QVJ589836 RFF589836 RPB589836 RYX589836 SIT589836 SSP589836 TCL589836 TMH589836 TWD589836 UFZ589836 UPV589836 UZR589836 VJN589836 VTJ589836 WDF589836 WNB589836 F655372 AP655372 KL655372 UH655372 AED655372 ANZ655372 AXV655372 BHR655372 BRN655372 CBJ655372 CLF655372 CVB655372 DEX655372 DOT655372 DYP655372 EIL655372 ESH655372 FCD655372 FLZ655372 FVV655372 GFR655372 GPN655372 GZJ655372 HJF655372 HTB655372 ICX655372 IMT655372 IWP655372 JGL655372 JQH655372 KAD655372 KJZ655372 KTV655372 LDR655372 LNN655372 LXJ655372 MHF655372 MRB655372 NAX655372 NKT655372 NUP655372 OEL655372 OOH655372 OYD655372 PHZ655372 PRV655372 QBR655372 QLN655372 QVJ655372 RFF655372 RPB655372 RYX655372 SIT655372 SSP655372 TCL655372 TMH655372 TWD655372 UFZ655372 UPV655372 UZR655372 VJN655372 VTJ655372 WDF655372 WNB655372 F720908 AP720908 KL720908 UH720908 AED720908 ANZ720908 AXV720908 BHR720908 BRN720908 CBJ720908 CLF720908 CVB720908 DEX720908 DOT720908 DYP720908 EIL720908 ESH720908 FCD720908 FLZ720908 FVV720908 GFR720908 GPN720908 GZJ720908 HJF720908 HTB720908 ICX720908 IMT720908 IWP720908 JGL720908 JQH720908 KAD720908 KJZ720908 KTV720908 LDR720908 LNN720908 LXJ720908 MHF720908 MRB720908 NAX720908 NKT720908 NUP720908 OEL720908 OOH720908 OYD720908 PHZ720908 PRV720908 QBR720908 QLN720908 QVJ720908 RFF720908 RPB720908 RYX720908 SIT720908 SSP720908 TCL720908 TMH720908 TWD720908 UFZ720908 UPV720908 UZR720908 VJN720908 VTJ720908 WDF720908 WNB720908 F786444 AP786444 KL786444 UH786444 AED786444 ANZ786444 AXV786444 BHR786444 BRN786444 CBJ786444 CLF786444 CVB786444 DEX786444 DOT786444 DYP786444 EIL786444 ESH786444 FCD786444 FLZ786444 FVV786444 GFR786444 GPN786444 GZJ786444 HJF786444 HTB786444 ICX786444 IMT786444 IWP786444 JGL786444 JQH786444 KAD786444 KJZ786444 KTV786444 LDR786444 LNN786444 LXJ786444 MHF786444 MRB786444 NAX786444 NKT786444 NUP786444 OEL786444 OOH786444 OYD786444 PHZ786444 PRV786444 QBR786444 QLN786444 QVJ786444 RFF786444 RPB786444 RYX786444 SIT786444 SSP786444 TCL786444 TMH786444 TWD786444 UFZ786444 UPV786444 UZR786444 VJN786444 VTJ786444 WDF786444 WNB786444 F851980 AP851980 KL851980 UH851980 AED851980 ANZ851980 AXV851980 BHR851980 BRN851980 CBJ851980 CLF851980 CVB851980 DEX851980 DOT851980 DYP851980 EIL851980 ESH851980 FCD851980 FLZ851980 FVV851980 GFR851980 GPN851980 GZJ851980 HJF851980 HTB851980 ICX851980 IMT851980 IWP851980 JGL851980 JQH851980 KAD851980 KJZ851980 KTV851980 LDR851980 LNN851980 LXJ851980 MHF851980 MRB851980 NAX851980 NKT851980 NUP851980 OEL851980 OOH851980 OYD851980 PHZ851980 PRV851980 QBR851980 QLN851980 QVJ851980 RFF851980 RPB851980 RYX851980 SIT851980 SSP851980 TCL851980 TMH851980 TWD851980 UFZ851980 UPV851980 UZR851980 VJN851980 VTJ851980 WDF851980 WNB851980 F917516 AP917516 KL917516 UH917516 AED917516 ANZ917516 AXV917516 BHR917516 BRN917516 CBJ917516 CLF917516 CVB917516 DEX917516 DOT917516 DYP917516 EIL917516 ESH917516 FCD917516 FLZ917516 FVV917516 GFR917516 GPN917516 GZJ917516 HJF917516 HTB917516 ICX917516 IMT917516 IWP917516 JGL917516 JQH917516 KAD917516 KJZ917516 KTV917516 LDR917516 LNN917516 LXJ917516 MHF917516 MRB917516 NAX917516 NKT917516 NUP917516 OEL917516 OOH917516 OYD917516 PHZ917516 PRV917516 QBR917516 QLN917516 QVJ917516 RFF917516 RPB917516 RYX917516 SIT917516 SSP917516 TCL917516 TMH917516 TWD917516 UFZ917516 UPV917516 UZR917516 VJN917516 VTJ917516 WDF917516 WNB917516 F983052 AP983052 KL983052 UH983052 AED983052 ANZ983052 AXV983052 BHR983052 BRN983052 CBJ983052 CLF983052 CVB983052 DEX983052 DOT983052 DYP983052 EIL983052 ESH983052 FCD983052 FLZ983052 FVV983052 GFR983052 GPN983052 GZJ983052 HJF983052 HTB983052 ICX983052 IMT983052 IWP983052 JGL983052 JQH983052 KAD983052 KJZ983052 KTV983052 LDR983052 LNN983052 LXJ983052 MHF983052 MRB983052 NAX983052 NKT983052 NUP983052 OEL983052 OOH983052 OYD983052 PHZ983052 PRV983052 QBR983052 QLN983052 QVJ983052 RFF983052 RPB983052 RYX983052 SIT983052 SSP983052 TCL983052 TMH983052 TWD983052 UFZ983052 UPV983052 UZR983052 VJN983052 VTJ983052 WDF983052 WNB983052"/>
    <dataValidation type="decimal" operator="greaterThanOrEqual" allowBlank="1" showInputMessage="1" showErrorMessage="1" errorTitle="Negative value" error="The number of pupils cannot be negative. Please insert a positive figure." sqref="WNC983060:WNF983065 G65556:J65561 AQ65556:AT65561 KM65556:KP65561 UI65556:UL65561 AEE65556:AEH65561 AOA65556:AOD65561 AXW65556:AXZ65561 BHS65556:BHV65561 BRO65556:BRR65561 CBK65556:CBN65561 CLG65556:CLJ65561 CVC65556:CVF65561 DEY65556:DFB65561 DOU65556:DOX65561 DYQ65556:DYT65561 EIM65556:EIP65561 ESI65556:ESL65561 FCE65556:FCH65561 FMA65556:FMD65561 FVW65556:FVZ65561 GFS65556:GFV65561 GPO65556:GPR65561 GZK65556:GZN65561 HJG65556:HJJ65561 HTC65556:HTF65561 ICY65556:IDB65561 IMU65556:IMX65561 IWQ65556:IWT65561 JGM65556:JGP65561 JQI65556:JQL65561 KAE65556:KAH65561 KKA65556:KKD65561 KTW65556:KTZ65561 LDS65556:LDV65561 LNO65556:LNR65561 LXK65556:LXN65561 MHG65556:MHJ65561 MRC65556:MRF65561 NAY65556:NBB65561 NKU65556:NKX65561 NUQ65556:NUT65561 OEM65556:OEP65561 OOI65556:OOL65561 OYE65556:OYH65561 PIA65556:PID65561 PRW65556:PRZ65561 QBS65556:QBV65561 QLO65556:QLR65561 QVK65556:QVN65561 RFG65556:RFJ65561 RPC65556:RPF65561 RYY65556:RZB65561 SIU65556:SIX65561 SSQ65556:SST65561 TCM65556:TCP65561 TMI65556:TML65561 TWE65556:TWH65561 UGA65556:UGD65561 UPW65556:UPZ65561 UZS65556:UZV65561 VJO65556:VJR65561 VTK65556:VTN65561 WDG65556:WDJ65561 WNC65556:WNF65561 G131092:J131097 AQ131092:AT131097 KM131092:KP131097 UI131092:UL131097 AEE131092:AEH131097 AOA131092:AOD131097 AXW131092:AXZ131097 BHS131092:BHV131097 BRO131092:BRR131097 CBK131092:CBN131097 CLG131092:CLJ131097 CVC131092:CVF131097 DEY131092:DFB131097 DOU131092:DOX131097 DYQ131092:DYT131097 EIM131092:EIP131097 ESI131092:ESL131097 FCE131092:FCH131097 FMA131092:FMD131097 FVW131092:FVZ131097 GFS131092:GFV131097 GPO131092:GPR131097 GZK131092:GZN131097 HJG131092:HJJ131097 HTC131092:HTF131097 ICY131092:IDB131097 IMU131092:IMX131097 IWQ131092:IWT131097 JGM131092:JGP131097 JQI131092:JQL131097 KAE131092:KAH131097 KKA131092:KKD131097 KTW131092:KTZ131097 LDS131092:LDV131097 LNO131092:LNR131097 LXK131092:LXN131097 MHG131092:MHJ131097 MRC131092:MRF131097 NAY131092:NBB131097 NKU131092:NKX131097 NUQ131092:NUT131097 OEM131092:OEP131097 OOI131092:OOL131097 OYE131092:OYH131097 PIA131092:PID131097 PRW131092:PRZ131097 QBS131092:QBV131097 QLO131092:QLR131097 QVK131092:QVN131097 RFG131092:RFJ131097 RPC131092:RPF131097 RYY131092:RZB131097 SIU131092:SIX131097 SSQ131092:SST131097 TCM131092:TCP131097 TMI131092:TML131097 TWE131092:TWH131097 UGA131092:UGD131097 UPW131092:UPZ131097 UZS131092:UZV131097 VJO131092:VJR131097 VTK131092:VTN131097 WDG131092:WDJ131097 WNC131092:WNF131097 G196628:J196633 AQ196628:AT196633 KM196628:KP196633 UI196628:UL196633 AEE196628:AEH196633 AOA196628:AOD196633 AXW196628:AXZ196633 BHS196628:BHV196633 BRO196628:BRR196633 CBK196628:CBN196633 CLG196628:CLJ196633 CVC196628:CVF196633 DEY196628:DFB196633 DOU196628:DOX196633 DYQ196628:DYT196633 EIM196628:EIP196633 ESI196628:ESL196633 FCE196628:FCH196633 FMA196628:FMD196633 FVW196628:FVZ196633 GFS196628:GFV196633 GPO196628:GPR196633 GZK196628:GZN196633 HJG196628:HJJ196633 HTC196628:HTF196633 ICY196628:IDB196633 IMU196628:IMX196633 IWQ196628:IWT196633 JGM196628:JGP196633 JQI196628:JQL196633 KAE196628:KAH196633 KKA196628:KKD196633 KTW196628:KTZ196633 LDS196628:LDV196633 LNO196628:LNR196633 LXK196628:LXN196633 MHG196628:MHJ196633 MRC196628:MRF196633 NAY196628:NBB196633 NKU196628:NKX196633 NUQ196628:NUT196633 OEM196628:OEP196633 OOI196628:OOL196633 OYE196628:OYH196633 PIA196628:PID196633 PRW196628:PRZ196633 QBS196628:QBV196633 QLO196628:QLR196633 QVK196628:QVN196633 RFG196628:RFJ196633 RPC196628:RPF196633 RYY196628:RZB196633 SIU196628:SIX196633 SSQ196628:SST196633 TCM196628:TCP196633 TMI196628:TML196633 TWE196628:TWH196633 UGA196628:UGD196633 UPW196628:UPZ196633 UZS196628:UZV196633 VJO196628:VJR196633 VTK196628:VTN196633 WDG196628:WDJ196633 WNC196628:WNF196633 G262164:J262169 AQ262164:AT262169 KM262164:KP262169 UI262164:UL262169 AEE262164:AEH262169 AOA262164:AOD262169 AXW262164:AXZ262169 BHS262164:BHV262169 BRO262164:BRR262169 CBK262164:CBN262169 CLG262164:CLJ262169 CVC262164:CVF262169 DEY262164:DFB262169 DOU262164:DOX262169 DYQ262164:DYT262169 EIM262164:EIP262169 ESI262164:ESL262169 FCE262164:FCH262169 FMA262164:FMD262169 FVW262164:FVZ262169 GFS262164:GFV262169 GPO262164:GPR262169 GZK262164:GZN262169 HJG262164:HJJ262169 HTC262164:HTF262169 ICY262164:IDB262169 IMU262164:IMX262169 IWQ262164:IWT262169 JGM262164:JGP262169 JQI262164:JQL262169 KAE262164:KAH262169 KKA262164:KKD262169 KTW262164:KTZ262169 LDS262164:LDV262169 LNO262164:LNR262169 LXK262164:LXN262169 MHG262164:MHJ262169 MRC262164:MRF262169 NAY262164:NBB262169 NKU262164:NKX262169 NUQ262164:NUT262169 OEM262164:OEP262169 OOI262164:OOL262169 OYE262164:OYH262169 PIA262164:PID262169 PRW262164:PRZ262169 QBS262164:QBV262169 QLO262164:QLR262169 QVK262164:QVN262169 RFG262164:RFJ262169 RPC262164:RPF262169 RYY262164:RZB262169 SIU262164:SIX262169 SSQ262164:SST262169 TCM262164:TCP262169 TMI262164:TML262169 TWE262164:TWH262169 UGA262164:UGD262169 UPW262164:UPZ262169 UZS262164:UZV262169 VJO262164:VJR262169 VTK262164:VTN262169 WDG262164:WDJ262169 WNC262164:WNF262169 G327700:J327705 AQ327700:AT327705 KM327700:KP327705 UI327700:UL327705 AEE327700:AEH327705 AOA327700:AOD327705 AXW327700:AXZ327705 BHS327700:BHV327705 BRO327700:BRR327705 CBK327700:CBN327705 CLG327700:CLJ327705 CVC327700:CVF327705 DEY327700:DFB327705 DOU327700:DOX327705 DYQ327700:DYT327705 EIM327700:EIP327705 ESI327700:ESL327705 FCE327700:FCH327705 FMA327700:FMD327705 FVW327700:FVZ327705 GFS327700:GFV327705 GPO327700:GPR327705 GZK327700:GZN327705 HJG327700:HJJ327705 HTC327700:HTF327705 ICY327700:IDB327705 IMU327700:IMX327705 IWQ327700:IWT327705 JGM327700:JGP327705 JQI327700:JQL327705 KAE327700:KAH327705 KKA327700:KKD327705 KTW327700:KTZ327705 LDS327700:LDV327705 LNO327700:LNR327705 LXK327700:LXN327705 MHG327700:MHJ327705 MRC327700:MRF327705 NAY327700:NBB327705 NKU327700:NKX327705 NUQ327700:NUT327705 OEM327700:OEP327705 OOI327700:OOL327705 OYE327700:OYH327705 PIA327700:PID327705 PRW327700:PRZ327705 QBS327700:QBV327705 QLO327700:QLR327705 QVK327700:QVN327705 RFG327700:RFJ327705 RPC327700:RPF327705 RYY327700:RZB327705 SIU327700:SIX327705 SSQ327700:SST327705 TCM327700:TCP327705 TMI327700:TML327705 TWE327700:TWH327705 UGA327700:UGD327705 UPW327700:UPZ327705 UZS327700:UZV327705 VJO327700:VJR327705 VTK327700:VTN327705 WDG327700:WDJ327705 WNC327700:WNF327705 G393236:J393241 AQ393236:AT393241 KM393236:KP393241 UI393236:UL393241 AEE393236:AEH393241 AOA393236:AOD393241 AXW393236:AXZ393241 BHS393236:BHV393241 BRO393236:BRR393241 CBK393236:CBN393241 CLG393236:CLJ393241 CVC393236:CVF393241 DEY393236:DFB393241 DOU393236:DOX393241 DYQ393236:DYT393241 EIM393236:EIP393241 ESI393236:ESL393241 FCE393236:FCH393241 FMA393236:FMD393241 FVW393236:FVZ393241 GFS393236:GFV393241 GPO393236:GPR393241 GZK393236:GZN393241 HJG393236:HJJ393241 HTC393236:HTF393241 ICY393236:IDB393241 IMU393236:IMX393241 IWQ393236:IWT393241 JGM393236:JGP393241 JQI393236:JQL393241 KAE393236:KAH393241 KKA393236:KKD393241 KTW393236:KTZ393241 LDS393236:LDV393241 LNO393236:LNR393241 LXK393236:LXN393241 MHG393236:MHJ393241 MRC393236:MRF393241 NAY393236:NBB393241 NKU393236:NKX393241 NUQ393236:NUT393241 OEM393236:OEP393241 OOI393236:OOL393241 OYE393236:OYH393241 PIA393236:PID393241 PRW393236:PRZ393241 QBS393236:QBV393241 QLO393236:QLR393241 QVK393236:QVN393241 RFG393236:RFJ393241 RPC393236:RPF393241 RYY393236:RZB393241 SIU393236:SIX393241 SSQ393236:SST393241 TCM393236:TCP393241 TMI393236:TML393241 TWE393236:TWH393241 UGA393236:UGD393241 UPW393236:UPZ393241 UZS393236:UZV393241 VJO393236:VJR393241 VTK393236:VTN393241 WDG393236:WDJ393241 WNC393236:WNF393241 G458772:J458777 AQ458772:AT458777 KM458772:KP458777 UI458772:UL458777 AEE458772:AEH458777 AOA458772:AOD458777 AXW458772:AXZ458777 BHS458772:BHV458777 BRO458772:BRR458777 CBK458772:CBN458777 CLG458772:CLJ458777 CVC458772:CVF458777 DEY458772:DFB458777 DOU458772:DOX458777 DYQ458772:DYT458777 EIM458772:EIP458777 ESI458772:ESL458777 FCE458772:FCH458777 FMA458772:FMD458777 FVW458772:FVZ458777 GFS458772:GFV458777 GPO458772:GPR458777 GZK458772:GZN458777 HJG458772:HJJ458777 HTC458772:HTF458777 ICY458772:IDB458777 IMU458772:IMX458777 IWQ458772:IWT458777 JGM458772:JGP458777 JQI458772:JQL458777 KAE458772:KAH458777 KKA458772:KKD458777 KTW458772:KTZ458777 LDS458772:LDV458777 LNO458772:LNR458777 LXK458772:LXN458777 MHG458772:MHJ458777 MRC458772:MRF458777 NAY458772:NBB458777 NKU458772:NKX458777 NUQ458772:NUT458777 OEM458772:OEP458777 OOI458772:OOL458777 OYE458772:OYH458777 PIA458772:PID458777 PRW458772:PRZ458777 QBS458772:QBV458777 QLO458772:QLR458777 QVK458772:QVN458777 RFG458772:RFJ458777 RPC458772:RPF458777 RYY458772:RZB458777 SIU458772:SIX458777 SSQ458772:SST458777 TCM458772:TCP458777 TMI458772:TML458777 TWE458772:TWH458777 UGA458772:UGD458777 UPW458772:UPZ458777 UZS458772:UZV458777 VJO458772:VJR458777 VTK458772:VTN458777 WDG458772:WDJ458777 WNC458772:WNF458777 G524308:J524313 AQ524308:AT524313 KM524308:KP524313 UI524308:UL524313 AEE524308:AEH524313 AOA524308:AOD524313 AXW524308:AXZ524313 BHS524308:BHV524313 BRO524308:BRR524313 CBK524308:CBN524313 CLG524308:CLJ524313 CVC524308:CVF524313 DEY524308:DFB524313 DOU524308:DOX524313 DYQ524308:DYT524313 EIM524308:EIP524313 ESI524308:ESL524313 FCE524308:FCH524313 FMA524308:FMD524313 FVW524308:FVZ524313 GFS524308:GFV524313 GPO524308:GPR524313 GZK524308:GZN524313 HJG524308:HJJ524313 HTC524308:HTF524313 ICY524308:IDB524313 IMU524308:IMX524313 IWQ524308:IWT524313 JGM524308:JGP524313 JQI524308:JQL524313 KAE524308:KAH524313 KKA524308:KKD524313 KTW524308:KTZ524313 LDS524308:LDV524313 LNO524308:LNR524313 LXK524308:LXN524313 MHG524308:MHJ524313 MRC524308:MRF524313 NAY524308:NBB524313 NKU524308:NKX524313 NUQ524308:NUT524313 OEM524308:OEP524313 OOI524308:OOL524313 OYE524308:OYH524313 PIA524308:PID524313 PRW524308:PRZ524313 QBS524308:QBV524313 QLO524308:QLR524313 QVK524308:QVN524313 RFG524308:RFJ524313 RPC524308:RPF524313 RYY524308:RZB524313 SIU524308:SIX524313 SSQ524308:SST524313 TCM524308:TCP524313 TMI524308:TML524313 TWE524308:TWH524313 UGA524308:UGD524313 UPW524308:UPZ524313 UZS524308:UZV524313 VJO524308:VJR524313 VTK524308:VTN524313 WDG524308:WDJ524313 WNC524308:WNF524313 G589844:J589849 AQ589844:AT589849 KM589844:KP589849 UI589844:UL589849 AEE589844:AEH589849 AOA589844:AOD589849 AXW589844:AXZ589849 BHS589844:BHV589849 BRO589844:BRR589849 CBK589844:CBN589849 CLG589844:CLJ589849 CVC589844:CVF589849 DEY589844:DFB589849 DOU589844:DOX589849 DYQ589844:DYT589849 EIM589844:EIP589849 ESI589844:ESL589849 FCE589844:FCH589849 FMA589844:FMD589849 FVW589844:FVZ589849 GFS589844:GFV589849 GPO589844:GPR589849 GZK589844:GZN589849 HJG589844:HJJ589849 HTC589844:HTF589849 ICY589844:IDB589849 IMU589844:IMX589849 IWQ589844:IWT589849 JGM589844:JGP589849 JQI589844:JQL589849 KAE589844:KAH589849 KKA589844:KKD589849 KTW589844:KTZ589849 LDS589844:LDV589849 LNO589844:LNR589849 LXK589844:LXN589849 MHG589844:MHJ589849 MRC589844:MRF589849 NAY589844:NBB589849 NKU589844:NKX589849 NUQ589844:NUT589849 OEM589844:OEP589849 OOI589844:OOL589849 OYE589844:OYH589849 PIA589844:PID589849 PRW589844:PRZ589849 QBS589844:QBV589849 QLO589844:QLR589849 QVK589844:QVN589849 RFG589844:RFJ589849 RPC589844:RPF589849 RYY589844:RZB589849 SIU589844:SIX589849 SSQ589844:SST589849 TCM589844:TCP589849 TMI589844:TML589849 TWE589844:TWH589849 UGA589844:UGD589849 UPW589844:UPZ589849 UZS589844:UZV589849 VJO589844:VJR589849 VTK589844:VTN589849 WDG589844:WDJ589849 WNC589844:WNF589849 G655380:J655385 AQ655380:AT655385 KM655380:KP655385 UI655380:UL655385 AEE655380:AEH655385 AOA655380:AOD655385 AXW655380:AXZ655385 BHS655380:BHV655385 BRO655380:BRR655385 CBK655380:CBN655385 CLG655380:CLJ655385 CVC655380:CVF655385 DEY655380:DFB655385 DOU655380:DOX655385 DYQ655380:DYT655385 EIM655380:EIP655385 ESI655380:ESL655385 FCE655380:FCH655385 FMA655380:FMD655385 FVW655380:FVZ655385 GFS655380:GFV655385 GPO655380:GPR655385 GZK655380:GZN655385 HJG655380:HJJ655385 HTC655380:HTF655385 ICY655380:IDB655385 IMU655380:IMX655385 IWQ655380:IWT655385 JGM655380:JGP655385 JQI655380:JQL655385 KAE655380:KAH655385 KKA655380:KKD655385 KTW655380:KTZ655385 LDS655380:LDV655385 LNO655380:LNR655385 LXK655380:LXN655385 MHG655380:MHJ655385 MRC655380:MRF655385 NAY655380:NBB655385 NKU655380:NKX655385 NUQ655380:NUT655385 OEM655380:OEP655385 OOI655380:OOL655385 OYE655380:OYH655385 PIA655380:PID655385 PRW655380:PRZ655385 QBS655380:QBV655385 QLO655380:QLR655385 QVK655380:QVN655385 RFG655380:RFJ655385 RPC655380:RPF655385 RYY655380:RZB655385 SIU655380:SIX655385 SSQ655380:SST655385 TCM655380:TCP655385 TMI655380:TML655385 TWE655380:TWH655385 UGA655380:UGD655385 UPW655380:UPZ655385 UZS655380:UZV655385 VJO655380:VJR655385 VTK655380:VTN655385 WDG655380:WDJ655385 WNC655380:WNF655385 G720916:J720921 AQ720916:AT720921 KM720916:KP720921 UI720916:UL720921 AEE720916:AEH720921 AOA720916:AOD720921 AXW720916:AXZ720921 BHS720916:BHV720921 BRO720916:BRR720921 CBK720916:CBN720921 CLG720916:CLJ720921 CVC720916:CVF720921 DEY720916:DFB720921 DOU720916:DOX720921 DYQ720916:DYT720921 EIM720916:EIP720921 ESI720916:ESL720921 FCE720916:FCH720921 FMA720916:FMD720921 FVW720916:FVZ720921 GFS720916:GFV720921 GPO720916:GPR720921 GZK720916:GZN720921 HJG720916:HJJ720921 HTC720916:HTF720921 ICY720916:IDB720921 IMU720916:IMX720921 IWQ720916:IWT720921 JGM720916:JGP720921 JQI720916:JQL720921 KAE720916:KAH720921 KKA720916:KKD720921 KTW720916:KTZ720921 LDS720916:LDV720921 LNO720916:LNR720921 LXK720916:LXN720921 MHG720916:MHJ720921 MRC720916:MRF720921 NAY720916:NBB720921 NKU720916:NKX720921 NUQ720916:NUT720921 OEM720916:OEP720921 OOI720916:OOL720921 OYE720916:OYH720921 PIA720916:PID720921 PRW720916:PRZ720921 QBS720916:QBV720921 QLO720916:QLR720921 QVK720916:QVN720921 RFG720916:RFJ720921 RPC720916:RPF720921 RYY720916:RZB720921 SIU720916:SIX720921 SSQ720916:SST720921 TCM720916:TCP720921 TMI720916:TML720921 TWE720916:TWH720921 UGA720916:UGD720921 UPW720916:UPZ720921 UZS720916:UZV720921 VJO720916:VJR720921 VTK720916:VTN720921 WDG720916:WDJ720921 WNC720916:WNF720921 G786452:J786457 AQ786452:AT786457 KM786452:KP786457 UI786452:UL786457 AEE786452:AEH786457 AOA786452:AOD786457 AXW786452:AXZ786457 BHS786452:BHV786457 BRO786452:BRR786457 CBK786452:CBN786457 CLG786452:CLJ786457 CVC786452:CVF786457 DEY786452:DFB786457 DOU786452:DOX786457 DYQ786452:DYT786457 EIM786452:EIP786457 ESI786452:ESL786457 FCE786452:FCH786457 FMA786452:FMD786457 FVW786452:FVZ786457 GFS786452:GFV786457 GPO786452:GPR786457 GZK786452:GZN786457 HJG786452:HJJ786457 HTC786452:HTF786457 ICY786452:IDB786457 IMU786452:IMX786457 IWQ786452:IWT786457 JGM786452:JGP786457 JQI786452:JQL786457 KAE786452:KAH786457 KKA786452:KKD786457 KTW786452:KTZ786457 LDS786452:LDV786457 LNO786452:LNR786457 LXK786452:LXN786457 MHG786452:MHJ786457 MRC786452:MRF786457 NAY786452:NBB786457 NKU786452:NKX786457 NUQ786452:NUT786457 OEM786452:OEP786457 OOI786452:OOL786457 OYE786452:OYH786457 PIA786452:PID786457 PRW786452:PRZ786457 QBS786452:QBV786457 QLO786452:QLR786457 QVK786452:QVN786457 RFG786452:RFJ786457 RPC786452:RPF786457 RYY786452:RZB786457 SIU786452:SIX786457 SSQ786452:SST786457 TCM786452:TCP786457 TMI786452:TML786457 TWE786452:TWH786457 UGA786452:UGD786457 UPW786452:UPZ786457 UZS786452:UZV786457 VJO786452:VJR786457 VTK786452:VTN786457 WDG786452:WDJ786457 WNC786452:WNF786457 G851988:J851993 AQ851988:AT851993 KM851988:KP851993 UI851988:UL851993 AEE851988:AEH851993 AOA851988:AOD851993 AXW851988:AXZ851993 BHS851988:BHV851993 BRO851988:BRR851993 CBK851988:CBN851993 CLG851988:CLJ851993 CVC851988:CVF851993 DEY851988:DFB851993 DOU851988:DOX851993 DYQ851988:DYT851993 EIM851988:EIP851993 ESI851988:ESL851993 FCE851988:FCH851993 FMA851988:FMD851993 FVW851988:FVZ851993 GFS851988:GFV851993 GPO851988:GPR851993 GZK851988:GZN851993 HJG851988:HJJ851993 HTC851988:HTF851993 ICY851988:IDB851993 IMU851988:IMX851993 IWQ851988:IWT851993 JGM851988:JGP851993 JQI851988:JQL851993 KAE851988:KAH851993 KKA851988:KKD851993 KTW851988:KTZ851993 LDS851988:LDV851993 LNO851988:LNR851993 LXK851988:LXN851993 MHG851988:MHJ851993 MRC851988:MRF851993 NAY851988:NBB851993 NKU851988:NKX851993 NUQ851988:NUT851993 OEM851988:OEP851993 OOI851988:OOL851993 OYE851988:OYH851993 PIA851988:PID851993 PRW851988:PRZ851993 QBS851988:QBV851993 QLO851988:QLR851993 QVK851988:QVN851993 RFG851988:RFJ851993 RPC851988:RPF851993 RYY851988:RZB851993 SIU851988:SIX851993 SSQ851988:SST851993 TCM851988:TCP851993 TMI851988:TML851993 TWE851988:TWH851993 UGA851988:UGD851993 UPW851988:UPZ851993 UZS851988:UZV851993 VJO851988:VJR851993 VTK851988:VTN851993 WDG851988:WDJ851993 WNC851988:WNF851993 G917524:J917529 AQ917524:AT917529 KM917524:KP917529 UI917524:UL917529 AEE917524:AEH917529 AOA917524:AOD917529 AXW917524:AXZ917529 BHS917524:BHV917529 BRO917524:BRR917529 CBK917524:CBN917529 CLG917524:CLJ917529 CVC917524:CVF917529 DEY917524:DFB917529 DOU917524:DOX917529 DYQ917524:DYT917529 EIM917524:EIP917529 ESI917524:ESL917529 FCE917524:FCH917529 FMA917524:FMD917529 FVW917524:FVZ917529 GFS917524:GFV917529 GPO917524:GPR917529 GZK917524:GZN917529 HJG917524:HJJ917529 HTC917524:HTF917529 ICY917524:IDB917529 IMU917524:IMX917529 IWQ917524:IWT917529 JGM917524:JGP917529 JQI917524:JQL917529 KAE917524:KAH917529 KKA917524:KKD917529 KTW917524:KTZ917529 LDS917524:LDV917529 LNO917524:LNR917529 LXK917524:LXN917529 MHG917524:MHJ917529 MRC917524:MRF917529 NAY917524:NBB917529 NKU917524:NKX917529 NUQ917524:NUT917529 OEM917524:OEP917529 OOI917524:OOL917529 OYE917524:OYH917529 PIA917524:PID917529 PRW917524:PRZ917529 QBS917524:QBV917529 QLO917524:QLR917529 QVK917524:QVN917529 RFG917524:RFJ917529 RPC917524:RPF917529 RYY917524:RZB917529 SIU917524:SIX917529 SSQ917524:SST917529 TCM917524:TCP917529 TMI917524:TML917529 TWE917524:TWH917529 UGA917524:UGD917529 UPW917524:UPZ917529 UZS917524:UZV917529 VJO917524:VJR917529 VTK917524:VTN917529 WDG917524:WDJ917529 WNC917524:WNF917529 G983060:J983065 AQ983060:AT983065 KM983060:KP983065 UI983060:UL983065 AEE983060:AEH983065 AOA983060:AOD983065 AXW983060:AXZ983065 BHS983060:BHV983065 BRO983060:BRR983065 CBK983060:CBN983065 CLG983060:CLJ983065 CVC983060:CVF983065 DEY983060:DFB983065 DOU983060:DOX983065 DYQ983060:DYT983065 EIM983060:EIP983065 ESI983060:ESL983065 FCE983060:FCH983065 FMA983060:FMD983065 FVW983060:FVZ983065 GFS983060:GFV983065 GPO983060:GPR983065 GZK983060:GZN983065 HJG983060:HJJ983065 HTC983060:HTF983065 ICY983060:IDB983065 IMU983060:IMX983065 IWQ983060:IWT983065 JGM983060:JGP983065 JQI983060:JQL983065 KAE983060:KAH983065 KKA983060:KKD983065 KTW983060:KTZ983065 LDS983060:LDV983065 LNO983060:LNR983065 LXK983060:LXN983065 MHG983060:MHJ983065 MRC983060:MRF983065 NAY983060:NBB983065 NKU983060:NKX983065 NUQ983060:NUT983065 OEM983060:OEP983065 OOI983060:OOL983065 OYE983060:OYH983065 PIA983060:PID983065 PRW983060:PRZ983065 QBS983060:QBV983065 QLO983060:QLR983065 QVK983060:QVN983065 RFG983060:RFJ983065 RPC983060:RPF983065 RYY983060:RZB983065 SIU983060:SIX983065 SSQ983060:SST983065 TCM983060:TCP983065 TMI983060:TML983065 TWE983060:TWH983065 UGA983060:UGD983065 UPW983060:UPZ983065 UZS983060:UZV983065 VJO983060:VJR983065 VTK983060:VTN983065 WDG983060:WDJ983065 AQ22:AT27 WNC22:WNF27 WDG22:WDJ27 VTK22:VTN27 VJO22:VJR27 UZS22:UZV27 UPW22:UPZ27 UGA22:UGD27 TWE22:TWH27 TMI22:TML27 TCM22:TCP27 SSQ22:SST27 SIU22:SIX27 RYY22:RZB27 RPC22:RPF27 RFG22:RFJ27 QVK22:QVN27 QLO22:QLR27 QBS22:QBV27 PRW22:PRZ27 PIA22:PID27 OYE22:OYH27 OOI22:OOL27 OEM22:OEP27 NUQ22:NUT27 NKU22:NKX27 NAY22:NBB27 MRC22:MRF27 MHG22:MHJ27 LXK22:LXN27 LNO22:LNR27 LDS22:LDV27 KTW22:KTZ27 KKA22:KKD27 KAE22:KAH27 JQI22:JQL27 JGM22:JGP27 IWQ22:IWT27 IMU22:IMX27 ICY22:IDB27 HTC22:HTF27 HJG22:HJJ27 GZK22:GZN27 GPO22:GPR27 GFS22:GFV27 FVW22:FVZ27 FMA22:FMD27 FCE22:FCH27 ESI22:ESL27 EIM22:EIP27 DYQ22:DYT27 DOU22:DOX27 DEY22:DFB27 CVC22:CVF27 CLG22:CLJ27 CBK22:CBN27 BRO22:BRR27 BHS22:BHV27 AXW22:AXZ27 AOA22:AOD27 AEE22:AEH27 UI22:UL27 KM22:KP27 G23:G27">
      <formula1>0</formula1>
    </dataValidation>
    <dataValidation type="decimal" allowBlank="1" showInputMessage="1" showErrorMessage="1" errorTitle="Error" error="The number of eligible primary pupils for this factor cannot be negative or higher than the total number of primary pupils in the school. Please insert the correct figure or leave the cell blank to use an LA average." sqref="WDG983068 AQ40 KM40 UI40 AEE40 AOA40 AXW40 BHS40 BRO40 CBK40 CLG40 CVC40 DEY40 DOU40 DYQ40 EIM40 ESI40 FCE40 FMA40 FVW40 GFS40 GPO40 GZK40 HJG40 HTC40 ICY40 IMU40 IWQ40 JGM40 JQI40 KAE40 KKA40 KTW40 LDS40 LNO40 LXK40 MHG40 MRC40 NAY40 NKU40 NUQ40 OEM40 OOI40 OYE40 PIA40 PRW40 QBS40 QLO40 QVK40 RFG40 RPC40 RYY40 SIU40 SSQ40 TCM40 TMI40 TWE40 UGA40 UPW40 UZS40 VJO40 VTK40 WDG40 WNC40 G65574 AQ65574 KM65574 UI65574 AEE65574 AOA65574 AXW65574 BHS65574 BRO65574 CBK65574 CLG65574 CVC65574 DEY65574 DOU65574 DYQ65574 EIM65574 ESI65574 FCE65574 FMA65574 FVW65574 GFS65574 GPO65574 GZK65574 HJG65574 HTC65574 ICY65574 IMU65574 IWQ65574 JGM65574 JQI65574 KAE65574 KKA65574 KTW65574 LDS65574 LNO65574 LXK65574 MHG65574 MRC65574 NAY65574 NKU65574 NUQ65574 OEM65574 OOI65574 OYE65574 PIA65574 PRW65574 QBS65574 QLO65574 QVK65574 RFG65574 RPC65574 RYY65574 SIU65574 SSQ65574 TCM65574 TMI65574 TWE65574 UGA65574 UPW65574 UZS65574 VJO65574 VTK65574 WDG65574 WNC65574 G131110 AQ131110 KM131110 UI131110 AEE131110 AOA131110 AXW131110 BHS131110 BRO131110 CBK131110 CLG131110 CVC131110 DEY131110 DOU131110 DYQ131110 EIM131110 ESI131110 FCE131110 FMA131110 FVW131110 GFS131110 GPO131110 GZK131110 HJG131110 HTC131110 ICY131110 IMU131110 IWQ131110 JGM131110 JQI131110 KAE131110 KKA131110 KTW131110 LDS131110 LNO131110 LXK131110 MHG131110 MRC131110 NAY131110 NKU131110 NUQ131110 OEM131110 OOI131110 OYE131110 PIA131110 PRW131110 QBS131110 QLO131110 QVK131110 RFG131110 RPC131110 RYY131110 SIU131110 SSQ131110 TCM131110 TMI131110 TWE131110 UGA131110 UPW131110 UZS131110 VJO131110 VTK131110 WDG131110 WNC131110 G196646 AQ196646 KM196646 UI196646 AEE196646 AOA196646 AXW196646 BHS196646 BRO196646 CBK196646 CLG196646 CVC196646 DEY196646 DOU196646 DYQ196646 EIM196646 ESI196646 FCE196646 FMA196646 FVW196646 GFS196646 GPO196646 GZK196646 HJG196646 HTC196646 ICY196646 IMU196646 IWQ196646 JGM196646 JQI196646 KAE196646 KKA196646 KTW196646 LDS196646 LNO196646 LXK196646 MHG196646 MRC196646 NAY196646 NKU196646 NUQ196646 OEM196646 OOI196646 OYE196646 PIA196646 PRW196646 QBS196646 QLO196646 QVK196646 RFG196646 RPC196646 RYY196646 SIU196646 SSQ196646 TCM196646 TMI196646 TWE196646 UGA196646 UPW196646 UZS196646 VJO196646 VTK196646 WDG196646 WNC196646 G262182 AQ262182 KM262182 UI262182 AEE262182 AOA262182 AXW262182 BHS262182 BRO262182 CBK262182 CLG262182 CVC262182 DEY262182 DOU262182 DYQ262182 EIM262182 ESI262182 FCE262182 FMA262182 FVW262182 GFS262182 GPO262182 GZK262182 HJG262182 HTC262182 ICY262182 IMU262182 IWQ262182 JGM262182 JQI262182 KAE262182 KKA262182 KTW262182 LDS262182 LNO262182 LXK262182 MHG262182 MRC262182 NAY262182 NKU262182 NUQ262182 OEM262182 OOI262182 OYE262182 PIA262182 PRW262182 QBS262182 QLO262182 QVK262182 RFG262182 RPC262182 RYY262182 SIU262182 SSQ262182 TCM262182 TMI262182 TWE262182 UGA262182 UPW262182 UZS262182 VJO262182 VTK262182 WDG262182 WNC262182 G327718 AQ327718 KM327718 UI327718 AEE327718 AOA327718 AXW327718 BHS327718 BRO327718 CBK327718 CLG327718 CVC327718 DEY327718 DOU327718 DYQ327718 EIM327718 ESI327718 FCE327718 FMA327718 FVW327718 GFS327718 GPO327718 GZK327718 HJG327718 HTC327718 ICY327718 IMU327718 IWQ327718 JGM327718 JQI327718 KAE327718 KKA327718 KTW327718 LDS327718 LNO327718 LXK327718 MHG327718 MRC327718 NAY327718 NKU327718 NUQ327718 OEM327718 OOI327718 OYE327718 PIA327718 PRW327718 QBS327718 QLO327718 QVK327718 RFG327718 RPC327718 RYY327718 SIU327718 SSQ327718 TCM327718 TMI327718 TWE327718 UGA327718 UPW327718 UZS327718 VJO327718 VTK327718 WDG327718 WNC327718 G393254 AQ393254 KM393254 UI393254 AEE393254 AOA393254 AXW393254 BHS393254 BRO393254 CBK393254 CLG393254 CVC393254 DEY393254 DOU393254 DYQ393254 EIM393254 ESI393254 FCE393254 FMA393254 FVW393254 GFS393254 GPO393254 GZK393254 HJG393254 HTC393254 ICY393254 IMU393254 IWQ393254 JGM393254 JQI393254 KAE393254 KKA393254 KTW393254 LDS393254 LNO393254 LXK393254 MHG393254 MRC393254 NAY393254 NKU393254 NUQ393254 OEM393254 OOI393254 OYE393254 PIA393254 PRW393254 QBS393254 QLO393254 QVK393254 RFG393254 RPC393254 RYY393254 SIU393254 SSQ393254 TCM393254 TMI393254 TWE393254 UGA393254 UPW393254 UZS393254 VJO393254 VTK393254 WDG393254 WNC393254 G458790 AQ458790 KM458790 UI458790 AEE458790 AOA458790 AXW458790 BHS458790 BRO458790 CBK458790 CLG458790 CVC458790 DEY458790 DOU458790 DYQ458790 EIM458790 ESI458790 FCE458790 FMA458790 FVW458790 GFS458790 GPO458790 GZK458790 HJG458790 HTC458790 ICY458790 IMU458790 IWQ458790 JGM458790 JQI458790 KAE458790 KKA458790 KTW458790 LDS458790 LNO458790 LXK458790 MHG458790 MRC458790 NAY458790 NKU458790 NUQ458790 OEM458790 OOI458790 OYE458790 PIA458790 PRW458790 QBS458790 QLO458790 QVK458790 RFG458790 RPC458790 RYY458790 SIU458790 SSQ458790 TCM458790 TMI458790 TWE458790 UGA458790 UPW458790 UZS458790 VJO458790 VTK458790 WDG458790 WNC458790 G524326 AQ524326 KM524326 UI524326 AEE524326 AOA524326 AXW524326 BHS524326 BRO524326 CBK524326 CLG524326 CVC524326 DEY524326 DOU524326 DYQ524326 EIM524326 ESI524326 FCE524326 FMA524326 FVW524326 GFS524326 GPO524326 GZK524326 HJG524326 HTC524326 ICY524326 IMU524326 IWQ524326 JGM524326 JQI524326 KAE524326 KKA524326 KTW524326 LDS524326 LNO524326 LXK524326 MHG524326 MRC524326 NAY524326 NKU524326 NUQ524326 OEM524326 OOI524326 OYE524326 PIA524326 PRW524326 QBS524326 QLO524326 QVK524326 RFG524326 RPC524326 RYY524326 SIU524326 SSQ524326 TCM524326 TMI524326 TWE524326 UGA524326 UPW524326 UZS524326 VJO524326 VTK524326 WDG524326 WNC524326 G589862 AQ589862 KM589862 UI589862 AEE589862 AOA589862 AXW589862 BHS589862 BRO589862 CBK589862 CLG589862 CVC589862 DEY589862 DOU589862 DYQ589862 EIM589862 ESI589862 FCE589862 FMA589862 FVW589862 GFS589862 GPO589862 GZK589862 HJG589862 HTC589862 ICY589862 IMU589862 IWQ589862 JGM589862 JQI589862 KAE589862 KKA589862 KTW589862 LDS589862 LNO589862 LXK589862 MHG589862 MRC589862 NAY589862 NKU589862 NUQ589862 OEM589862 OOI589862 OYE589862 PIA589862 PRW589862 QBS589862 QLO589862 QVK589862 RFG589862 RPC589862 RYY589862 SIU589862 SSQ589862 TCM589862 TMI589862 TWE589862 UGA589862 UPW589862 UZS589862 VJO589862 VTK589862 WDG589862 WNC589862 G655398 AQ655398 KM655398 UI655398 AEE655398 AOA655398 AXW655398 BHS655398 BRO655398 CBK655398 CLG655398 CVC655398 DEY655398 DOU655398 DYQ655398 EIM655398 ESI655398 FCE655398 FMA655398 FVW655398 GFS655398 GPO655398 GZK655398 HJG655398 HTC655398 ICY655398 IMU655398 IWQ655398 JGM655398 JQI655398 KAE655398 KKA655398 KTW655398 LDS655398 LNO655398 LXK655398 MHG655398 MRC655398 NAY655398 NKU655398 NUQ655398 OEM655398 OOI655398 OYE655398 PIA655398 PRW655398 QBS655398 QLO655398 QVK655398 RFG655398 RPC655398 RYY655398 SIU655398 SSQ655398 TCM655398 TMI655398 TWE655398 UGA655398 UPW655398 UZS655398 VJO655398 VTK655398 WDG655398 WNC655398 G720934 AQ720934 KM720934 UI720934 AEE720934 AOA720934 AXW720934 BHS720934 BRO720934 CBK720934 CLG720934 CVC720934 DEY720934 DOU720934 DYQ720934 EIM720934 ESI720934 FCE720934 FMA720934 FVW720934 GFS720934 GPO720934 GZK720934 HJG720934 HTC720934 ICY720934 IMU720934 IWQ720934 JGM720934 JQI720934 KAE720934 KKA720934 KTW720934 LDS720934 LNO720934 LXK720934 MHG720934 MRC720934 NAY720934 NKU720934 NUQ720934 OEM720934 OOI720934 OYE720934 PIA720934 PRW720934 QBS720934 QLO720934 QVK720934 RFG720934 RPC720934 RYY720934 SIU720934 SSQ720934 TCM720934 TMI720934 TWE720934 UGA720934 UPW720934 UZS720934 VJO720934 VTK720934 WDG720934 WNC720934 G786470 AQ786470 KM786470 UI786470 AEE786470 AOA786470 AXW786470 BHS786470 BRO786470 CBK786470 CLG786470 CVC786470 DEY786470 DOU786470 DYQ786470 EIM786470 ESI786470 FCE786470 FMA786470 FVW786470 GFS786470 GPO786470 GZK786470 HJG786470 HTC786470 ICY786470 IMU786470 IWQ786470 JGM786470 JQI786470 KAE786470 KKA786470 KTW786470 LDS786470 LNO786470 LXK786470 MHG786470 MRC786470 NAY786470 NKU786470 NUQ786470 OEM786470 OOI786470 OYE786470 PIA786470 PRW786470 QBS786470 QLO786470 QVK786470 RFG786470 RPC786470 RYY786470 SIU786470 SSQ786470 TCM786470 TMI786470 TWE786470 UGA786470 UPW786470 UZS786470 VJO786470 VTK786470 WDG786470 WNC786470 G852006 AQ852006 KM852006 UI852006 AEE852006 AOA852006 AXW852006 BHS852006 BRO852006 CBK852006 CLG852006 CVC852006 DEY852006 DOU852006 DYQ852006 EIM852006 ESI852006 FCE852006 FMA852006 FVW852006 GFS852006 GPO852006 GZK852006 HJG852006 HTC852006 ICY852006 IMU852006 IWQ852006 JGM852006 JQI852006 KAE852006 KKA852006 KTW852006 LDS852006 LNO852006 LXK852006 MHG852006 MRC852006 NAY852006 NKU852006 NUQ852006 OEM852006 OOI852006 OYE852006 PIA852006 PRW852006 QBS852006 QLO852006 QVK852006 RFG852006 RPC852006 RYY852006 SIU852006 SSQ852006 TCM852006 TMI852006 TWE852006 UGA852006 UPW852006 UZS852006 VJO852006 VTK852006 WDG852006 WNC852006 G917542 AQ917542 KM917542 UI917542 AEE917542 AOA917542 AXW917542 BHS917542 BRO917542 CBK917542 CLG917542 CVC917542 DEY917542 DOU917542 DYQ917542 EIM917542 ESI917542 FCE917542 FMA917542 FVW917542 GFS917542 GPO917542 GZK917542 HJG917542 HTC917542 ICY917542 IMU917542 IWQ917542 JGM917542 JQI917542 KAE917542 KKA917542 KTW917542 LDS917542 LNO917542 LXK917542 MHG917542 MRC917542 NAY917542 NKU917542 NUQ917542 OEM917542 OOI917542 OYE917542 PIA917542 PRW917542 QBS917542 QLO917542 QVK917542 RFG917542 RPC917542 RYY917542 SIU917542 SSQ917542 TCM917542 TMI917542 TWE917542 UGA917542 UPW917542 UZS917542 VJO917542 VTK917542 WDG917542 WNC917542 G983078 AQ983078 KM983078 UI983078 AEE983078 AOA983078 AXW983078 BHS983078 BRO983078 CBK983078 CLG983078 CVC983078 DEY983078 DOU983078 DYQ983078 EIM983078 ESI983078 FCE983078 FMA983078 FVW983078 GFS983078 GPO983078 GZK983078 HJG983078 HTC983078 ICY983078 IMU983078 IWQ983078 JGM983078 JQI983078 KAE983078 KKA983078 KTW983078 LDS983078 LNO983078 LXK983078 MHG983078 MRC983078 NAY983078 NKU983078 NUQ983078 OEM983078 OOI983078 OYE983078 PIA983078 PRW983078 QBS983078 QLO983078 QVK983078 RFG983078 RPC983078 RYY983078 SIU983078 SSQ983078 TCM983078 TMI983078 TWE983078 UGA983078 UPW983078 UZS983078 VJO983078 VTK983078 WDG983078 WNC983078 WNC983068 AQ30 KM30 UI30 AEE30 AOA30 AXW30 BHS30 BRO30 CBK30 CLG30 CVC30 DEY30 DOU30 DYQ30 EIM30 ESI30 FCE30 FMA30 FVW30 GFS30 GPO30 GZK30 HJG30 HTC30 ICY30 IMU30 IWQ30 JGM30 JQI30 KAE30 KKA30 KTW30 LDS30 LNO30 LXK30 MHG30 MRC30 NAY30 NKU30 NUQ30 OEM30 OOI30 OYE30 PIA30 PRW30 QBS30 QLO30 QVK30 RFG30 RPC30 RYY30 SIU30 SSQ30 TCM30 TMI30 TWE30 UGA30 UPW30 UZS30 VJO30 VTK30 WDG30 WNC30 G65564 AQ65564 KM65564 UI65564 AEE65564 AOA65564 AXW65564 BHS65564 BRO65564 CBK65564 CLG65564 CVC65564 DEY65564 DOU65564 DYQ65564 EIM65564 ESI65564 FCE65564 FMA65564 FVW65564 GFS65564 GPO65564 GZK65564 HJG65564 HTC65564 ICY65564 IMU65564 IWQ65564 JGM65564 JQI65564 KAE65564 KKA65564 KTW65564 LDS65564 LNO65564 LXK65564 MHG65564 MRC65564 NAY65564 NKU65564 NUQ65564 OEM65564 OOI65564 OYE65564 PIA65564 PRW65564 QBS65564 QLO65564 QVK65564 RFG65564 RPC65564 RYY65564 SIU65564 SSQ65564 TCM65564 TMI65564 TWE65564 UGA65564 UPW65564 UZS65564 VJO65564 VTK65564 WDG65564 WNC65564 G131100 AQ131100 KM131100 UI131100 AEE131100 AOA131100 AXW131100 BHS131100 BRO131100 CBK131100 CLG131100 CVC131100 DEY131100 DOU131100 DYQ131100 EIM131100 ESI131100 FCE131100 FMA131100 FVW131100 GFS131100 GPO131100 GZK131100 HJG131100 HTC131100 ICY131100 IMU131100 IWQ131100 JGM131100 JQI131100 KAE131100 KKA131100 KTW131100 LDS131100 LNO131100 LXK131100 MHG131100 MRC131100 NAY131100 NKU131100 NUQ131100 OEM131100 OOI131100 OYE131100 PIA131100 PRW131100 QBS131100 QLO131100 QVK131100 RFG131100 RPC131100 RYY131100 SIU131100 SSQ131100 TCM131100 TMI131100 TWE131100 UGA131100 UPW131100 UZS131100 VJO131100 VTK131100 WDG131100 WNC131100 G196636 AQ196636 KM196636 UI196636 AEE196636 AOA196636 AXW196636 BHS196636 BRO196636 CBK196636 CLG196636 CVC196636 DEY196636 DOU196636 DYQ196636 EIM196636 ESI196636 FCE196636 FMA196636 FVW196636 GFS196636 GPO196636 GZK196636 HJG196636 HTC196636 ICY196636 IMU196636 IWQ196636 JGM196636 JQI196636 KAE196636 KKA196636 KTW196636 LDS196636 LNO196636 LXK196636 MHG196636 MRC196636 NAY196636 NKU196636 NUQ196636 OEM196636 OOI196636 OYE196636 PIA196636 PRW196636 QBS196636 QLO196636 QVK196636 RFG196636 RPC196636 RYY196636 SIU196636 SSQ196636 TCM196636 TMI196636 TWE196636 UGA196636 UPW196636 UZS196636 VJO196636 VTK196636 WDG196636 WNC196636 G262172 AQ262172 KM262172 UI262172 AEE262172 AOA262172 AXW262172 BHS262172 BRO262172 CBK262172 CLG262172 CVC262172 DEY262172 DOU262172 DYQ262172 EIM262172 ESI262172 FCE262172 FMA262172 FVW262172 GFS262172 GPO262172 GZK262172 HJG262172 HTC262172 ICY262172 IMU262172 IWQ262172 JGM262172 JQI262172 KAE262172 KKA262172 KTW262172 LDS262172 LNO262172 LXK262172 MHG262172 MRC262172 NAY262172 NKU262172 NUQ262172 OEM262172 OOI262172 OYE262172 PIA262172 PRW262172 QBS262172 QLO262172 QVK262172 RFG262172 RPC262172 RYY262172 SIU262172 SSQ262172 TCM262172 TMI262172 TWE262172 UGA262172 UPW262172 UZS262172 VJO262172 VTK262172 WDG262172 WNC262172 G327708 AQ327708 KM327708 UI327708 AEE327708 AOA327708 AXW327708 BHS327708 BRO327708 CBK327708 CLG327708 CVC327708 DEY327708 DOU327708 DYQ327708 EIM327708 ESI327708 FCE327708 FMA327708 FVW327708 GFS327708 GPO327708 GZK327708 HJG327708 HTC327708 ICY327708 IMU327708 IWQ327708 JGM327708 JQI327708 KAE327708 KKA327708 KTW327708 LDS327708 LNO327708 LXK327708 MHG327708 MRC327708 NAY327708 NKU327708 NUQ327708 OEM327708 OOI327708 OYE327708 PIA327708 PRW327708 QBS327708 QLO327708 QVK327708 RFG327708 RPC327708 RYY327708 SIU327708 SSQ327708 TCM327708 TMI327708 TWE327708 UGA327708 UPW327708 UZS327708 VJO327708 VTK327708 WDG327708 WNC327708 G393244 AQ393244 KM393244 UI393244 AEE393244 AOA393244 AXW393244 BHS393244 BRO393244 CBK393244 CLG393244 CVC393244 DEY393244 DOU393244 DYQ393244 EIM393244 ESI393244 FCE393244 FMA393244 FVW393244 GFS393244 GPO393244 GZK393244 HJG393244 HTC393244 ICY393244 IMU393244 IWQ393244 JGM393244 JQI393244 KAE393244 KKA393244 KTW393244 LDS393244 LNO393244 LXK393244 MHG393244 MRC393244 NAY393244 NKU393244 NUQ393244 OEM393244 OOI393244 OYE393244 PIA393244 PRW393244 QBS393244 QLO393244 QVK393244 RFG393244 RPC393244 RYY393244 SIU393244 SSQ393244 TCM393244 TMI393244 TWE393244 UGA393244 UPW393244 UZS393244 VJO393244 VTK393244 WDG393244 WNC393244 G458780 AQ458780 KM458780 UI458780 AEE458780 AOA458780 AXW458780 BHS458780 BRO458780 CBK458780 CLG458780 CVC458780 DEY458780 DOU458780 DYQ458780 EIM458780 ESI458780 FCE458780 FMA458780 FVW458780 GFS458780 GPO458780 GZK458780 HJG458780 HTC458780 ICY458780 IMU458780 IWQ458780 JGM458780 JQI458780 KAE458780 KKA458780 KTW458780 LDS458780 LNO458780 LXK458780 MHG458780 MRC458780 NAY458780 NKU458780 NUQ458780 OEM458780 OOI458780 OYE458780 PIA458780 PRW458780 QBS458780 QLO458780 QVK458780 RFG458780 RPC458780 RYY458780 SIU458780 SSQ458780 TCM458780 TMI458780 TWE458780 UGA458780 UPW458780 UZS458780 VJO458780 VTK458780 WDG458780 WNC458780 G524316 AQ524316 KM524316 UI524316 AEE524316 AOA524316 AXW524316 BHS524316 BRO524316 CBK524316 CLG524316 CVC524316 DEY524316 DOU524316 DYQ524316 EIM524316 ESI524316 FCE524316 FMA524316 FVW524316 GFS524316 GPO524316 GZK524316 HJG524316 HTC524316 ICY524316 IMU524316 IWQ524316 JGM524316 JQI524316 KAE524316 KKA524316 KTW524316 LDS524316 LNO524316 LXK524316 MHG524316 MRC524316 NAY524316 NKU524316 NUQ524316 OEM524316 OOI524316 OYE524316 PIA524316 PRW524316 QBS524316 QLO524316 QVK524316 RFG524316 RPC524316 RYY524316 SIU524316 SSQ524316 TCM524316 TMI524316 TWE524316 UGA524316 UPW524316 UZS524316 VJO524316 VTK524316 WDG524316 WNC524316 G589852 AQ589852 KM589852 UI589852 AEE589852 AOA589852 AXW589852 BHS589852 BRO589852 CBK589852 CLG589852 CVC589852 DEY589852 DOU589852 DYQ589852 EIM589852 ESI589852 FCE589852 FMA589852 FVW589852 GFS589852 GPO589852 GZK589852 HJG589852 HTC589852 ICY589852 IMU589852 IWQ589852 JGM589852 JQI589852 KAE589852 KKA589852 KTW589852 LDS589852 LNO589852 LXK589852 MHG589852 MRC589852 NAY589852 NKU589852 NUQ589852 OEM589852 OOI589852 OYE589852 PIA589852 PRW589852 QBS589852 QLO589852 QVK589852 RFG589852 RPC589852 RYY589852 SIU589852 SSQ589852 TCM589852 TMI589852 TWE589852 UGA589852 UPW589852 UZS589852 VJO589852 VTK589852 WDG589852 WNC589852 G655388 AQ655388 KM655388 UI655388 AEE655388 AOA655388 AXW655388 BHS655388 BRO655388 CBK655388 CLG655388 CVC655388 DEY655388 DOU655388 DYQ655388 EIM655388 ESI655388 FCE655388 FMA655388 FVW655388 GFS655388 GPO655388 GZK655388 HJG655388 HTC655388 ICY655388 IMU655388 IWQ655388 JGM655388 JQI655388 KAE655388 KKA655388 KTW655388 LDS655388 LNO655388 LXK655388 MHG655388 MRC655388 NAY655388 NKU655388 NUQ655388 OEM655388 OOI655388 OYE655388 PIA655388 PRW655388 QBS655388 QLO655388 QVK655388 RFG655388 RPC655388 RYY655388 SIU655388 SSQ655388 TCM655388 TMI655388 TWE655388 UGA655388 UPW655388 UZS655388 VJO655388 VTK655388 WDG655388 WNC655388 G720924 AQ720924 KM720924 UI720924 AEE720924 AOA720924 AXW720924 BHS720924 BRO720924 CBK720924 CLG720924 CVC720924 DEY720924 DOU720924 DYQ720924 EIM720924 ESI720924 FCE720924 FMA720924 FVW720924 GFS720924 GPO720924 GZK720924 HJG720924 HTC720924 ICY720924 IMU720924 IWQ720924 JGM720924 JQI720924 KAE720924 KKA720924 KTW720924 LDS720924 LNO720924 LXK720924 MHG720924 MRC720924 NAY720924 NKU720924 NUQ720924 OEM720924 OOI720924 OYE720924 PIA720924 PRW720924 QBS720924 QLO720924 QVK720924 RFG720924 RPC720924 RYY720924 SIU720924 SSQ720924 TCM720924 TMI720924 TWE720924 UGA720924 UPW720924 UZS720924 VJO720924 VTK720924 WDG720924 WNC720924 G786460 AQ786460 KM786460 UI786460 AEE786460 AOA786460 AXW786460 BHS786460 BRO786460 CBK786460 CLG786460 CVC786460 DEY786460 DOU786460 DYQ786460 EIM786460 ESI786460 FCE786460 FMA786460 FVW786460 GFS786460 GPO786460 GZK786460 HJG786460 HTC786460 ICY786460 IMU786460 IWQ786460 JGM786460 JQI786460 KAE786460 KKA786460 KTW786460 LDS786460 LNO786460 LXK786460 MHG786460 MRC786460 NAY786460 NKU786460 NUQ786460 OEM786460 OOI786460 OYE786460 PIA786460 PRW786460 QBS786460 QLO786460 QVK786460 RFG786460 RPC786460 RYY786460 SIU786460 SSQ786460 TCM786460 TMI786460 TWE786460 UGA786460 UPW786460 UZS786460 VJO786460 VTK786460 WDG786460 WNC786460 G851996 AQ851996 KM851996 UI851996 AEE851996 AOA851996 AXW851996 BHS851996 BRO851996 CBK851996 CLG851996 CVC851996 DEY851996 DOU851996 DYQ851996 EIM851996 ESI851996 FCE851996 FMA851996 FVW851996 GFS851996 GPO851996 GZK851996 HJG851996 HTC851996 ICY851996 IMU851996 IWQ851996 JGM851996 JQI851996 KAE851996 KKA851996 KTW851996 LDS851996 LNO851996 LXK851996 MHG851996 MRC851996 NAY851996 NKU851996 NUQ851996 OEM851996 OOI851996 OYE851996 PIA851996 PRW851996 QBS851996 QLO851996 QVK851996 RFG851996 RPC851996 RYY851996 SIU851996 SSQ851996 TCM851996 TMI851996 TWE851996 UGA851996 UPW851996 UZS851996 VJO851996 VTK851996 WDG851996 WNC851996 G917532 AQ917532 KM917532 UI917532 AEE917532 AOA917532 AXW917532 BHS917532 BRO917532 CBK917532 CLG917532 CVC917532 DEY917532 DOU917532 DYQ917532 EIM917532 ESI917532 FCE917532 FMA917532 FVW917532 GFS917532 GPO917532 GZK917532 HJG917532 HTC917532 ICY917532 IMU917532 IWQ917532 JGM917532 JQI917532 KAE917532 KKA917532 KTW917532 LDS917532 LNO917532 LXK917532 MHG917532 MRC917532 NAY917532 NKU917532 NUQ917532 OEM917532 OOI917532 OYE917532 PIA917532 PRW917532 QBS917532 QLO917532 QVK917532 RFG917532 RPC917532 RYY917532 SIU917532 SSQ917532 TCM917532 TMI917532 TWE917532 UGA917532 UPW917532 UZS917532 VJO917532 VTK917532 WDG917532 WNC917532 G983068 AQ983068 KM983068 UI983068 AEE983068 AOA983068 AXW983068 BHS983068 BRO983068 CBK983068 CLG983068 CVC983068 DEY983068 DOU983068 DYQ983068 EIM983068 ESI983068 FCE983068 FMA983068 FVW983068 GFS983068 GPO983068 GZK983068 HJG983068 HTC983068 ICY983068 IMU983068 IWQ983068 JGM983068 JQI983068 KAE983068 KKA983068 KTW983068 LDS983068 LNO983068 LXK983068 MHG983068 MRC983068 NAY983068 NKU983068 NUQ983068 OEM983068 OOI983068 OYE983068 PIA983068 PRW983068 QBS983068 QLO983068 QVK983068 RFG983068 RPC983068 RYY983068 SIU983068 SSQ983068 TCM983068 TMI983068 TWE983068 UGA983068 UPW983068 UZS983068 VJO983068 VTK983068">
      <formula1>0</formula1>
      <formula2>#REF!</formula2>
    </dataValidation>
    <dataValidation type="decimal" allowBlank="1" showInputMessage="1" showErrorMessage="1" errorTitle="Error" error="The number of eligible secondary pupils for this factor cannot be negative or higher than the total number of KS3 and KS4 pupils in the school. Please insert the correct figure or leave the cell blank to use an LA average." sqref="WND983077 AR29 KN29 UJ29 AEF29 AOB29 AXX29 BHT29 BRP29 CBL29 CLH29 CVD29 DEZ29 DOV29 DYR29 EIN29 ESJ29 FCF29 FMB29 FVX29 GFT29 GPP29 GZL29 HJH29 HTD29 ICZ29 IMV29 IWR29 JGN29 JQJ29 KAF29 KKB29 KTX29 LDT29 LNP29 LXL29 MHH29 MRD29 NAZ29 NKV29 NUR29 OEN29 OOJ29 OYF29 PIB29 PRX29 QBT29 QLP29 QVL29 RFH29 RPD29 RYZ29 SIV29 SSR29 TCN29 TMJ29 TWF29 UGB29 UPX29 UZT29 VJP29 VTL29 WDH29 WND29 H65563 AR65563 KN65563 UJ65563 AEF65563 AOB65563 AXX65563 BHT65563 BRP65563 CBL65563 CLH65563 CVD65563 DEZ65563 DOV65563 DYR65563 EIN65563 ESJ65563 FCF65563 FMB65563 FVX65563 GFT65563 GPP65563 GZL65563 HJH65563 HTD65563 ICZ65563 IMV65563 IWR65563 JGN65563 JQJ65563 KAF65563 KKB65563 KTX65563 LDT65563 LNP65563 LXL65563 MHH65563 MRD65563 NAZ65563 NKV65563 NUR65563 OEN65563 OOJ65563 OYF65563 PIB65563 PRX65563 QBT65563 QLP65563 QVL65563 RFH65563 RPD65563 RYZ65563 SIV65563 SSR65563 TCN65563 TMJ65563 TWF65563 UGB65563 UPX65563 UZT65563 VJP65563 VTL65563 WDH65563 WND65563 H131099 AR131099 KN131099 UJ131099 AEF131099 AOB131099 AXX131099 BHT131099 BRP131099 CBL131099 CLH131099 CVD131099 DEZ131099 DOV131099 DYR131099 EIN131099 ESJ131099 FCF131099 FMB131099 FVX131099 GFT131099 GPP131099 GZL131099 HJH131099 HTD131099 ICZ131099 IMV131099 IWR131099 JGN131099 JQJ131099 KAF131099 KKB131099 KTX131099 LDT131099 LNP131099 LXL131099 MHH131099 MRD131099 NAZ131099 NKV131099 NUR131099 OEN131099 OOJ131099 OYF131099 PIB131099 PRX131099 QBT131099 QLP131099 QVL131099 RFH131099 RPD131099 RYZ131099 SIV131099 SSR131099 TCN131099 TMJ131099 TWF131099 UGB131099 UPX131099 UZT131099 VJP131099 VTL131099 WDH131099 WND131099 H196635 AR196635 KN196635 UJ196635 AEF196635 AOB196635 AXX196635 BHT196635 BRP196635 CBL196635 CLH196635 CVD196635 DEZ196635 DOV196635 DYR196635 EIN196635 ESJ196635 FCF196635 FMB196635 FVX196635 GFT196635 GPP196635 GZL196635 HJH196635 HTD196635 ICZ196635 IMV196635 IWR196635 JGN196635 JQJ196635 KAF196635 KKB196635 KTX196635 LDT196635 LNP196635 LXL196635 MHH196635 MRD196635 NAZ196635 NKV196635 NUR196635 OEN196635 OOJ196635 OYF196635 PIB196635 PRX196635 QBT196635 QLP196635 QVL196635 RFH196635 RPD196635 RYZ196635 SIV196635 SSR196635 TCN196635 TMJ196635 TWF196635 UGB196635 UPX196635 UZT196635 VJP196635 VTL196635 WDH196635 WND196635 H262171 AR262171 KN262171 UJ262171 AEF262171 AOB262171 AXX262171 BHT262171 BRP262171 CBL262171 CLH262171 CVD262171 DEZ262171 DOV262171 DYR262171 EIN262171 ESJ262171 FCF262171 FMB262171 FVX262171 GFT262171 GPP262171 GZL262171 HJH262171 HTD262171 ICZ262171 IMV262171 IWR262171 JGN262171 JQJ262171 KAF262171 KKB262171 KTX262171 LDT262171 LNP262171 LXL262171 MHH262171 MRD262171 NAZ262171 NKV262171 NUR262171 OEN262171 OOJ262171 OYF262171 PIB262171 PRX262171 QBT262171 QLP262171 QVL262171 RFH262171 RPD262171 RYZ262171 SIV262171 SSR262171 TCN262171 TMJ262171 TWF262171 UGB262171 UPX262171 UZT262171 VJP262171 VTL262171 WDH262171 WND262171 H327707 AR327707 KN327707 UJ327707 AEF327707 AOB327707 AXX327707 BHT327707 BRP327707 CBL327707 CLH327707 CVD327707 DEZ327707 DOV327707 DYR327707 EIN327707 ESJ327707 FCF327707 FMB327707 FVX327707 GFT327707 GPP327707 GZL327707 HJH327707 HTD327707 ICZ327707 IMV327707 IWR327707 JGN327707 JQJ327707 KAF327707 KKB327707 KTX327707 LDT327707 LNP327707 LXL327707 MHH327707 MRD327707 NAZ327707 NKV327707 NUR327707 OEN327707 OOJ327707 OYF327707 PIB327707 PRX327707 QBT327707 QLP327707 QVL327707 RFH327707 RPD327707 RYZ327707 SIV327707 SSR327707 TCN327707 TMJ327707 TWF327707 UGB327707 UPX327707 UZT327707 VJP327707 VTL327707 WDH327707 WND327707 H393243 AR393243 KN393243 UJ393243 AEF393243 AOB393243 AXX393243 BHT393243 BRP393243 CBL393243 CLH393243 CVD393243 DEZ393243 DOV393243 DYR393243 EIN393243 ESJ393243 FCF393243 FMB393243 FVX393243 GFT393243 GPP393243 GZL393243 HJH393243 HTD393243 ICZ393243 IMV393243 IWR393243 JGN393243 JQJ393243 KAF393243 KKB393243 KTX393243 LDT393243 LNP393243 LXL393243 MHH393243 MRD393243 NAZ393243 NKV393243 NUR393243 OEN393243 OOJ393243 OYF393243 PIB393243 PRX393243 QBT393243 QLP393243 QVL393243 RFH393243 RPD393243 RYZ393243 SIV393243 SSR393243 TCN393243 TMJ393243 TWF393243 UGB393243 UPX393243 UZT393243 VJP393243 VTL393243 WDH393243 WND393243 H458779 AR458779 KN458779 UJ458779 AEF458779 AOB458779 AXX458779 BHT458779 BRP458779 CBL458779 CLH458779 CVD458779 DEZ458779 DOV458779 DYR458779 EIN458779 ESJ458779 FCF458779 FMB458779 FVX458779 GFT458779 GPP458779 GZL458779 HJH458779 HTD458779 ICZ458779 IMV458779 IWR458779 JGN458779 JQJ458779 KAF458779 KKB458779 KTX458779 LDT458779 LNP458779 LXL458779 MHH458779 MRD458779 NAZ458779 NKV458779 NUR458779 OEN458779 OOJ458779 OYF458779 PIB458779 PRX458779 QBT458779 QLP458779 QVL458779 RFH458779 RPD458779 RYZ458779 SIV458779 SSR458779 TCN458779 TMJ458779 TWF458779 UGB458779 UPX458779 UZT458779 VJP458779 VTL458779 WDH458779 WND458779 H524315 AR524315 KN524315 UJ524315 AEF524315 AOB524315 AXX524315 BHT524315 BRP524315 CBL524315 CLH524315 CVD524315 DEZ524315 DOV524315 DYR524315 EIN524315 ESJ524315 FCF524315 FMB524315 FVX524315 GFT524315 GPP524315 GZL524315 HJH524315 HTD524315 ICZ524315 IMV524315 IWR524315 JGN524315 JQJ524315 KAF524315 KKB524315 KTX524315 LDT524315 LNP524315 LXL524315 MHH524315 MRD524315 NAZ524315 NKV524315 NUR524315 OEN524315 OOJ524315 OYF524315 PIB524315 PRX524315 QBT524315 QLP524315 QVL524315 RFH524315 RPD524315 RYZ524315 SIV524315 SSR524315 TCN524315 TMJ524315 TWF524315 UGB524315 UPX524315 UZT524315 VJP524315 VTL524315 WDH524315 WND524315 H589851 AR589851 KN589851 UJ589851 AEF589851 AOB589851 AXX589851 BHT589851 BRP589851 CBL589851 CLH589851 CVD589851 DEZ589851 DOV589851 DYR589851 EIN589851 ESJ589851 FCF589851 FMB589851 FVX589851 GFT589851 GPP589851 GZL589851 HJH589851 HTD589851 ICZ589851 IMV589851 IWR589851 JGN589851 JQJ589851 KAF589851 KKB589851 KTX589851 LDT589851 LNP589851 LXL589851 MHH589851 MRD589851 NAZ589851 NKV589851 NUR589851 OEN589851 OOJ589851 OYF589851 PIB589851 PRX589851 QBT589851 QLP589851 QVL589851 RFH589851 RPD589851 RYZ589851 SIV589851 SSR589851 TCN589851 TMJ589851 TWF589851 UGB589851 UPX589851 UZT589851 VJP589851 VTL589851 WDH589851 WND589851 H655387 AR655387 KN655387 UJ655387 AEF655387 AOB655387 AXX655387 BHT655387 BRP655387 CBL655387 CLH655387 CVD655387 DEZ655387 DOV655387 DYR655387 EIN655387 ESJ655387 FCF655387 FMB655387 FVX655387 GFT655387 GPP655387 GZL655387 HJH655387 HTD655387 ICZ655387 IMV655387 IWR655387 JGN655387 JQJ655387 KAF655387 KKB655387 KTX655387 LDT655387 LNP655387 LXL655387 MHH655387 MRD655387 NAZ655387 NKV655387 NUR655387 OEN655387 OOJ655387 OYF655387 PIB655387 PRX655387 QBT655387 QLP655387 QVL655387 RFH655387 RPD655387 RYZ655387 SIV655387 SSR655387 TCN655387 TMJ655387 TWF655387 UGB655387 UPX655387 UZT655387 VJP655387 VTL655387 WDH655387 WND655387 H720923 AR720923 KN720923 UJ720923 AEF720923 AOB720923 AXX720923 BHT720923 BRP720923 CBL720923 CLH720923 CVD720923 DEZ720923 DOV720923 DYR720923 EIN720923 ESJ720923 FCF720923 FMB720923 FVX720923 GFT720923 GPP720923 GZL720923 HJH720923 HTD720923 ICZ720923 IMV720923 IWR720923 JGN720923 JQJ720923 KAF720923 KKB720923 KTX720923 LDT720923 LNP720923 LXL720923 MHH720923 MRD720923 NAZ720923 NKV720923 NUR720923 OEN720923 OOJ720923 OYF720923 PIB720923 PRX720923 QBT720923 QLP720923 QVL720923 RFH720923 RPD720923 RYZ720923 SIV720923 SSR720923 TCN720923 TMJ720923 TWF720923 UGB720923 UPX720923 UZT720923 VJP720923 VTL720923 WDH720923 WND720923 H786459 AR786459 KN786459 UJ786459 AEF786459 AOB786459 AXX786459 BHT786459 BRP786459 CBL786459 CLH786459 CVD786459 DEZ786459 DOV786459 DYR786459 EIN786459 ESJ786459 FCF786459 FMB786459 FVX786459 GFT786459 GPP786459 GZL786459 HJH786459 HTD786459 ICZ786459 IMV786459 IWR786459 JGN786459 JQJ786459 KAF786459 KKB786459 KTX786459 LDT786459 LNP786459 LXL786459 MHH786459 MRD786459 NAZ786459 NKV786459 NUR786459 OEN786459 OOJ786459 OYF786459 PIB786459 PRX786459 QBT786459 QLP786459 QVL786459 RFH786459 RPD786459 RYZ786459 SIV786459 SSR786459 TCN786459 TMJ786459 TWF786459 UGB786459 UPX786459 UZT786459 VJP786459 VTL786459 WDH786459 WND786459 H851995 AR851995 KN851995 UJ851995 AEF851995 AOB851995 AXX851995 BHT851995 BRP851995 CBL851995 CLH851995 CVD851995 DEZ851995 DOV851995 DYR851995 EIN851995 ESJ851995 FCF851995 FMB851995 FVX851995 GFT851995 GPP851995 GZL851995 HJH851995 HTD851995 ICZ851995 IMV851995 IWR851995 JGN851995 JQJ851995 KAF851995 KKB851995 KTX851995 LDT851995 LNP851995 LXL851995 MHH851995 MRD851995 NAZ851995 NKV851995 NUR851995 OEN851995 OOJ851995 OYF851995 PIB851995 PRX851995 QBT851995 QLP851995 QVL851995 RFH851995 RPD851995 RYZ851995 SIV851995 SSR851995 TCN851995 TMJ851995 TWF851995 UGB851995 UPX851995 UZT851995 VJP851995 VTL851995 WDH851995 WND851995 H917531 AR917531 KN917531 UJ917531 AEF917531 AOB917531 AXX917531 BHT917531 BRP917531 CBL917531 CLH917531 CVD917531 DEZ917531 DOV917531 DYR917531 EIN917531 ESJ917531 FCF917531 FMB917531 FVX917531 GFT917531 GPP917531 GZL917531 HJH917531 HTD917531 ICZ917531 IMV917531 IWR917531 JGN917531 JQJ917531 KAF917531 KKB917531 KTX917531 LDT917531 LNP917531 LXL917531 MHH917531 MRD917531 NAZ917531 NKV917531 NUR917531 OEN917531 OOJ917531 OYF917531 PIB917531 PRX917531 QBT917531 QLP917531 QVL917531 RFH917531 RPD917531 RYZ917531 SIV917531 SSR917531 TCN917531 TMJ917531 TWF917531 UGB917531 UPX917531 UZT917531 VJP917531 VTL917531 WDH917531 WND917531 H983067 AR983067 KN983067 UJ983067 AEF983067 AOB983067 AXX983067 BHT983067 BRP983067 CBL983067 CLH983067 CVD983067 DEZ983067 DOV983067 DYR983067 EIN983067 ESJ983067 FCF983067 FMB983067 FVX983067 GFT983067 GPP983067 GZL983067 HJH983067 HTD983067 ICZ983067 IMV983067 IWR983067 JGN983067 JQJ983067 KAF983067 KKB983067 KTX983067 LDT983067 LNP983067 LXL983067 MHH983067 MRD983067 NAZ983067 NKV983067 NUR983067 OEN983067 OOJ983067 OYF983067 PIB983067 PRX983067 QBT983067 QLP983067 QVL983067 RFH983067 RPD983067 RYZ983067 SIV983067 SSR983067 TCN983067 TMJ983067 TWF983067 UGB983067 UPX983067 UZT983067 VJP983067 VTL983067 WDH983067 WND983067 VTL983077 AR41 KN41 UJ41 AEF41 AOB41 AXX41 BHT41 BRP41 CBL41 CLH41 CVD41 DEZ41 DOV41 DYR41 EIN41 ESJ41 FCF41 FMB41 FVX41 GFT41 GPP41 GZL41 HJH41 HTD41 ICZ41 IMV41 IWR41 JGN41 JQJ41 KAF41 KKB41 KTX41 LDT41 LNP41 LXL41 MHH41 MRD41 NAZ41 NKV41 NUR41 OEN41 OOJ41 OYF41 PIB41 PRX41 QBT41 QLP41 QVL41 RFH41 RPD41 RYZ41 SIV41 SSR41 TCN41 TMJ41 TWF41 UGB41 UPX41 UZT41 VJP41 VTL41 WDH41 WND41 H65575 AR65575 KN65575 UJ65575 AEF65575 AOB65575 AXX65575 BHT65575 BRP65575 CBL65575 CLH65575 CVD65575 DEZ65575 DOV65575 DYR65575 EIN65575 ESJ65575 FCF65575 FMB65575 FVX65575 GFT65575 GPP65575 GZL65575 HJH65575 HTD65575 ICZ65575 IMV65575 IWR65575 JGN65575 JQJ65575 KAF65575 KKB65575 KTX65575 LDT65575 LNP65575 LXL65575 MHH65575 MRD65575 NAZ65575 NKV65575 NUR65575 OEN65575 OOJ65575 OYF65575 PIB65575 PRX65575 QBT65575 QLP65575 QVL65575 RFH65575 RPD65575 RYZ65575 SIV65575 SSR65575 TCN65575 TMJ65575 TWF65575 UGB65575 UPX65575 UZT65575 VJP65575 VTL65575 WDH65575 WND65575 H131111 AR131111 KN131111 UJ131111 AEF131111 AOB131111 AXX131111 BHT131111 BRP131111 CBL131111 CLH131111 CVD131111 DEZ131111 DOV131111 DYR131111 EIN131111 ESJ131111 FCF131111 FMB131111 FVX131111 GFT131111 GPP131111 GZL131111 HJH131111 HTD131111 ICZ131111 IMV131111 IWR131111 JGN131111 JQJ131111 KAF131111 KKB131111 KTX131111 LDT131111 LNP131111 LXL131111 MHH131111 MRD131111 NAZ131111 NKV131111 NUR131111 OEN131111 OOJ131111 OYF131111 PIB131111 PRX131111 QBT131111 QLP131111 QVL131111 RFH131111 RPD131111 RYZ131111 SIV131111 SSR131111 TCN131111 TMJ131111 TWF131111 UGB131111 UPX131111 UZT131111 VJP131111 VTL131111 WDH131111 WND131111 H196647 AR196647 KN196647 UJ196647 AEF196647 AOB196647 AXX196647 BHT196647 BRP196647 CBL196647 CLH196647 CVD196647 DEZ196647 DOV196647 DYR196647 EIN196647 ESJ196647 FCF196647 FMB196647 FVX196647 GFT196647 GPP196647 GZL196647 HJH196647 HTD196647 ICZ196647 IMV196647 IWR196647 JGN196647 JQJ196647 KAF196647 KKB196647 KTX196647 LDT196647 LNP196647 LXL196647 MHH196647 MRD196647 NAZ196647 NKV196647 NUR196647 OEN196647 OOJ196647 OYF196647 PIB196647 PRX196647 QBT196647 QLP196647 QVL196647 RFH196647 RPD196647 RYZ196647 SIV196647 SSR196647 TCN196647 TMJ196647 TWF196647 UGB196647 UPX196647 UZT196647 VJP196647 VTL196647 WDH196647 WND196647 H262183 AR262183 KN262183 UJ262183 AEF262183 AOB262183 AXX262183 BHT262183 BRP262183 CBL262183 CLH262183 CVD262183 DEZ262183 DOV262183 DYR262183 EIN262183 ESJ262183 FCF262183 FMB262183 FVX262183 GFT262183 GPP262183 GZL262183 HJH262183 HTD262183 ICZ262183 IMV262183 IWR262183 JGN262183 JQJ262183 KAF262183 KKB262183 KTX262183 LDT262183 LNP262183 LXL262183 MHH262183 MRD262183 NAZ262183 NKV262183 NUR262183 OEN262183 OOJ262183 OYF262183 PIB262183 PRX262183 QBT262183 QLP262183 QVL262183 RFH262183 RPD262183 RYZ262183 SIV262183 SSR262183 TCN262183 TMJ262183 TWF262183 UGB262183 UPX262183 UZT262183 VJP262183 VTL262183 WDH262183 WND262183 H327719 AR327719 KN327719 UJ327719 AEF327719 AOB327719 AXX327719 BHT327719 BRP327719 CBL327719 CLH327719 CVD327719 DEZ327719 DOV327719 DYR327719 EIN327719 ESJ327719 FCF327719 FMB327719 FVX327719 GFT327719 GPP327719 GZL327719 HJH327719 HTD327719 ICZ327719 IMV327719 IWR327719 JGN327719 JQJ327719 KAF327719 KKB327719 KTX327719 LDT327719 LNP327719 LXL327719 MHH327719 MRD327719 NAZ327719 NKV327719 NUR327719 OEN327719 OOJ327719 OYF327719 PIB327719 PRX327719 QBT327719 QLP327719 QVL327719 RFH327719 RPD327719 RYZ327719 SIV327719 SSR327719 TCN327719 TMJ327719 TWF327719 UGB327719 UPX327719 UZT327719 VJP327719 VTL327719 WDH327719 WND327719 H393255 AR393255 KN393255 UJ393255 AEF393255 AOB393255 AXX393255 BHT393255 BRP393255 CBL393255 CLH393255 CVD393255 DEZ393255 DOV393255 DYR393255 EIN393255 ESJ393255 FCF393255 FMB393255 FVX393255 GFT393255 GPP393255 GZL393255 HJH393255 HTD393255 ICZ393255 IMV393255 IWR393255 JGN393255 JQJ393255 KAF393255 KKB393255 KTX393255 LDT393255 LNP393255 LXL393255 MHH393255 MRD393255 NAZ393255 NKV393255 NUR393255 OEN393255 OOJ393255 OYF393255 PIB393255 PRX393255 QBT393255 QLP393255 QVL393255 RFH393255 RPD393255 RYZ393255 SIV393255 SSR393255 TCN393255 TMJ393255 TWF393255 UGB393255 UPX393255 UZT393255 VJP393255 VTL393255 WDH393255 WND393255 H458791 AR458791 KN458791 UJ458791 AEF458791 AOB458791 AXX458791 BHT458791 BRP458791 CBL458791 CLH458791 CVD458791 DEZ458791 DOV458791 DYR458791 EIN458791 ESJ458791 FCF458791 FMB458791 FVX458791 GFT458791 GPP458791 GZL458791 HJH458791 HTD458791 ICZ458791 IMV458791 IWR458791 JGN458791 JQJ458791 KAF458791 KKB458791 KTX458791 LDT458791 LNP458791 LXL458791 MHH458791 MRD458791 NAZ458791 NKV458791 NUR458791 OEN458791 OOJ458791 OYF458791 PIB458791 PRX458791 QBT458791 QLP458791 QVL458791 RFH458791 RPD458791 RYZ458791 SIV458791 SSR458791 TCN458791 TMJ458791 TWF458791 UGB458791 UPX458791 UZT458791 VJP458791 VTL458791 WDH458791 WND458791 H524327 AR524327 KN524327 UJ524327 AEF524327 AOB524327 AXX524327 BHT524327 BRP524327 CBL524327 CLH524327 CVD524327 DEZ524327 DOV524327 DYR524327 EIN524327 ESJ524327 FCF524327 FMB524327 FVX524327 GFT524327 GPP524327 GZL524327 HJH524327 HTD524327 ICZ524327 IMV524327 IWR524327 JGN524327 JQJ524327 KAF524327 KKB524327 KTX524327 LDT524327 LNP524327 LXL524327 MHH524327 MRD524327 NAZ524327 NKV524327 NUR524327 OEN524327 OOJ524327 OYF524327 PIB524327 PRX524327 QBT524327 QLP524327 QVL524327 RFH524327 RPD524327 RYZ524327 SIV524327 SSR524327 TCN524327 TMJ524327 TWF524327 UGB524327 UPX524327 UZT524327 VJP524327 VTL524327 WDH524327 WND524327 H589863 AR589863 KN589863 UJ589863 AEF589863 AOB589863 AXX589863 BHT589863 BRP589863 CBL589863 CLH589863 CVD589863 DEZ589863 DOV589863 DYR589863 EIN589863 ESJ589863 FCF589863 FMB589863 FVX589863 GFT589863 GPP589863 GZL589863 HJH589863 HTD589863 ICZ589863 IMV589863 IWR589863 JGN589863 JQJ589863 KAF589863 KKB589863 KTX589863 LDT589863 LNP589863 LXL589863 MHH589863 MRD589863 NAZ589863 NKV589863 NUR589863 OEN589863 OOJ589863 OYF589863 PIB589863 PRX589863 QBT589863 QLP589863 QVL589863 RFH589863 RPD589863 RYZ589863 SIV589863 SSR589863 TCN589863 TMJ589863 TWF589863 UGB589863 UPX589863 UZT589863 VJP589863 VTL589863 WDH589863 WND589863 H655399 AR655399 KN655399 UJ655399 AEF655399 AOB655399 AXX655399 BHT655399 BRP655399 CBL655399 CLH655399 CVD655399 DEZ655399 DOV655399 DYR655399 EIN655399 ESJ655399 FCF655399 FMB655399 FVX655399 GFT655399 GPP655399 GZL655399 HJH655399 HTD655399 ICZ655399 IMV655399 IWR655399 JGN655399 JQJ655399 KAF655399 KKB655399 KTX655399 LDT655399 LNP655399 LXL655399 MHH655399 MRD655399 NAZ655399 NKV655399 NUR655399 OEN655399 OOJ655399 OYF655399 PIB655399 PRX655399 QBT655399 QLP655399 QVL655399 RFH655399 RPD655399 RYZ655399 SIV655399 SSR655399 TCN655399 TMJ655399 TWF655399 UGB655399 UPX655399 UZT655399 VJP655399 VTL655399 WDH655399 WND655399 H720935 AR720935 KN720935 UJ720935 AEF720935 AOB720935 AXX720935 BHT720935 BRP720935 CBL720935 CLH720935 CVD720935 DEZ720935 DOV720935 DYR720935 EIN720935 ESJ720935 FCF720935 FMB720935 FVX720935 GFT720935 GPP720935 GZL720935 HJH720935 HTD720935 ICZ720935 IMV720935 IWR720935 JGN720935 JQJ720935 KAF720935 KKB720935 KTX720935 LDT720935 LNP720935 LXL720935 MHH720935 MRD720935 NAZ720935 NKV720935 NUR720935 OEN720935 OOJ720935 OYF720935 PIB720935 PRX720935 QBT720935 QLP720935 QVL720935 RFH720935 RPD720935 RYZ720935 SIV720935 SSR720935 TCN720935 TMJ720935 TWF720935 UGB720935 UPX720935 UZT720935 VJP720935 VTL720935 WDH720935 WND720935 H786471 AR786471 KN786471 UJ786471 AEF786471 AOB786471 AXX786471 BHT786471 BRP786471 CBL786471 CLH786471 CVD786471 DEZ786471 DOV786471 DYR786471 EIN786471 ESJ786471 FCF786471 FMB786471 FVX786471 GFT786471 GPP786471 GZL786471 HJH786471 HTD786471 ICZ786471 IMV786471 IWR786471 JGN786471 JQJ786471 KAF786471 KKB786471 KTX786471 LDT786471 LNP786471 LXL786471 MHH786471 MRD786471 NAZ786471 NKV786471 NUR786471 OEN786471 OOJ786471 OYF786471 PIB786471 PRX786471 QBT786471 QLP786471 QVL786471 RFH786471 RPD786471 RYZ786471 SIV786471 SSR786471 TCN786471 TMJ786471 TWF786471 UGB786471 UPX786471 UZT786471 VJP786471 VTL786471 WDH786471 WND786471 H852007 AR852007 KN852007 UJ852007 AEF852007 AOB852007 AXX852007 BHT852007 BRP852007 CBL852007 CLH852007 CVD852007 DEZ852007 DOV852007 DYR852007 EIN852007 ESJ852007 FCF852007 FMB852007 FVX852007 GFT852007 GPP852007 GZL852007 HJH852007 HTD852007 ICZ852007 IMV852007 IWR852007 JGN852007 JQJ852007 KAF852007 KKB852007 KTX852007 LDT852007 LNP852007 LXL852007 MHH852007 MRD852007 NAZ852007 NKV852007 NUR852007 OEN852007 OOJ852007 OYF852007 PIB852007 PRX852007 QBT852007 QLP852007 QVL852007 RFH852007 RPD852007 RYZ852007 SIV852007 SSR852007 TCN852007 TMJ852007 TWF852007 UGB852007 UPX852007 UZT852007 VJP852007 VTL852007 WDH852007 WND852007 H917543 AR917543 KN917543 UJ917543 AEF917543 AOB917543 AXX917543 BHT917543 BRP917543 CBL917543 CLH917543 CVD917543 DEZ917543 DOV917543 DYR917543 EIN917543 ESJ917543 FCF917543 FMB917543 FVX917543 GFT917543 GPP917543 GZL917543 HJH917543 HTD917543 ICZ917543 IMV917543 IWR917543 JGN917543 JQJ917543 KAF917543 KKB917543 KTX917543 LDT917543 LNP917543 LXL917543 MHH917543 MRD917543 NAZ917543 NKV917543 NUR917543 OEN917543 OOJ917543 OYF917543 PIB917543 PRX917543 QBT917543 QLP917543 QVL917543 RFH917543 RPD917543 RYZ917543 SIV917543 SSR917543 TCN917543 TMJ917543 TWF917543 UGB917543 UPX917543 UZT917543 VJP917543 VTL917543 WDH917543 WND917543 H983079 AR983079 KN983079 UJ983079 AEF983079 AOB983079 AXX983079 BHT983079 BRP983079 CBL983079 CLH983079 CVD983079 DEZ983079 DOV983079 DYR983079 EIN983079 ESJ983079 FCF983079 FMB983079 FVX983079 GFT983079 GPP983079 GZL983079 HJH983079 HTD983079 ICZ983079 IMV983079 IWR983079 JGN983079 JQJ983079 KAF983079 KKB983079 KTX983079 LDT983079 LNP983079 LXL983079 MHH983079 MRD983079 NAZ983079 NKV983079 NUR983079 OEN983079 OOJ983079 OYF983079 PIB983079 PRX983079 QBT983079 QLP983079 QVL983079 RFH983079 RPD983079 RYZ983079 SIV983079 SSR983079 TCN983079 TMJ983079 TWF983079 UGB983079 UPX983079 UZT983079 VJP983079 VTL983079 WDH983079 WND983079 WDH983077 AR39 KN39 UJ39 AEF39 AOB39 AXX39 BHT39 BRP39 CBL39 CLH39 CVD39 DEZ39 DOV39 DYR39 EIN39 ESJ39 FCF39 FMB39 FVX39 GFT39 GPP39 GZL39 HJH39 HTD39 ICZ39 IMV39 IWR39 JGN39 JQJ39 KAF39 KKB39 KTX39 LDT39 LNP39 LXL39 MHH39 MRD39 NAZ39 NKV39 NUR39 OEN39 OOJ39 OYF39 PIB39 PRX39 QBT39 QLP39 QVL39 RFH39 RPD39 RYZ39 SIV39 SSR39 TCN39 TMJ39 TWF39 UGB39 UPX39 UZT39 VJP39 VTL39 WDH39 WND39 H65573 AR65573 KN65573 UJ65573 AEF65573 AOB65573 AXX65573 BHT65573 BRP65573 CBL65573 CLH65573 CVD65573 DEZ65573 DOV65573 DYR65573 EIN65573 ESJ65573 FCF65573 FMB65573 FVX65573 GFT65573 GPP65573 GZL65573 HJH65573 HTD65573 ICZ65573 IMV65573 IWR65573 JGN65573 JQJ65573 KAF65573 KKB65573 KTX65573 LDT65573 LNP65573 LXL65573 MHH65573 MRD65573 NAZ65573 NKV65573 NUR65573 OEN65573 OOJ65573 OYF65573 PIB65573 PRX65573 QBT65573 QLP65573 QVL65573 RFH65573 RPD65573 RYZ65573 SIV65573 SSR65573 TCN65573 TMJ65573 TWF65573 UGB65573 UPX65573 UZT65573 VJP65573 VTL65573 WDH65573 WND65573 H131109 AR131109 KN131109 UJ131109 AEF131109 AOB131109 AXX131109 BHT131109 BRP131109 CBL131109 CLH131109 CVD131109 DEZ131109 DOV131109 DYR131109 EIN131109 ESJ131109 FCF131109 FMB131109 FVX131109 GFT131109 GPP131109 GZL131109 HJH131109 HTD131109 ICZ131109 IMV131109 IWR131109 JGN131109 JQJ131109 KAF131109 KKB131109 KTX131109 LDT131109 LNP131109 LXL131109 MHH131109 MRD131109 NAZ131109 NKV131109 NUR131109 OEN131109 OOJ131109 OYF131109 PIB131109 PRX131109 QBT131109 QLP131109 QVL131109 RFH131109 RPD131109 RYZ131109 SIV131109 SSR131109 TCN131109 TMJ131109 TWF131109 UGB131109 UPX131109 UZT131109 VJP131109 VTL131109 WDH131109 WND131109 H196645 AR196645 KN196645 UJ196645 AEF196645 AOB196645 AXX196645 BHT196645 BRP196645 CBL196645 CLH196645 CVD196645 DEZ196645 DOV196645 DYR196645 EIN196645 ESJ196645 FCF196645 FMB196645 FVX196645 GFT196645 GPP196645 GZL196645 HJH196645 HTD196645 ICZ196645 IMV196645 IWR196645 JGN196645 JQJ196645 KAF196645 KKB196645 KTX196645 LDT196645 LNP196645 LXL196645 MHH196645 MRD196645 NAZ196645 NKV196645 NUR196645 OEN196645 OOJ196645 OYF196645 PIB196645 PRX196645 QBT196645 QLP196645 QVL196645 RFH196645 RPD196645 RYZ196645 SIV196645 SSR196645 TCN196645 TMJ196645 TWF196645 UGB196645 UPX196645 UZT196645 VJP196645 VTL196645 WDH196645 WND196645 H262181 AR262181 KN262181 UJ262181 AEF262181 AOB262181 AXX262181 BHT262181 BRP262181 CBL262181 CLH262181 CVD262181 DEZ262181 DOV262181 DYR262181 EIN262181 ESJ262181 FCF262181 FMB262181 FVX262181 GFT262181 GPP262181 GZL262181 HJH262181 HTD262181 ICZ262181 IMV262181 IWR262181 JGN262181 JQJ262181 KAF262181 KKB262181 KTX262181 LDT262181 LNP262181 LXL262181 MHH262181 MRD262181 NAZ262181 NKV262181 NUR262181 OEN262181 OOJ262181 OYF262181 PIB262181 PRX262181 QBT262181 QLP262181 QVL262181 RFH262181 RPD262181 RYZ262181 SIV262181 SSR262181 TCN262181 TMJ262181 TWF262181 UGB262181 UPX262181 UZT262181 VJP262181 VTL262181 WDH262181 WND262181 H327717 AR327717 KN327717 UJ327717 AEF327717 AOB327717 AXX327717 BHT327717 BRP327717 CBL327717 CLH327717 CVD327717 DEZ327717 DOV327717 DYR327717 EIN327717 ESJ327717 FCF327717 FMB327717 FVX327717 GFT327717 GPP327717 GZL327717 HJH327717 HTD327717 ICZ327717 IMV327717 IWR327717 JGN327717 JQJ327717 KAF327717 KKB327717 KTX327717 LDT327717 LNP327717 LXL327717 MHH327717 MRD327717 NAZ327717 NKV327717 NUR327717 OEN327717 OOJ327717 OYF327717 PIB327717 PRX327717 QBT327717 QLP327717 QVL327717 RFH327717 RPD327717 RYZ327717 SIV327717 SSR327717 TCN327717 TMJ327717 TWF327717 UGB327717 UPX327717 UZT327717 VJP327717 VTL327717 WDH327717 WND327717 H393253 AR393253 KN393253 UJ393253 AEF393253 AOB393253 AXX393253 BHT393253 BRP393253 CBL393253 CLH393253 CVD393253 DEZ393253 DOV393253 DYR393253 EIN393253 ESJ393253 FCF393253 FMB393253 FVX393253 GFT393253 GPP393253 GZL393253 HJH393253 HTD393253 ICZ393253 IMV393253 IWR393253 JGN393253 JQJ393253 KAF393253 KKB393253 KTX393253 LDT393253 LNP393253 LXL393253 MHH393253 MRD393253 NAZ393253 NKV393253 NUR393253 OEN393253 OOJ393253 OYF393253 PIB393253 PRX393253 QBT393253 QLP393253 QVL393253 RFH393253 RPD393253 RYZ393253 SIV393253 SSR393253 TCN393253 TMJ393253 TWF393253 UGB393253 UPX393253 UZT393253 VJP393253 VTL393253 WDH393253 WND393253 H458789 AR458789 KN458789 UJ458789 AEF458789 AOB458789 AXX458789 BHT458789 BRP458789 CBL458789 CLH458789 CVD458789 DEZ458789 DOV458789 DYR458789 EIN458789 ESJ458789 FCF458789 FMB458789 FVX458789 GFT458789 GPP458789 GZL458789 HJH458789 HTD458789 ICZ458789 IMV458789 IWR458789 JGN458789 JQJ458789 KAF458789 KKB458789 KTX458789 LDT458789 LNP458789 LXL458789 MHH458789 MRD458789 NAZ458789 NKV458789 NUR458789 OEN458789 OOJ458789 OYF458789 PIB458789 PRX458789 QBT458789 QLP458789 QVL458789 RFH458789 RPD458789 RYZ458789 SIV458789 SSR458789 TCN458789 TMJ458789 TWF458789 UGB458789 UPX458789 UZT458789 VJP458789 VTL458789 WDH458789 WND458789 H524325 AR524325 KN524325 UJ524325 AEF524325 AOB524325 AXX524325 BHT524325 BRP524325 CBL524325 CLH524325 CVD524325 DEZ524325 DOV524325 DYR524325 EIN524325 ESJ524325 FCF524325 FMB524325 FVX524325 GFT524325 GPP524325 GZL524325 HJH524325 HTD524325 ICZ524325 IMV524325 IWR524325 JGN524325 JQJ524325 KAF524325 KKB524325 KTX524325 LDT524325 LNP524325 LXL524325 MHH524325 MRD524325 NAZ524325 NKV524325 NUR524325 OEN524325 OOJ524325 OYF524325 PIB524325 PRX524325 QBT524325 QLP524325 QVL524325 RFH524325 RPD524325 RYZ524325 SIV524325 SSR524325 TCN524325 TMJ524325 TWF524325 UGB524325 UPX524325 UZT524325 VJP524325 VTL524325 WDH524325 WND524325 H589861 AR589861 KN589861 UJ589861 AEF589861 AOB589861 AXX589861 BHT589861 BRP589861 CBL589861 CLH589861 CVD589861 DEZ589861 DOV589861 DYR589861 EIN589861 ESJ589861 FCF589861 FMB589861 FVX589861 GFT589861 GPP589861 GZL589861 HJH589861 HTD589861 ICZ589861 IMV589861 IWR589861 JGN589861 JQJ589861 KAF589861 KKB589861 KTX589861 LDT589861 LNP589861 LXL589861 MHH589861 MRD589861 NAZ589861 NKV589861 NUR589861 OEN589861 OOJ589861 OYF589861 PIB589861 PRX589861 QBT589861 QLP589861 QVL589861 RFH589861 RPD589861 RYZ589861 SIV589861 SSR589861 TCN589861 TMJ589861 TWF589861 UGB589861 UPX589861 UZT589861 VJP589861 VTL589861 WDH589861 WND589861 H655397 AR655397 KN655397 UJ655397 AEF655397 AOB655397 AXX655397 BHT655397 BRP655397 CBL655397 CLH655397 CVD655397 DEZ655397 DOV655397 DYR655397 EIN655397 ESJ655397 FCF655397 FMB655397 FVX655397 GFT655397 GPP655397 GZL655397 HJH655397 HTD655397 ICZ655397 IMV655397 IWR655397 JGN655397 JQJ655397 KAF655397 KKB655397 KTX655397 LDT655397 LNP655397 LXL655397 MHH655397 MRD655397 NAZ655397 NKV655397 NUR655397 OEN655397 OOJ655397 OYF655397 PIB655397 PRX655397 QBT655397 QLP655397 QVL655397 RFH655397 RPD655397 RYZ655397 SIV655397 SSR655397 TCN655397 TMJ655397 TWF655397 UGB655397 UPX655397 UZT655397 VJP655397 VTL655397 WDH655397 WND655397 H720933 AR720933 KN720933 UJ720933 AEF720933 AOB720933 AXX720933 BHT720933 BRP720933 CBL720933 CLH720933 CVD720933 DEZ720933 DOV720933 DYR720933 EIN720933 ESJ720933 FCF720933 FMB720933 FVX720933 GFT720933 GPP720933 GZL720933 HJH720933 HTD720933 ICZ720933 IMV720933 IWR720933 JGN720933 JQJ720933 KAF720933 KKB720933 KTX720933 LDT720933 LNP720933 LXL720933 MHH720933 MRD720933 NAZ720933 NKV720933 NUR720933 OEN720933 OOJ720933 OYF720933 PIB720933 PRX720933 QBT720933 QLP720933 QVL720933 RFH720933 RPD720933 RYZ720933 SIV720933 SSR720933 TCN720933 TMJ720933 TWF720933 UGB720933 UPX720933 UZT720933 VJP720933 VTL720933 WDH720933 WND720933 H786469 AR786469 KN786469 UJ786469 AEF786469 AOB786469 AXX786469 BHT786469 BRP786469 CBL786469 CLH786469 CVD786469 DEZ786469 DOV786469 DYR786469 EIN786469 ESJ786469 FCF786469 FMB786469 FVX786469 GFT786469 GPP786469 GZL786469 HJH786469 HTD786469 ICZ786469 IMV786469 IWR786469 JGN786469 JQJ786469 KAF786469 KKB786469 KTX786469 LDT786469 LNP786469 LXL786469 MHH786469 MRD786469 NAZ786469 NKV786469 NUR786469 OEN786469 OOJ786469 OYF786469 PIB786469 PRX786469 QBT786469 QLP786469 QVL786469 RFH786469 RPD786469 RYZ786469 SIV786469 SSR786469 TCN786469 TMJ786469 TWF786469 UGB786469 UPX786469 UZT786469 VJP786469 VTL786469 WDH786469 WND786469 H852005 AR852005 KN852005 UJ852005 AEF852005 AOB852005 AXX852005 BHT852005 BRP852005 CBL852005 CLH852005 CVD852005 DEZ852005 DOV852005 DYR852005 EIN852005 ESJ852005 FCF852005 FMB852005 FVX852005 GFT852005 GPP852005 GZL852005 HJH852005 HTD852005 ICZ852005 IMV852005 IWR852005 JGN852005 JQJ852005 KAF852005 KKB852005 KTX852005 LDT852005 LNP852005 LXL852005 MHH852005 MRD852005 NAZ852005 NKV852005 NUR852005 OEN852005 OOJ852005 OYF852005 PIB852005 PRX852005 QBT852005 QLP852005 QVL852005 RFH852005 RPD852005 RYZ852005 SIV852005 SSR852005 TCN852005 TMJ852005 TWF852005 UGB852005 UPX852005 UZT852005 VJP852005 VTL852005 WDH852005 WND852005 H917541 AR917541 KN917541 UJ917541 AEF917541 AOB917541 AXX917541 BHT917541 BRP917541 CBL917541 CLH917541 CVD917541 DEZ917541 DOV917541 DYR917541 EIN917541 ESJ917541 FCF917541 FMB917541 FVX917541 GFT917541 GPP917541 GZL917541 HJH917541 HTD917541 ICZ917541 IMV917541 IWR917541 JGN917541 JQJ917541 KAF917541 KKB917541 KTX917541 LDT917541 LNP917541 LXL917541 MHH917541 MRD917541 NAZ917541 NKV917541 NUR917541 OEN917541 OOJ917541 OYF917541 PIB917541 PRX917541 QBT917541 QLP917541 QVL917541 RFH917541 RPD917541 RYZ917541 SIV917541 SSR917541 TCN917541 TMJ917541 TWF917541 UGB917541 UPX917541 UZT917541 VJP917541 VTL917541 WDH917541 WND917541 H983077 AR983077 KN983077 UJ983077 AEF983077 AOB983077 AXX983077 BHT983077 BRP983077 CBL983077 CLH983077 CVD983077 DEZ983077 DOV983077 DYR983077 EIN983077 ESJ983077 FCF983077 FMB983077 FVX983077 GFT983077 GPP983077 GZL983077 HJH983077 HTD983077 ICZ983077 IMV983077 IWR983077 JGN983077 JQJ983077 KAF983077 KKB983077 KTX983077 LDT983077 LNP983077 LXL983077 MHH983077 MRD983077 NAZ983077 NKV983077 NUR983077 OEN983077 OOJ983077 OYF983077 PIB983077 PRX983077 QBT983077 QLP983077 QVL983077 RFH983077 RPD983077 RYZ983077 SIV983077 SSR983077 TCN983077 TMJ983077 TWF983077 UGB983077 UPX983077 UZT983077 VJP983077">
      <formula1>0</formula1>
      <formula2>$G$23+$G$26</formula2>
    </dataValidation>
    <dataValidation type="decimal" allowBlank="1" showInputMessage="1" showErrorMessage="1" errorTitle="Error" error="The percentage of eligible secondary pupils for this factor cannot be negative or higher than 100%. Please insert the correct figure or leave the cell blank to use an LA average." sqref="WDH983083 AR68:AR70 KN68:KN70 UJ68:UJ70 AEF68:AEF70 AOB68:AOB70 AXX68:AXX70 BHT68:BHT70 BRP68:BRP70 CBL68:CBL70 CLH68:CLH70 CVD68:CVD70 DEZ68:DEZ70 DOV68:DOV70 DYR68:DYR70 EIN68:EIN70 ESJ68:ESJ70 FCF68:FCF70 FMB68:FMB70 FVX68:FVX70 GFT68:GFT70 GPP68:GPP70 GZL68:GZL70 HJH68:HJH70 HTD68:HTD70 ICZ68:ICZ70 IMV68:IMV70 IWR68:IWR70 JGN68:JGN70 JQJ68:JQJ70 KAF68:KAF70 KKB68:KKB70 KTX68:KTX70 LDT68:LDT70 LNP68:LNP70 LXL68:LXL70 MHH68:MHH70 MRD68:MRD70 NAZ68:NAZ70 NKV68:NKV70 NUR68:NUR70 OEN68:OEN70 OOJ68:OOJ70 OYF68:OYF70 PIB68:PIB70 PRX68:PRX70 QBT68:QBT70 QLP68:QLP70 QVL68:QVL70 RFH68:RFH70 RPD68:RPD70 RYZ68:RYZ70 SIV68:SIV70 SSR68:SSR70 TCN68:TCN70 TMJ68:TMJ70 TWF68:TWF70 UGB68:UGB70 UPX68:UPX70 UZT68:UZT70 VJP68:VJP70 VTL68:VTL70 WDH68:WDH70 WND68:WND70 H65604:H65606 AR65604:AR65606 KN65604:KN65606 UJ65604:UJ65606 AEF65604:AEF65606 AOB65604:AOB65606 AXX65604:AXX65606 BHT65604:BHT65606 BRP65604:BRP65606 CBL65604:CBL65606 CLH65604:CLH65606 CVD65604:CVD65606 DEZ65604:DEZ65606 DOV65604:DOV65606 DYR65604:DYR65606 EIN65604:EIN65606 ESJ65604:ESJ65606 FCF65604:FCF65606 FMB65604:FMB65606 FVX65604:FVX65606 GFT65604:GFT65606 GPP65604:GPP65606 GZL65604:GZL65606 HJH65604:HJH65606 HTD65604:HTD65606 ICZ65604:ICZ65606 IMV65604:IMV65606 IWR65604:IWR65606 JGN65604:JGN65606 JQJ65604:JQJ65606 KAF65604:KAF65606 KKB65604:KKB65606 KTX65604:KTX65606 LDT65604:LDT65606 LNP65604:LNP65606 LXL65604:LXL65606 MHH65604:MHH65606 MRD65604:MRD65606 NAZ65604:NAZ65606 NKV65604:NKV65606 NUR65604:NUR65606 OEN65604:OEN65606 OOJ65604:OOJ65606 OYF65604:OYF65606 PIB65604:PIB65606 PRX65604:PRX65606 QBT65604:QBT65606 QLP65604:QLP65606 QVL65604:QVL65606 RFH65604:RFH65606 RPD65604:RPD65606 RYZ65604:RYZ65606 SIV65604:SIV65606 SSR65604:SSR65606 TCN65604:TCN65606 TMJ65604:TMJ65606 TWF65604:TWF65606 UGB65604:UGB65606 UPX65604:UPX65606 UZT65604:UZT65606 VJP65604:VJP65606 VTL65604:VTL65606 WDH65604:WDH65606 WND65604:WND65606 H131140:H131142 AR131140:AR131142 KN131140:KN131142 UJ131140:UJ131142 AEF131140:AEF131142 AOB131140:AOB131142 AXX131140:AXX131142 BHT131140:BHT131142 BRP131140:BRP131142 CBL131140:CBL131142 CLH131140:CLH131142 CVD131140:CVD131142 DEZ131140:DEZ131142 DOV131140:DOV131142 DYR131140:DYR131142 EIN131140:EIN131142 ESJ131140:ESJ131142 FCF131140:FCF131142 FMB131140:FMB131142 FVX131140:FVX131142 GFT131140:GFT131142 GPP131140:GPP131142 GZL131140:GZL131142 HJH131140:HJH131142 HTD131140:HTD131142 ICZ131140:ICZ131142 IMV131140:IMV131142 IWR131140:IWR131142 JGN131140:JGN131142 JQJ131140:JQJ131142 KAF131140:KAF131142 KKB131140:KKB131142 KTX131140:KTX131142 LDT131140:LDT131142 LNP131140:LNP131142 LXL131140:LXL131142 MHH131140:MHH131142 MRD131140:MRD131142 NAZ131140:NAZ131142 NKV131140:NKV131142 NUR131140:NUR131142 OEN131140:OEN131142 OOJ131140:OOJ131142 OYF131140:OYF131142 PIB131140:PIB131142 PRX131140:PRX131142 QBT131140:QBT131142 QLP131140:QLP131142 QVL131140:QVL131142 RFH131140:RFH131142 RPD131140:RPD131142 RYZ131140:RYZ131142 SIV131140:SIV131142 SSR131140:SSR131142 TCN131140:TCN131142 TMJ131140:TMJ131142 TWF131140:TWF131142 UGB131140:UGB131142 UPX131140:UPX131142 UZT131140:UZT131142 VJP131140:VJP131142 VTL131140:VTL131142 WDH131140:WDH131142 WND131140:WND131142 H196676:H196678 AR196676:AR196678 KN196676:KN196678 UJ196676:UJ196678 AEF196676:AEF196678 AOB196676:AOB196678 AXX196676:AXX196678 BHT196676:BHT196678 BRP196676:BRP196678 CBL196676:CBL196678 CLH196676:CLH196678 CVD196676:CVD196678 DEZ196676:DEZ196678 DOV196676:DOV196678 DYR196676:DYR196678 EIN196676:EIN196678 ESJ196676:ESJ196678 FCF196676:FCF196678 FMB196676:FMB196678 FVX196676:FVX196678 GFT196676:GFT196678 GPP196676:GPP196678 GZL196676:GZL196678 HJH196676:HJH196678 HTD196676:HTD196678 ICZ196676:ICZ196678 IMV196676:IMV196678 IWR196676:IWR196678 JGN196676:JGN196678 JQJ196676:JQJ196678 KAF196676:KAF196678 KKB196676:KKB196678 KTX196676:KTX196678 LDT196676:LDT196678 LNP196676:LNP196678 LXL196676:LXL196678 MHH196676:MHH196678 MRD196676:MRD196678 NAZ196676:NAZ196678 NKV196676:NKV196678 NUR196676:NUR196678 OEN196676:OEN196678 OOJ196676:OOJ196678 OYF196676:OYF196678 PIB196676:PIB196678 PRX196676:PRX196678 QBT196676:QBT196678 QLP196676:QLP196678 QVL196676:QVL196678 RFH196676:RFH196678 RPD196676:RPD196678 RYZ196676:RYZ196678 SIV196676:SIV196678 SSR196676:SSR196678 TCN196676:TCN196678 TMJ196676:TMJ196678 TWF196676:TWF196678 UGB196676:UGB196678 UPX196676:UPX196678 UZT196676:UZT196678 VJP196676:VJP196678 VTL196676:VTL196678 WDH196676:WDH196678 WND196676:WND196678 H262212:H262214 AR262212:AR262214 KN262212:KN262214 UJ262212:UJ262214 AEF262212:AEF262214 AOB262212:AOB262214 AXX262212:AXX262214 BHT262212:BHT262214 BRP262212:BRP262214 CBL262212:CBL262214 CLH262212:CLH262214 CVD262212:CVD262214 DEZ262212:DEZ262214 DOV262212:DOV262214 DYR262212:DYR262214 EIN262212:EIN262214 ESJ262212:ESJ262214 FCF262212:FCF262214 FMB262212:FMB262214 FVX262212:FVX262214 GFT262212:GFT262214 GPP262212:GPP262214 GZL262212:GZL262214 HJH262212:HJH262214 HTD262212:HTD262214 ICZ262212:ICZ262214 IMV262212:IMV262214 IWR262212:IWR262214 JGN262212:JGN262214 JQJ262212:JQJ262214 KAF262212:KAF262214 KKB262212:KKB262214 KTX262212:KTX262214 LDT262212:LDT262214 LNP262212:LNP262214 LXL262212:LXL262214 MHH262212:MHH262214 MRD262212:MRD262214 NAZ262212:NAZ262214 NKV262212:NKV262214 NUR262212:NUR262214 OEN262212:OEN262214 OOJ262212:OOJ262214 OYF262212:OYF262214 PIB262212:PIB262214 PRX262212:PRX262214 QBT262212:QBT262214 QLP262212:QLP262214 QVL262212:QVL262214 RFH262212:RFH262214 RPD262212:RPD262214 RYZ262212:RYZ262214 SIV262212:SIV262214 SSR262212:SSR262214 TCN262212:TCN262214 TMJ262212:TMJ262214 TWF262212:TWF262214 UGB262212:UGB262214 UPX262212:UPX262214 UZT262212:UZT262214 VJP262212:VJP262214 VTL262212:VTL262214 WDH262212:WDH262214 WND262212:WND262214 H327748:H327750 AR327748:AR327750 KN327748:KN327750 UJ327748:UJ327750 AEF327748:AEF327750 AOB327748:AOB327750 AXX327748:AXX327750 BHT327748:BHT327750 BRP327748:BRP327750 CBL327748:CBL327750 CLH327748:CLH327750 CVD327748:CVD327750 DEZ327748:DEZ327750 DOV327748:DOV327750 DYR327748:DYR327750 EIN327748:EIN327750 ESJ327748:ESJ327750 FCF327748:FCF327750 FMB327748:FMB327750 FVX327748:FVX327750 GFT327748:GFT327750 GPP327748:GPP327750 GZL327748:GZL327750 HJH327748:HJH327750 HTD327748:HTD327750 ICZ327748:ICZ327750 IMV327748:IMV327750 IWR327748:IWR327750 JGN327748:JGN327750 JQJ327748:JQJ327750 KAF327748:KAF327750 KKB327748:KKB327750 KTX327748:KTX327750 LDT327748:LDT327750 LNP327748:LNP327750 LXL327748:LXL327750 MHH327748:MHH327750 MRD327748:MRD327750 NAZ327748:NAZ327750 NKV327748:NKV327750 NUR327748:NUR327750 OEN327748:OEN327750 OOJ327748:OOJ327750 OYF327748:OYF327750 PIB327748:PIB327750 PRX327748:PRX327750 QBT327748:QBT327750 QLP327748:QLP327750 QVL327748:QVL327750 RFH327748:RFH327750 RPD327748:RPD327750 RYZ327748:RYZ327750 SIV327748:SIV327750 SSR327748:SSR327750 TCN327748:TCN327750 TMJ327748:TMJ327750 TWF327748:TWF327750 UGB327748:UGB327750 UPX327748:UPX327750 UZT327748:UZT327750 VJP327748:VJP327750 VTL327748:VTL327750 WDH327748:WDH327750 WND327748:WND327750 H393284:H393286 AR393284:AR393286 KN393284:KN393286 UJ393284:UJ393286 AEF393284:AEF393286 AOB393284:AOB393286 AXX393284:AXX393286 BHT393284:BHT393286 BRP393284:BRP393286 CBL393284:CBL393286 CLH393284:CLH393286 CVD393284:CVD393286 DEZ393284:DEZ393286 DOV393284:DOV393286 DYR393284:DYR393286 EIN393284:EIN393286 ESJ393284:ESJ393286 FCF393284:FCF393286 FMB393284:FMB393286 FVX393284:FVX393286 GFT393284:GFT393286 GPP393284:GPP393286 GZL393284:GZL393286 HJH393284:HJH393286 HTD393284:HTD393286 ICZ393284:ICZ393286 IMV393284:IMV393286 IWR393284:IWR393286 JGN393284:JGN393286 JQJ393284:JQJ393286 KAF393284:KAF393286 KKB393284:KKB393286 KTX393284:KTX393286 LDT393284:LDT393286 LNP393284:LNP393286 LXL393284:LXL393286 MHH393284:MHH393286 MRD393284:MRD393286 NAZ393284:NAZ393286 NKV393284:NKV393286 NUR393284:NUR393286 OEN393284:OEN393286 OOJ393284:OOJ393286 OYF393284:OYF393286 PIB393284:PIB393286 PRX393284:PRX393286 QBT393284:QBT393286 QLP393284:QLP393286 QVL393284:QVL393286 RFH393284:RFH393286 RPD393284:RPD393286 RYZ393284:RYZ393286 SIV393284:SIV393286 SSR393284:SSR393286 TCN393284:TCN393286 TMJ393284:TMJ393286 TWF393284:TWF393286 UGB393284:UGB393286 UPX393284:UPX393286 UZT393284:UZT393286 VJP393284:VJP393286 VTL393284:VTL393286 WDH393284:WDH393286 WND393284:WND393286 H458820:H458822 AR458820:AR458822 KN458820:KN458822 UJ458820:UJ458822 AEF458820:AEF458822 AOB458820:AOB458822 AXX458820:AXX458822 BHT458820:BHT458822 BRP458820:BRP458822 CBL458820:CBL458822 CLH458820:CLH458822 CVD458820:CVD458822 DEZ458820:DEZ458822 DOV458820:DOV458822 DYR458820:DYR458822 EIN458820:EIN458822 ESJ458820:ESJ458822 FCF458820:FCF458822 FMB458820:FMB458822 FVX458820:FVX458822 GFT458820:GFT458822 GPP458820:GPP458822 GZL458820:GZL458822 HJH458820:HJH458822 HTD458820:HTD458822 ICZ458820:ICZ458822 IMV458820:IMV458822 IWR458820:IWR458822 JGN458820:JGN458822 JQJ458820:JQJ458822 KAF458820:KAF458822 KKB458820:KKB458822 KTX458820:KTX458822 LDT458820:LDT458822 LNP458820:LNP458822 LXL458820:LXL458822 MHH458820:MHH458822 MRD458820:MRD458822 NAZ458820:NAZ458822 NKV458820:NKV458822 NUR458820:NUR458822 OEN458820:OEN458822 OOJ458820:OOJ458822 OYF458820:OYF458822 PIB458820:PIB458822 PRX458820:PRX458822 QBT458820:QBT458822 QLP458820:QLP458822 QVL458820:QVL458822 RFH458820:RFH458822 RPD458820:RPD458822 RYZ458820:RYZ458822 SIV458820:SIV458822 SSR458820:SSR458822 TCN458820:TCN458822 TMJ458820:TMJ458822 TWF458820:TWF458822 UGB458820:UGB458822 UPX458820:UPX458822 UZT458820:UZT458822 VJP458820:VJP458822 VTL458820:VTL458822 WDH458820:WDH458822 WND458820:WND458822 H524356:H524358 AR524356:AR524358 KN524356:KN524358 UJ524356:UJ524358 AEF524356:AEF524358 AOB524356:AOB524358 AXX524356:AXX524358 BHT524356:BHT524358 BRP524356:BRP524358 CBL524356:CBL524358 CLH524356:CLH524358 CVD524356:CVD524358 DEZ524356:DEZ524358 DOV524356:DOV524358 DYR524356:DYR524358 EIN524356:EIN524358 ESJ524356:ESJ524358 FCF524356:FCF524358 FMB524356:FMB524358 FVX524356:FVX524358 GFT524356:GFT524358 GPP524356:GPP524358 GZL524356:GZL524358 HJH524356:HJH524358 HTD524356:HTD524358 ICZ524356:ICZ524358 IMV524356:IMV524358 IWR524356:IWR524358 JGN524356:JGN524358 JQJ524356:JQJ524358 KAF524356:KAF524358 KKB524356:KKB524358 KTX524356:KTX524358 LDT524356:LDT524358 LNP524356:LNP524358 LXL524356:LXL524358 MHH524356:MHH524358 MRD524356:MRD524358 NAZ524356:NAZ524358 NKV524356:NKV524358 NUR524356:NUR524358 OEN524356:OEN524358 OOJ524356:OOJ524358 OYF524356:OYF524358 PIB524356:PIB524358 PRX524356:PRX524358 QBT524356:QBT524358 QLP524356:QLP524358 QVL524356:QVL524358 RFH524356:RFH524358 RPD524356:RPD524358 RYZ524356:RYZ524358 SIV524356:SIV524358 SSR524356:SSR524358 TCN524356:TCN524358 TMJ524356:TMJ524358 TWF524356:TWF524358 UGB524356:UGB524358 UPX524356:UPX524358 UZT524356:UZT524358 VJP524356:VJP524358 VTL524356:VTL524358 WDH524356:WDH524358 WND524356:WND524358 H589892:H589894 AR589892:AR589894 KN589892:KN589894 UJ589892:UJ589894 AEF589892:AEF589894 AOB589892:AOB589894 AXX589892:AXX589894 BHT589892:BHT589894 BRP589892:BRP589894 CBL589892:CBL589894 CLH589892:CLH589894 CVD589892:CVD589894 DEZ589892:DEZ589894 DOV589892:DOV589894 DYR589892:DYR589894 EIN589892:EIN589894 ESJ589892:ESJ589894 FCF589892:FCF589894 FMB589892:FMB589894 FVX589892:FVX589894 GFT589892:GFT589894 GPP589892:GPP589894 GZL589892:GZL589894 HJH589892:HJH589894 HTD589892:HTD589894 ICZ589892:ICZ589894 IMV589892:IMV589894 IWR589892:IWR589894 JGN589892:JGN589894 JQJ589892:JQJ589894 KAF589892:KAF589894 KKB589892:KKB589894 KTX589892:KTX589894 LDT589892:LDT589894 LNP589892:LNP589894 LXL589892:LXL589894 MHH589892:MHH589894 MRD589892:MRD589894 NAZ589892:NAZ589894 NKV589892:NKV589894 NUR589892:NUR589894 OEN589892:OEN589894 OOJ589892:OOJ589894 OYF589892:OYF589894 PIB589892:PIB589894 PRX589892:PRX589894 QBT589892:QBT589894 QLP589892:QLP589894 QVL589892:QVL589894 RFH589892:RFH589894 RPD589892:RPD589894 RYZ589892:RYZ589894 SIV589892:SIV589894 SSR589892:SSR589894 TCN589892:TCN589894 TMJ589892:TMJ589894 TWF589892:TWF589894 UGB589892:UGB589894 UPX589892:UPX589894 UZT589892:UZT589894 VJP589892:VJP589894 VTL589892:VTL589894 WDH589892:WDH589894 WND589892:WND589894 H655428:H655430 AR655428:AR655430 KN655428:KN655430 UJ655428:UJ655430 AEF655428:AEF655430 AOB655428:AOB655430 AXX655428:AXX655430 BHT655428:BHT655430 BRP655428:BRP655430 CBL655428:CBL655430 CLH655428:CLH655430 CVD655428:CVD655430 DEZ655428:DEZ655430 DOV655428:DOV655430 DYR655428:DYR655430 EIN655428:EIN655430 ESJ655428:ESJ655430 FCF655428:FCF655430 FMB655428:FMB655430 FVX655428:FVX655430 GFT655428:GFT655430 GPP655428:GPP655430 GZL655428:GZL655430 HJH655428:HJH655430 HTD655428:HTD655430 ICZ655428:ICZ655430 IMV655428:IMV655430 IWR655428:IWR655430 JGN655428:JGN655430 JQJ655428:JQJ655430 KAF655428:KAF655430 KKB655428:KKB655430 KTX655428:KTX655430 LDT655428:LDT655430 LNP655428:LNP655430 LXL655428:LXL655430 MHH655428:MHH655430 MRD655428:MRD655430 NAZ655428:NAZ655430 NKV655428:NKV655430 NUR655428:NUR655430 OEN655428:OEN655430 OOJ655428:OOJ655430 OYF655428:OYF655430 PIB655428:PIB655430 PRX655428:PRX655430 QBT655428:QBT655430 QLP655428:QLP655430 QVL655428:QVL655430 RFH655428:RFH655430 RPD655428:RPD655430 RYZ655428:RYZ655430 SIV655428:SIV655430 SSR655428:SSR655430 TCN655428:TCN655430 TMJ655428:TMJ655430 TWF655428:TWF655430 UGB655428:UGB655430 UPX655428:UPX655430 UZT655428:UZT655430 VJP655428:VJP655430 VTL655428:VTL655430 WDH655428:WDH655430 WND655428:WND655430 H720964:H720966 AR720964:AR720966 KN720964:KN720966 UJ720964:UJ720966 AEF720964:AEF720966 AOB720964:AOB720966 AXX720964:AXX720966 BHT720964:BHT720966 BRP720964:BRP720966 CBL720964:CBL720966 CLH720964:CLH720966 CVD720964:CVD720966 DEZ720964:DEZ720966 DOV720964:DOV720966 DYR720964:DYR720966 EIN720964:EIN720966 ESJ720964:ESJ720966 FCF720964:FCF720966 FMB720964:FMB720966 FVX720964:FVX720966 GFT720964:GFT720966 GPP720964:GPP720966 GZL720964:GZL720966 HJH720964:HJH720966 HTD720964:HTD720966 ICZ720964:ICZ720966 IMV720964:IMV720966 IWR720964:IWR720966 JGN720964:JGN720966 JQJ720964:JQJ720966 KAF720964:KAF720966 KKB720964:KKB720966 KTX720964:KTX720966 LDT720964:LDT720966 LNP720964:LNP720966 LXL720964:LXL720966 MHH720964:MHH720966 MRD720964:MRD720966 NAZ720964:NAZ720966 NKV720964:NKV720966 NUR720964:NUR720966 OEN720964:OEN720966 OOJ720964:OOJ720966 OYF720964:OYF720966 PIB720964:PIB720966 PRX720964:PRX720966 QBT720964:QBT720966 QLP720964:QLP720966 QVL720964:QVL720966 RFH720964:RFH720966 RPD720964:RPD720966 RYZ720964:RYZ720966 SIV720964:SIV720966 SSR720964:SSR720966 TCN720964:TCN720966 TMJ720964:TMJ720966 TWF720964:TWF720966 UGB720964:UGB720966 UPX720964:UPX720966 UZT720964:UZT720966 VJP720964:VJP720966 VTL720964:VTL720966 WDH720964:WDH720966 WND720964:WND720966 H786500:H786502 AR786500:AR786502 KN786500:KN786502 UJ786500:UJ786502 AEF786500:AEF786502 AOB786500:AOB786502 AXX786500:AXX786502 BHT786500:BHT786502 BRP786500:BRP786502 CBL786500:CBL786502 CLH786500:CLH786502 CVD786500:CVD786502 DEZ786500:DEZ786502 DOV786500:DOV786502 DYR786500:DYR786502 EIN786500:EIN786502 ESJ786500:ESJ786502 FCF786500:FCF786502 FMB786500:FMB786502 FVX786500:FVX786502 GFT786500:GFT786502 GPP786500:GPP786502 GZL786500:GZL786502 HJH786500:HJH786502 HTD786500:HTD786502 ICZ786500:ICZ786502 IMV786500:IMV786502 IWR786500:IWR786502 JGN786500:JGN786502 JQJ786500:JQJ786502 KAF786500:KAF786502 KKB786500:KKB786502 KTX786500:KTX786502 LDT786500:LDT786502 LNP786500:LNP786502 LXL786500:LXL786502 MHH786500:MHH786502 MRD786500:MRD786502 NAZ786500:NAZ786502 NKV786500:NKV786502 NUR786500:NUR786502 OEN786500:OEN786502 OOJ786500:OOJ786502 OYF786500:OYF786502 PIB786500:PIB786502 PRX786500:PRX786502 QBT786500:QBT786502 QLP786500:QLP786502 QVL786500:QVL786502 RFH786500:RFH786502 RPD786500:RPD786502 RYZ786500:RYZ786502 SIV786500:SIV786502 SSR786500:SSR786502 TCN786500:TCN786502 TMJ786500:TMJ786502 TWF786500:TWF786502 UGB786500:UGB786502 UPX786500:UPX786502 UZT786500:UZT786502 VJP786500:VJP786502 VTL786500:VTL786502 WDH786500:WDH786502 WND786500:WND786502 H852036:H852038 AR852036:AR852038 KN852036:KN852038 UJ852036:UJ852038 AEF852036:AEF852038 AOB852036:AOB852038 AXX852036:AXX852038 BHT852036:BHT852038 BRP852036:BRP852038 CBL852036:CBL852038 CLH852036:CLH852038 CVD852036:CVD852038 DEZ852036:DEZ852038 DOV852036:DOV852038 DYR852036:DYR852038 EIN852036:EIN852038 ESJ852036:ESJ852038 FCF852036:FCF852038 FMB852036:FMB852038 FVX852036:FVX852038 GFT852036:GFT852038 GPP852036:GPP852038 GZL852036:GZL852038 HJH852036:HJH852038 HTD852036:HTD852038 ICZ852036:ICZ852038 IMV852036:IMV852038 IWR852036:IWR852038 JGN852036:JGN852038 JQJ852036:JQJ852038 KAF852036:KAF852038 KKB852036:KKB852038 KTX852036:KTX852038 LDT852036:LDT852038 LNP852036:LNP852038 LXL852036:LXL852038 MHH852036:MHH852038 MRD852036:MRD852038 NAZ852036:NAZ852038 NKV852036:NKV852038 NUR852036:NUR852038 OEN852036:OEN852038 OOJ852036:OOJ852038 OYF852036:OYF852038 PIB852036:PIB852038 PRX852036:PRX852038 QBT852036:QBT852038 QLP852036:QLP852038 QVL852036:QVL852038 RFH852036:RFH852038 RPD852036:RPD852038 RYZ852036:RYZ852038 SIV852036:SIV852038 SSR852036:SSR852038 TCN852036:TCN852038 TMJ852036:TMJ852038 TWF852036:TWF852038 UGB852036:UGB852038 UPX852036:UPX852038 UZT852036:UZT852038 VJP852036:VJP852038 VTL852036:VTL852038 WDH852036:WDH852038 WND852036:WND852038 H917572:H917574 AR917572:AR917574 KN917572:KN917574 UJ917572:UJ917574 AEF917572:AEF917574 AOB917572:AOB917574 AXX917572:AXX917574 BHT917572:BHT917574 BRP917572:BRP917574 CBL917572:CBL917574 CLH917572:CLH917574 CVD917572:CVD917574 DEZ917572:DEZ917574 DOV917572:DOV917574 DYR917572:DYR917574 EIN917572:EIN917574 ESJ917572:ESJ917574 FCF917572:FCF917574 FMB917572:FMB917574 FVX917572:FVX917574 GFT917572:GFT917574 GPP917572:GPP917574 GZL917572:GZL917574 HJH917572:HJH917574 HTD917572:HTD917574 ICZ917572:ICZ917574 IMV917572:IMV917574 IWR917572:IWR917574 JGN917572:JGN917574 JQJ917572:JQJ917574 KAF917572:KAF917574 KKB917572:KKB917574 KTX917572:KTX917574 LDT917572:LDT917574 LNP917572:LNP917574 LXL917572:LXL917574 MHH917572:MHH917574 MRD917572:MRD917574 NAZ917572:NAZ917574 NKV917572:NKV917574 NUR917572:NUR917574 OEN917572:OEN917574 OOJ917572:OOJ917574 OYF917572:OYF917574 PIB917572:PIB917574 PRX917572:PRX917574 QBT917572:QBT917574 QLP917572:QLP917574 QVL917572:QVL917574 RFH917572:RFH917574 RPD917572:RPD917574 RYZ917572:RYZ917574 SIV917572:SIV917574 SSR917572:SSR917574 TCN917572:TCN917574 TMJ917572:TMJ917574 TWF917572:TWF917574 UGB917572:UGB917574 UPX917572:UPX917574 UZT917572:UZT917574 VJP917572:VJP917574 VTL917572:VTL917574 WDH917572:WDH917574 WND917572:WND917574 H983108:H983110 AR983108:AR983110 KN983108:KN983110 UJ983108:UJ983110 AEF983108:AEF983110 AOB983108:AOB983110 AXX983108:AXX983110 BHT983108:BHT983110 BRP983108:BRP983110 CBL983108:CBL983110 CLH983108:CLH983110 CVD983108:CVD983110 DEZ983108:DEZ983110 DOV983108:DOV983110 DYR983108:DYR983110 EIN983108:EIN983110 ESJ983108:ESJ983110 FCF983108:FCF983110 FMB983108:FMB983110 FVX983108:FVX983110 GFT983108:GFT983110 GPP983108:GPP983110 GZL983108:GZL983110 HJH983108:HJH983110 HTD983108:HTD983110 ICZ983108:ICZ983110 IMV983108:IMV983110 IWR983108:IWR983110 JGN983108:JGN983110 JQJ983108:JQJ983110 KAF983108:KAF983110 KKB983108:KKB983110 KTX983108:KTX983110 LDT983108:LDT983110 LNP983108:LNP983110 LXL983108:LXL983110 MHH983108:MHH983110 MRD983108:MRD983110 NAZ983108:NAZ983110 NKV983108:NKV983110 NUR983108:NUR983110 OEN983108:OEN983110 OOJ983108:OOJ983110 OYF983108:OYF983110 PIB983108:PIB983110 PRX983108:PRX983110 QBT983108:QBT983110 QLP983108:QLP983110 QVL983108:QVL983110 RFH983108:RFH983110 RPD983108:RPD983110 RYZ983108:RYZ983110 SIV983108:SIV983110 SSR983108:SSR983110 TCN983108:TCN983110 TMJ983108:TMJ983110 TWF983108:TWF983110 UGB983108:UGB983110 UPX983108:UPX983110 UZT983108:UZT983110 VJP983108:VJP983110 VTL983108:VTL983110 WDH983108:WDH983110 WND983108:WND983110 WND983083 AQ45:AQ47 KM45:KM47 UI45:UI47 AEE45:AEE47 AOA45:AOA47 AXW45:AXW47 BHS45:BHS47 BRO45:BRO47 CBK45:CBK47 CLG45:CLG47 CVC45:CVC47 DEY45:DEY47 DOU45:DOU47 DYQ45:DYQ47 EIM45:EIM47 ESI45:ESI47 FCE45:FCE47 FMA45:FMA47 FVW45:FVW47 GFS45:GFS47 GPO45:GPO47 GZK45:GZK47 HJG45:HJG47 HTC45:HTC47 ICY45:ICY47 IMU45:IMU47 IWQ45:IWQ47 JGM45:JGM47 JQI45:JQI47 KAE45:KAE47 KKA45:KKA47 KTW45:KTW47 LDS45:LDS47 LNO45:LNO47 LXK45:LXK47 MHG45:MHG47 MRC45:MRC47 NAY45:NAY47 NKU45:NKU47 NUQ45:NUQ47 OEM45:OEM47 OOI45:OOI47 OYE45:OYE47 PIA45:PIA47 PRW45:PRW47 QBS45:QBS47 QLO45:QLO47 QVK45:QVK47 RFG45:RFG47 RPC45:RPC47 RYY45:RYY47 SIU45:SIU47 SSQ45:SSQ47 TCM45:TCM47 TMI45:TMI47 TWE45:TWE47 UGA45:UGA47 UPW45:UPW47 UZS45:UZS47 VJO45:VJO47 VTK45:VTK47 WDG45:WDG47 WNC45:WNC47 G65579:G65580 AQ65579:AQ65580 KM65579:KM65580 UI65579:UI65580 AEE65579:AEE65580 AOA65579:AOA65580 AXW65579:AXW65580 BHS65579:BHS65580 BRO65579:BRO65580 CBK65579:CBK65580 CLG65579:CLG65580 CVC65579:CVC65580 DEY65579:DEY65580 DOU65579:DOU65580 DYQ65579:DYQ65580 EIM65579:EIM65580 ESI65579:ESI65580 FCE65579:FCE65580 FMA65579:FMA65580 FVW65579:FVW65580 GFS65579:GFS65580 GPO65579:GPO65580 GZK65579:GZK65580 HJG65579:HJG65580 HTC65579:HTC65580 ICY65579:ICY65580 IMU65579:IMU65580 IWQ65579:IWQ65580 JGM65579:JGM65580 JQI65579:JQI65580 KAE65579:KAE65580 KKA65579:KKA65580 KTW65579:KTW65580 LDS65579:LDS65580 LNO65579:LNO65580 LXK65579:LXK65580 MHG65579:MHG65580 MRC65579:MRC65580 NAY65579:NAY65580 NKU65579:NKU65580 NUQ65579:NUQ65580 OEM65579:OEM65580 OOI65579:OOI65580 OYE65579:OYE65580 PIA65579:PIA65580 PRW65579:PRW65580 QBS65579:QBS65580 QLO65579:QLO65580 QVK65579:QVK65580 RFG65579:RFG65580 RPC65579:RPC65580 RYY65579:RYY65580 SIU65579:SIU65580 SSQ65579:SSQ65580 TCM65579:TCM65580 TMI65579:TMI65580 TWE65579:TWE65580 UGA65579:UGA65580 UPW65579:UPW65580 UZS65579:UZS65580 VJO65579:VJO65580 VTK65579:VTK65580 WDG65579:WDG65580 WNC65579:WNC65580 G131115:G131116 AQ131115:AQ131116 KM131115:KM131116 UI131115:UI131116 AEE131115:AEE131116 AOA131115:AOA131116 AXW131115:AXW131116 BHS131115:BHS131116 BRO131115:BRO131116 CBK131115:CBK131116 CLG131115:CLG131116 CVC131115:CVC131116 DEY131115:DEY131116 DOU131115:DOU131116 DYQ131115:DYQ131116 EIM131115:EIM131116 ESI131115:ESI131116 FCE131115:FCE131116 FMA131115:FMA131116 FVW131115:FVW131116 GFS131115:GFS131116 GPO131115:GPO131116 GZK131115:GZK131116 HJG131115:HJG131116 HTC131115:HTC131116 ICY131115:ICY131116 IMU131115:IMU131116 IWQ131115:IWQ131116 JGM131115:JGM131116 JQI131115:JQI131116 KAE131115:KAE131116 KKA131115:KKA131116 KTW131115:KTW131116 LDS131115:LDS131116 LNO131115:LNO131116 LXK131115:LXK131116 MHG131115:MHG131116 MRC131115:MRC131116 NAY131115:NAY131116 NKU131115:NKU131116 NUQ131115:NUQ131116 OEM131115:OEM131116 OOI131115:OOI131116 OYE131115:OYE131116 PIA131115:PIA131116 PRW131115:PRW131116 QBS131115:QBS131116 QLO131115:QLO131116 QVK131115:QVK131116 RFG131115:RFG131116 RPC131115:RPC131116 RYY131115:RYY131116 SIU131115:SIU131116 SSQ131115:SSQ131116 TCM131115:TCM131116 TMI131115:TMI131116 TWE131115:TWE131116 UGA131115:UGA131116 UPW131115:UPW131116 UZS131115:UZS131116 VJO131115:VJO131116 VTK131115:VTK131116 WDG131115:WDG131116 WNC131115:WNC131116 G196651:G196652 AQ196651:AQ196652 KM196651:KM196652 UI196651:UI196652 AEE196651:AEE196652 AOA196651:AOA196652 AXW196651:AXW196652 BHS196651:BHS196652 BRO196651:BRO196652 CBK196651:CBK196652 CLG196651:CLG196652 CVC196651:CVC196652 DEY196651:DEY196652 DOU196651:DOU196652 DYQ196651:DYQ196652 EIM196651:EIM196652 ESI196651:ESI196652 FCE196651:FCE196652 FMA196651:FMA196652 FVW196651:FVW196652 GFS196651:GFS196652 GPO196651:GPO196652 GZK196651:GZK196652 HJG196651:HJG196652 HTC196651:HTC196652 ICY196651:ICY196652 IMU196651:IMU196652 IWQ196651:IWQ196652 JGM196651:JGM196652 JQI196651:JQI196652 KAE196651:KAE196652 KKA196651:KKA196652 KTW196651:KTW196652 LDS196651:LDS196652 LNO196651:LNO196652 LXK196651:LXK196652 MHG196651:MHG196652 MRC196651:MRC196652 NAY196651:NAY196652 NKU196651:NKU196652 NUQ196651:NUQ196652 OEM196651:OEM196652 OOI196651:OOI196652 OYE196651:OYE196652 PIA196651:PIA196652 PRW196651:PRW196652 QBS196651:QBS196652 QLO196651:QLO196652 QVK196651:QVK196652 RFG196651:RFG196652 RPC196651:RPC196652 RYY196651:RYY196652 SIU196651:SIU196652 SSQ196651:SSQ196652 TCM196651:TCM196652 TMI196651:TMI196652 TWE196651:TWE196652 UGA196651:UGA196652 UPW196651:UPW196652 UZS196651:UZS196652 VJO196651:VJO196652 VTK196651:VTK196652 WDG196651:WDG196652 WNC196651:WNC196652 G262187:G262188 AQ262187:AQ262188 KM262187:KM262188 UI262187:UI262188 AEE262187:AEE262188 AOA262187:AOA262188 AXW262187:AXW262188 BHS262187:BHS262188 BRO262187:BRO262188 CBK262187:CBK262188 CLG262187:CLG262188 CVC262187:CVC262188 DEY262187:DEY262188 DOU262187:DOU262188 DYQ262187:DYQ262188 EIM262187:EIM262188 ESI262187:ESI262188 FCE262187:FCE262188 FMA262187:FMA262188 FVW262187:FVW262188 GFS262187:GFS262188 GPO262187:GPO262188 GZK262187:GZK262188 HJG262187:HJG262188 HTC262187:HTC262188 ICY262187:ICY262188 IMU262187:IMU262188 IWQ262187:IWQ262188 JGM262187:JGM262188 JQI262187:JQI262188 KAE262187:KAE262188 KKA262187:KKA262188 KTW262187:KTW262188 LDS262187:LDS262188 LNO262187:LNO262188 LXK262187:LXK262188 MHG262187:MHG262188 MRC262187:MRC262188 NAY262187:NAY262188 NKU262187:NKU262188 NUQ262187:NUQ262188 OEM262187:OEM262188 OOI262187:OOI262188 OYE262187:OYE262188 PIA262187:PIA262188 PRW262187:PRW262188 QBS262187:QBS262188 QLO262187:QLO262188 QVK262187:QVK262188 RFG262187:RFG262188 RPC262187:RPC262188 RYY262187:RYY262188 SIU262187:SIU262188 SSQ262187:SSQ262188 TCM262187:TCM262188 TMI262187:TMI262188 TWE262187:TWE262188 UGA262187:UGA262188 UPW262187:UPW262188 UZS262187:UZS262188 VJO262187:VJO262188 VTK262187:VTK262188 WDG262187:WDG262188 WNC262187:WNC262188 G327723:G327724 AQ327723:AQ327724 KM327723:KM327724 UI327723:UI327724 AEE327723:AEE327724 AOA327723:AOA327724 AXW327723:AXW327724 BHS327723:BHS327724 BRO327723:BRO327724 CBK327723:CBK327724 CLG327723:CLG327724 CVC327723:CVC327724 DEY327723:DEY327724 DOU327723:DOU327724 DYQ327723:DYQ327724 EIM327723:EIM327724 ESI327723:ESI327724 FCE327723:FCE327724 FMA327723:FMA327724 FVW327723:FVW327724 GFS327723:GFS327724 GPO327723:GPO327724 GZK327723:GZK327724 HJG327723:HJG327724 HTC327723:HTC327724 ICY327723:ICY327724 IMU327723:IMU327724 IWQ327723:IWQ327724 JGM327723:JGM327724 JQI327723:JQI327724 KAE327723:KAE327724 KKA327723:KKA327724 KTW327723:KTW327724 LDS327723:LDS327724 LNO327723:LNO327724 LXK327723:LXK327724 MHG327723:MHG327724 MRC327723:MRC327724 NAY327723:NAY327724 NKU327723:NKU327724 NUQ327723:NUQ327724 OEM327723:OEM327724 OOI327723:OOI327724 OYE327723:OYE327724 PIA327723:PIA327724 PRW327723:PRW327724 QBS327723:QBS327724 QLO327723:QLO327724 QVK327723:QVK327724 RFG327723:RFG327724 RPC327723:RPC327724 RYY327723:RYY327724 SIU327723:SIU327724 SSQ327723:SSQ327724 TCM327723:TCM327724 TMI327723:TMI327724 TWE327723:TWE327724 UGA327723:UGA327724 UPW327723:UPW327724 UZS327723:UZS327724 VJO327723:VJO327724 VTK327723:VTK327724 WDG327723:WDG327724 WNC327723:WNC327724 G393259:G393260 AQ393259:AQ393260 KM393259:KM393260 UI393259:UI393260 AEE393259:AEE393260 AOA393259:AOA393260 AXW393259:AXW393260 BHS393259:BHS393260 BRO393259:BRO393260 CBK393259:CBK393260 CLG393259:CLG393260 CVC393259:CVC393260 DEY393259:DEY393260 DOU393259:DOU393260 DYQ393259:DYQ393260 EIM393259:EIM393260 ESI393259:ESI393260 FCE393259:FCE393260 FMA393259:FMA393260 FVW393259:FVW393260 GFS393259:GFS393260 GPO393259:GPO393260 GZK393259:GZK393260 HJG393259:HJG393260 HTC393259:HTC393260 ICY393259:ICY393260 IMU393259:IMU393260 IWQ393259:IWQ393260 JGM393259:JGM393260 JQI393259:JQI393260 KAE393259:KAE393260 KKA393259:KKA393260 KTW393259:KTW393260 LDS393259:LDS393260 LNO393259:LNO393260 LXK393259:LXK393260 MHG393259:MHG393260 MRC393259:MRC393260 NAY393259:NAY393260 NKU393259:NKU393260 NUQ393259:NUQ393260 OEM393259:OEM393260 OOI393259:OOI393260 OYE393259:OYE393260 PIA393259:PIA393260 PRW393259:PRW393260 QBS393259:QBS393260 QLO393259:QLO393260 QVK393259:QVK393260 RFG393259:RFG393260 RPC393259:RPC393260 RYY393259:RYY393260 SIU393259:SIU393260 SSQ393259:SSQ393260 TCM393259:TCM393260 TMI393259:TMI393260 TWE393259:TWE393260 UGA393259:UGA393260 UPW393259:UPW393260 UZS393259:UZS393260 VJO393259:VJO393260 VTK393259:VTK393260 WDG393259:WDG393260 WNC393259:WNC393260 G458795:G458796 AQ458795:AQ458796 KM458795:KM458796 UI458795:UI458796 AEE458795:AEE458796 AOA458795:AOA458796 AXW458795:AXW458796 BHS458795:BHS458796 BRO458795:BRO458796 CBK458795:CBK458796 CLG458795:CLG458796 CVC458795:CVC458796 DEY458795:DEY458796 DOU458795:DOU458796 DYQ458795:DYQ458796 EIM458795:EIM458796 ESI458795:ESI458796 FCE458795:FCE458796 FMA458795:FMA458796 FVW458795:FVW458796 GFS458795:GFS458796 GPO458795:GPO458796 GZK458795:GZK458796 HJG458795:HJG458796 HTC458795:HTC458796 ICY458795:ICY458796 IMU458795:IMU458796 IWQ458795:IWQ458796 JGM458795:JGM458796 JQI458795:JQI458796 KAE458795:KAE458796 KKA458795:KKA458796 KTW458795:KTW458796 LDS458795:LDS458796 LNO458795:LNO458796 LXK458795:LXK458796 MHG458795:MHG458796 MRC458795:MRC458796 NAY458795:NAY458796 NKU458795:NKU458796 NUQ458795:NUQ458796 OEM458795:OEM458796 OOI458795:OOI458796 OYE458795:OYE458796 PIA458795:PIA458796 PRW458795:PRW458796 QBS458795:QBS458796 QLO458795:QLO458796 QVK458795:QVK458796 RFG458795:RFG458796 RPC458795:RPC458796 RYY458795:RYY458796 SIU458795:SIU458796 SSQ458795:SSQ458796 TCM458795:TCM458796 TMI458795:TMI458796 TWE458795:TWE458796 UGA458795:UGA458796 UPW458795:UPW458796 UZS458795:UZS458796 VJO458795:VJO458796 VTK458795:VTK458796 WDG458795:WDG458796 WNC458795:WNC458796 G524331:G524332 AQ524331:AQ524332 KM524331:KM524332 UI524331:UI524332 AEE524331:AEE524332 AOA524331:AOA524332 AXW524331:AXW524332 BHS524331:BHS524332 BRO524331:BRO524332 CBK524331:CBK524332 CLG524331:CLG524332 CVC524331:CVC524332 DEY524331:DEY524332 DOU524331:DOU524332 DYQ524331:DYQ524332 EIM524331:EIM524332 ESI524331:ESI524332 FCE524331:FCE524332 FMA524331:FMA524332 FVW524331:FVW524332 GFS524331:GFS524332 GPO524331:GPO524332 GZK524331:GZK524332 HJG524331:HJG524332 HTC524331:HTC524332 ICY524331:ICY524332 IMU524331:IMU524332 IWQ524331:IWQ524332 JGM524331:JGM524332 JQI524331:JQI524332 KAE524331:KAE524332 KKA524331:KKA524332 KTW524331:KTW524332 LDS524331:LDS524332 LNO524331:LNO524332 LXK524331:LXK524332 MHG524331:MHG524332 MRC524331:MRC524332 NAY524331:NAY524332 NKU524331:NKU524332 NUQ524331:NUQ524332 OEM524331:OEM524332 OOI524331:OOI524332 OYE524331:OYE524332 PIA524331:PIA524332 PRW524331:PRW524332 QBS524331:QBS524332 QLO524331:QLO524332 QVK524331:QVK524332 RFG524331:RFG524332 RPC524331:RPC524332 RYY524331:RYY524332 SIU524331:SIU524332 SSQ524331:SSQ524332 TCM524331:TCM524332 TMI524331:TMI524332 TWE524331:TWE524332 UGA524331:UGA524332 UPW524331:UPW524332 UZS524331:UZS524332 VJO524331:VJO524332 VTK524331:VTK524332 WDG524331:WDG524332 WNC524331:WNC524332 G589867:G589868 AQ589867:AQ589868 KM589867:KM589868 UI589867:UI589868 AEE589867:AEE589868 AOA589867:AOA589868 AXW589867:AXW589868 BHS589867:BHS589868 BRO589867:BRO589868 CBK589867:CBK589868 CLG589867:CLG589868 CVC589867:CVC589868 DEY589867:DEY589868 DOU589867:DOU589868 DYQ589867:DYQ589868 EIM589867:EIM589868 ESI589867:ESI589868 FCE589867:FCE589868 FMA589867:FMA589868 FVW589867:FVW589868 GFS589867:GFS589868 GPO589867:GPO589868 GZK589867:GZK589868 HJG589867:HJG589868 HTC589867:HTC589868 ICY589867:ICY589868 IMU589867:IMU589868 IWQ589867:IWQ589868 JGM589867:JGM589868 JQI589867:JQI589868 KAE589867:KAE589868 KKA589867:KKA589868 KTW589867:KTW589868 LDS589867:LDS589868 LNO589867:LNO589868 LXK589867:LXK589868 MHG589867:MHG589868 MRC589867:MRC589868 NAY589867:NAY589868 NKU589867:NKU589868 NUQ589867:NUQ589868 OEM589867:OEM589868 OOI589867:OOI589868 OYE589867:OYE589868 PIA589867:PIA589868 PRW589867:PRW589868 QBS589867:QBS589868 QLO589867:QLO589868 QVK589867:QVK589868 RFG589867:RFG589868 RPC589867:RPC589868 RYY589867:RYY589868 SIU589867:SIU589868 SSQ589867:SSQ589868 TCM589867:TCM589868 TMI589867:TMI589868 TWE589867:TWE589868 UGA589867:UGA589868 UPW589867:UPW589868 UZS589867:UZS589868 VJO589867:VJO589868 VTK589867:VTK589868 WDG589867:WDG589868 WNC589867:WNC589868 G655403:G655404 AQ655403:AQ655404 KM655403:KM655404 UI655403:UI655404 AEE655403:AEE655404 AOA655403:AOA655404 AXW655403:AXW655404 BHS655403:BHS655404 BRO655403:BRO655404 CBK655403:CBK655404 CLG655403:CLG655404 CVC655403:CVC655404 DEY655403:DEY655404 DOU655403:DOU655404 DYQ655403:DYQ655404 EIM655403:EIM655404 ESI655403:ESI655404 FCE655403:FCE655404 FMA655403:FMA655404 FVW655403:FVW655404 GFS655403:GFS655404 GPO655403:GPO655404 GZK655403:GZK655404 HJG655403:HJG655404 HTC655403:HTC655404 ICY655403:ICY655404 IMU655403:IMU655404 IWQ655403:IWQ655404 JGM655403:JGM655404 JQI655403:JQI655404 KAE655403:KAE655404 KKA655403:KKA655404 KTW655403:KTW655404 LDS655403:LDS655404 LNO655403:LNO655404 LXK655403:LXK655404 MHG655403:MHG655404 MRC655403:MRC655404 NAY655403:NAY655404 NKU655403:NKU655404 NUQ655403:NUQ655404 OEM655403:OEM655404 OOI655403:OOI655404 OYE655403:OYE655404 PIA655403:PIA655404 PRW655403:PRW655404 QBS655403:QBS655404 QLO655403:QLO655404 QVK655403:QVK655404 RFG655403:RFG655404 RPC655403:RPC655404 RYY655403:RYY655404 SIU655403:SIU655404 SSQ655403:SSQ655404 TCM655403:TCM655404 TMI655403:TMI655404 TWE655403:TWE655404 UGA655403:UGA655404 UPW655403:UPW655404 UZS655403:UZS655404 VJO655403:VJO655404 VTK655403:VTK655404 WDG655403:WDG655404 WNC655403:WNC655404 G720939:G720940 AQ720939:AQ720940 KM720939:KM720940 UI720939:UI720940 AEE720939:AEE720940 AOA720939:AOA720940 AXW720939:AXW720940 BHS720939:BHS720940 BRO720939:BRO720940 CBK720939:CBK720940 CLG720939:CLG720940 CVC720939:CVC720940 DEY720939:DEY720940 DOU720939:DOU720940 DYQ720939:DYQ720940 EIM720939:EIM720940 ESI720939:ESI720940 FCE720939:FCE720940 FMA720939:FMA720940 FVW720939:FVW720940 GFS720939:GFS720940 GPO720939:GPO720940 GZK720939:GZK720940 HJG720939:HJG720940 HTC720939:HTC720940 ICY720939:ICY720940 IMU720939:IMU720940 IWQ720939:IWQ720940 JGM720939:JGM720940 JQI720939:JQI720940 KAE720939:KAE720940 KKA720939:KKA720940 KTW720939:KTW720940 LDS720939:LDS720940 LNO720939:LNO720940 LXK720939:LXK720940 MHG720939:MHG720940 MRC720939:MRC720940 NAY720939:NAY720940 NKU720939:NKU720940 NUQ720939:NUQ720940 OEM720939:OEM720940 OOI720939:OOI720940 OYE720939:OYE720940 PIA720939:PIA720940 PRW720939:PRW720940 QBS720939:QBS720940 QLO720939:QLO720940 QVK720939:QVK720940 RFG720939:RFG720940 RPC720939:RPC720940 RYY720939:RYY720940 SIU720939:SIU720940 SSQ720939:SSQ720940 TCM720939:TCM720940 TMI720939:TMI720940 TWE720939:TWE720940 UGA720939:UGA720940 UPW720939:UPW720940 UZS720939:UZS720940 VJO720939:VJO720940 VTK720939:VTK720940 WDG720939:WDG720940 WNC720939:WNC720940 G786475:G786476 AQ786475:AQ786476 KM786475:KM786476 UI786475:UI786476 AEE786475:AEE786476 AOA786475:AOA786476 AXW786475:AXW786476 BHS786475:BHS786476 BRO786475:BRO786476 CBK786475:CBK786476 CLG786475:CLG786476 CVC786475:CVC786476 DEY786475:DEY786476 DOU786475:DOU786476 DYQ786475:DYQ786476 EIM786475:EIM786476 ESI786475:ESI786476 FCE786475:FCE786476 FMA786475:FMA786476 FVW786475:FVW786476 GFS786475:GFS786476 GPO786475:GPO786476 GZK786475:GZK786476 HJG786475:HJG786476 HTC786475:HTC786476 ICY786475:ICY786476 IMU786475:IMU786476 IWQ786475:IWQ786476 JGM786475:JGM786476 JQI786475:JQI786476 KAE786475:KAE786476 KKA786475:KKA786476 KTW786475:KTW786476 LDS786475:LDS786476 LNO786475:LNO786476 LXK786475:LXK786476 MHG786475:MHG786476 MRC786475:MRC786476 NAY786475:NAY786476 NKU786475:NKU786476 NUQ786475:NUQ786476 OEM786475:OEM786476 OOI786475:OOI786476 OYE786475:OYE786476 PIA786475:PIA786476 PRW786475:PRW786476 QBS786475:QBS786476 QLO786475:QLO786476 QVK786475:QVK786476 RFG786475:RFG786476 RPC786475:RPC786476 RYY786475:RYY786476 SIU786475:SIU786476 SSQ786475:SSQ786476 TCM786475:TCM786476 TMI786475:TMI786476 TWE786475:TWE786476 UGA786475:UGA786476 UPW786475:UPW786476 UZS786475:UZS786476 VJO786475:VJO786476 VTK786475:VTK786476 WDG786475:WDG786476 WNC786475:WNC786476 G852011:G852012 AQ852011:AQ852012 KM852011:KM852012 UI852011:UI852012 AEE852011:AEE852012 AOA852011:AOA852012 AXW852011:AXW852012 BHS852011:BHS852012 BRO852011:BRO852012 CBK852011:CBK852012 CLG852011:CLG852012 CVC852011:CVC852012 DEY852011:DEY852012 DOU852011:DOU852012 DYQ852011:DYQ852012 EIM852011:EIM852012 ESI852011:ESI852012 FCE852011:FCE852012 FMA852011:FMA852012 FVW852011:FVW852012 GFS852011:GFS852012 GPO852011:GPO852012 GZK852011:GZK852012 HJG852011:HJG852012 HTC852011:HTC852012 ICY852011:ICY852012 IMU852011:IMU852012 IWQ852011:IWQ852012 JGM852011:JGM852012 JQI852011:JQI852012 KAE852011:KAE852012 KKA852011:KKA852012 KTW852011:KTW852012 LDS852011:LDS852012 LNO852011:LNO852012 LXK852011:LXK852012 MHG852011:MHG852012 MRC852011:MRC852012 NAY852011:NAY852012 NKU852011:NKU852012 NUQ852011:NUQ852012 OEM852011:OEM852012 OOI852011:OOI852012 OYE852011:OYE852012 PIA852011:PIA852012 PRW852011:PRW852012 QBS852011:QBS852012 QLO852011:QLO852012 QVK852011:QVK852012 RFG852011:RFG852012 RPC852011:RPC852012 RYY852011:RYY852012 SIU852011:SIU852012 SSQ852011:SSQ852012 TCM852011:TCM852012 TMI852011:TMI852012 TWE852011:TWE852012 UGA852011:UGA852012 UPW852011:UPW852012 UZS852011:UZS852012 VJO852011:VJO852012 VTK852011:VTK852012 WDG852011:WDG852012 WNC852011:WNC852012 G917547:G917548 AQ917547:AQ917548 KM917547:KM917548 UI917547:UI917548 AEE917547:AEE917548 AOA917547:AOA917548 AXW917547:AXW917548 BHS917547:BHS917548 BRO917547:BRO917548 CBK917547:CBK917548 CLG917547:CLG917548 CVC917547:CVC917548 DEY917547:DEY917548 DOU917547:DOU917548 DYQ917547:DYQ917548 EIM917547:EIM917548 ESI917547:ESI917548 FCE917547:FCE917548 FMA917547:FMA917548 FVW917547:FVW917548 GFS917547:GFS917548 GPO917547:GPO917548 GZK917547:GZK917548 HJG917547:HJG917548 HTC917547:HTC917548 ICY917547:ICY917548 IMU917547:IMU917548 IWQ917547:IWQ917548 JGM917547:JGM917548 JQI917547:JQI917548 KAE917547:KAE917548 KKA917547:KKA917548 KTW917547:KTW917548 LDS917547:LDS917548 LNO917547:LNO917548 LXK917547:LXK917548 MHG917547:MHG917548 MRC917547:MRC917548 NAY917547:NAY917548 NKU917547:NKU917548 NUQ917547:NUQ917548 OEM917547:OEM917548 OOI917547:OOI917548 OYE917547:OYE917548 PIA917547:PIA917548 PRW917547:PRW917548 QBS917547:QBS917548 QLO917547:QLO917548 QVK917547:QVK917548 RFG917547:RFG917548 RPC917547:RPC917548 RYY917547:RYY917548 SIU917547:SIU917548 SSQ917547:SSQ917548 TCM917547:TCM917548 TMI917547:TMI917548 TWE917547:TWE917548 UGA917547:UGA917548 UPW917547:UPW917548 UZS917547:UZS917548 VJO917547:VJO917548 VTK917547:VTK917548 WDG917547:WDG917548 WNC917547:WNC917548 G983083:G983084 AQ983083:AQ983084 KM983083:KM983084 UI983083:UI983084 AEE983083:AEE983084 AOA983083:AOA983084 AXW983083:AXW983084 BHS983083:BHS983084 BRO983083:BRO983084 CBK983083:CBK983084 CLG983083:CLG983084 CVC983083:CVC983084 DEY983083:DEY983084 DOU983083:DOU983084 DYQ983083:DYQ983084 EIM983083:EIM983084 ESI983083:ESI983084 FCE983083:FCE983084 FMA983083:FMA983084 FVW983083:FVW983084 GFS983083:GFS983084 GPO983083:GPO983084 GZK983083:GZK983084 HJG983083:HJG983084 HTC983083:HTC983084 ICY983083:ICY983084 IMU983083:IMU983084 IWQ983083:IWQ983084 JGM983083:JGM983084 JQI983083:JQI983084 KAE983083:KAE983084 KKA983083:KKA983084 KTW983083:KTW983084 LDS983083:LDS983084 LNO983083:LNO983084 LXK983083:LXK983084 MHG983083:MHG983084 MRC983083:MRC983084 NAY983083:NAY983084 NKU983083:NKU983084 NUQ983083:NUQ983084 OEM983083:OEM983084 OOI983083:OOI983084 OYE983083:OYE983084 PIA983083:PIA983084 PRW983083:PRW983084 QBS983083:QBS983084 QLO983083:QLO983084 QVK983083:QVK983084 RFG983083:RFG983084 RPC983083:RPC983084 RYY983083:RYY983084 SIU983083:SIU983084 SSQ983083:SSQ983084 TCM983083:TCM983084 TMI983083:TMI983084 TWE983083:TWE983084 UGA983083:UGA983084 UPW983083:UPW983084 UZS983083:UZS983084 VJO983083:VJO983084 VTK983083:VTK983084 WDG983083:WDG983084 WNC983083:WNC983084 AR45:AR46 KN45:KN46 UJ45:UJ46 AEF45:AEF46 AOB45:AOB46 AXX45:AXX46 BHT45:BHT46 BRP45:BRP46 CBL45:CBL46 CLH45:CLH46 CVD45:CVD46 DEZ45:DEZ46 DOV45:DOV46 DYR45:DYR46 EIN45:EIN46 ESJ45:ESJ46 FCF45:FCF46 FMB45:FMB46 FVX45:FVX46 GFT45:GFT46 GPP45:GPP46 GZL45:GZL46 HJH45:HJH46 HTD45:HTD46 ICZ45:ICZ46 IMV45:IMV46 IWR45:IWR46 JGN45:JGN46 JQJ45:JQJ46 KAF45:KAF46 KKB45:KKB46 KTX45:KTX46 LDT45:LDT46 LNP45:LNP46 LXL45:LXL46 MHH45:MHH46 MRD45:MRD46 NAZ45:NAZ46 NKV45:NKV46 NUR45:NUR46 OEN45:OEN46 OOJ45:OOJ46 OYF45:OYF46 PIB45:PIB46 PRX45:PRX46 QBT45:QBT46 QLP45:QLP46 QVL45:QVL46 RFH45:RFH46 RPD45:RPD46 RYZ45:RYZ46 SIV45:SIV46 SSR45:SSR46 TCN45:TCN46 TMJ45:TMJ46 TWF45:TWF46 UGB45:UGB46 UPX45:UPX46 UZT45:UZT46 VJP45:VJP46 VTL45:VTL46 WDH45:WDH46 WND45:WND46 H65579 AR65579 KN65579 UJ65579 AEF65579 AOB65579 AXX65579 BHT65579 BRP65579 CBL65579 CLH65579 CVD65579 DEZ65579 DOV65579 DYR65579 EIN65579 ESJ65579 FCF65579 FMB65579 FVX65579 GFT65579 GPP65579 GZL65579 HJH65579 HTD65579 ICZ65579 IMV65579 IWR65579 JGN65579 JQJ65579 KAF65579 KKB65579 KTX65579 LDT65579 LNP65579 LXL65579 MHH65579 MRD65579 NAZ65579 NKV65579 NUR65579 OEN65579 OOJ65579 OYF65579 PIB65579 PRX65579 QBT65579 QLP65579 QVL65579 RFH65579 RPD65579 RYZ65579 SIV65579 SSR65579 TCN65579 TMJ65579 TWF65579 UGB65579 UPX65579 UZT65579 VJP65579 VTL65579 WDH65579 WND65579 H131115 AR131115 KN131115 UJ131115 AEF131115 AOB131115 AXX131115 BHT131115 BRP131115 CBL131115 CLH131115 CVD131115 DEZ131115 DOV131115 DYR131115 EIN131115 ESJ131115 FCF131115 FMB131115 FVX131115 GFT131115 GPP131115 GZL131115 HJH131115 HTD131115 ICZ131115 IMV131115 IWR131115 JGN131115 JQJ131115 KAF131115 KKB131115 KTX131115 LDT131115 LNP131115 LXL131115 MHH131115 MRD131115 NAZ131115 NKV131115 NUR131115 OEN131115 OOJ131115 OYF131115 PIB131115 PRX131115 QBT131115 QLP131115 QVL131115 RFH131115 RPD131115 RYZ131115 SIV131115 SSR131115 TCN131115 TMJ131115 TWF131115 UGB131115 UPX131115 UZT131115 VJP131115 VTL131115 WDH131115 WND131115 H196651 AR196651 KN196651 UJ196651 AEF196651 AOB196651 AXX196651 BHT196651 BRP196651 CBL196651 CLH196651 CVD196651 DEZ196651 DOV196651 DYR196651 EIN196651 ESJ196651 FCF196651 FMB196651 FVX196651 GFT196651 GPP196651 GZL196651 HJH196651 HTD196651 ICZ196651 IMV196651 IWR196651 JGN196651 JQJ196651 KAF196651 KKB196651 KTX196651 LDT196651 LNP196651 LXL196651 MHH196651 MRD196651 NAZ196651 NKV196651 NUR196651 OEN196651 OOJ196651 OYF196651 PIB196651 PRX196651 QBT196651 QLP196651 QVL196651 RFH196651 RPD196651 RYZ196651 SIV196651 SSR196651 TCN196651 TMJ196651 TWF196651 UGB196651 UPX196651 UZT196651 VJP196651 VTL196651 WDH196651 WND196651 H262187 AR262187 KN262187 UJ262187 AEF262187 AOB262187 AXX262187 BHT262187 BRP262187 CBL262187 CLH262187 CVD262187 DEZ262187 DOV262187 DYR262187 EIN262187 ESJ262187 FCF262187 FMB262187 FVX262187 GFT262187 GPP262187 GZL262187 HJH262187 HTD262187 ICZ262187 IMV262187 IWR262187 JGN262187 JQJ262187 KAF262187 KKB262187 KTX262187 LDT262187 LNP262187 LXL262187 MHH262187 MRD262187 NAZ262187 NKV262187 NUR262187 OEN262187 OOJ262187 OYF262187 PIB262187 PRX262187 QBT262187 QLP262187 QVL262187 RFH262187 RPD262187 RYZ262187 SIV262187 SSR262187 TCN262187 TMJ262187 TWF262187 UGB262187 UPX262187 UZT262187 VJP262187 VTL262187 WDH262187 WND262187 H327723 AR327723 KN327723 UJ327723 AEF327723 AOB327723 AXX327723 BHT327723 BRP327723 CBL327723 CLH327723 CVD327723 DEZ327723 DOV327723 DYR327723 EIN327723 ESJ327723 FCF327723 FMB327723 FVX327723 GFT327723 GPP327723 GZL327723 HJH327723 HTD327723 ICZ327723 IMV327723 IWR327723 JGN327723 JQJ327723 KAF327723 KKB327723 KTX327723 LDT327723 LNP327723 LXL327723 MHH327723 MRD327723 NAZ327723 NKV327723 NUR327723 OEN327723 OOJ327723 OYF327723 PIB327723 PRX327723 QBT327723 QLP327723 QVL327723 RFH327723 RPD327723 RYZ327723 SIV327723 SSR327723 TCN327723 TMJ327723 TWF327723 UGB327723 UPX327723 UZT327723 VJP327723 VTL327723 WDH327723 WND327723 H393259 AR393259 KN393259 UJ393259 AEF393259 AOB393259 AXX393259 BHT393259 BRP393259 CBL393259 CLH393259 CVD393259 DEZ393259 DOV393259 DYR393259 EIN393259 ESJ393259 FCF393259 FMB393259 FVX393259 GFT393259 GPP393259 GZL393259 HJH393259 HTD393259 ICZ393259 IMV393259 IWR393259 JGN393259 JQJ393259 KAF393259 KKB393259 KTX393259 LDT393259 LNP393259 LXL393259 MHH393259 MRD393259 NAZ393259 NKV393259 NUR393259 OEN393259 OOJ393259 OYF393259 PIB393259 PRX393259 QBT393259 QLP393259 QVL393259 RFH393259 RPD393259 RYZ393259 SIV393259 SSR393259 TCN393259 TMJ393259 TWF393259 UGB393259 UPX393259 UZT393259 VJP393259 VTL393259 WDH393259 WND393259 H458795 AR458795 KN458795 UJ458795 AEF458795 AOB458795 AXX458795 BHT458795 BRP458795 CBL458795 CLH458795 CVD458795 DEZ458795 DOV458795 DYR458795 EIN458795 ESJ458795 FCF458795 FMB458795 FVX458795 GFT458795 GPP458795 GZL458795 HJH458795 HTD458795 ICZ458795 IMV458795 IWR458795 JGN458795 JQJ458795 KAF458795 KKB458795 KTX458795 LDT458795 LNP458795 LXL458795 MHH458795 MRD458795 NAZ458795 NKV458795 NUR458795 OEN458795 OOJ458795 OYF458795 PIB458795 PRX458795 QBT458795 QLP458795 QVL458795 RFH458795 RPD458795 RYZ458795 SIV458795 SSR458795 TCN458795 TMJ458795 TWF458795 UGB458795 UPX458795 UZT458795 VJP458795 VTL458795 WDH458795 WND458795 H524331 AR524331 KN524331 UJ524331 AEF524331 AOB524331 AXX524331 BHT524331 BRP524331 CBL524331 CLH524331 CVD524331 DEZ524331 DOV524331 DYR524331 EIN524331 ESJ524331 FCF524331 FMB524331 FVX524331 GFT524331 GPP524331 GZL524331 HJH524331 HTD524331 ICZ524331 IMV524331 IWR524331 JGN524331 JQJ524331 KAF524331 KKB524331 KTX524331 LDT524331 LNP524331 LXL524331 MHH524331 MRD524331 NAZ524331 NKV524331 NUR524331 OEN524331 OOJ524331 OYF524331 PIB524331 PRX524331 QBT524331 QLP524331 QVL524331 RFH524331 RPD524331 RYZ524331 SIV524331 SSR524331 TCN524331 TMJ524331 TWF524331 UGB524331 UPX524331 UZT524331 VJP524331 VTL524331 WDH524331 WND524331 H589867 AR589867 KN589867 UJ589867 AEF589867 AOB589867 AXX589867 BHT589867 BRP589867 CBL589867 CLH589867 CVD589867 DEZ589867 DOV589867 DYR589867 EIN589867 ESJ589867 FCF589867 FMB589867 FVX589867 GFT589867 GPP589867 GZL589867 HJH589867 HTD589867 ICZ589867 IMV589867 IWR589867 JGN589867 JQJ589867 KAF589867 KKB589867 KTX589867 LDT589867 LNP589867 LXL589867 MHH589867 MRD589867 NAZ589867 NKV589867 NUR589867 OEN589867 OOJ589867 OYF589867 PIB589867 PRX589867 QBT589867 QLP589867 QVL589867 RFH589867 RPD589867 RYZ589867 SIV589867 SSR589867 TCN589867 TMJ589867 TWF589867 UGB589867 UPX589867 UZT589867 VJP589867 VTL589867 WDH589867 WND589867 H655403 AR655403 KN655403 UJ655403 AEF655403 AOB655403 AXX655403 BHT655403 BRP655403 CBL655403 CLH655403 CVD655403 DEZ655403 DOV655403 DYR655403 EIN655403 ESJ655403 FCF655403 FMB655403 FVX655403 GFT655403 GPP655403 GZL655403 HJH655403 HTD655403 ICZ655403 IMV655403 IWR655403 JGN655403 JQJ655403 KAF655403 KKB655403 KTX655403 LDT655403 LNP655403 LXL655403 MHH655403 MRD655403 NAZ655403 NKV655403 NUR655403 OEN655403 OOJ655403 OYF655403 PIB655403 PRX655403 QBT655403 QLP655403 QVL655403 RFH655403 RPD655403 RYZ655403 SIV655403 SSR655403 TCN655403 TMJ655403 TWF655403 UGB655403 UPX655403 UZT655403 VJP655403 VTL655403 WDH655403 WND655403 H720939 AR720939 KN720939 UJ720939 AEF720939 AOB720939 AXX720939 BHT720939 BRP720939 CBL720939 CLH720939 CVD720939 DEZ720939 DOV720939 DYR720939 EIN720939 ESJ720939 FCF720939 FMB720939 FVX720939 GFT720939 GPP720939 GZL720939 HJH720939 HTD720939 ICZ720939 IMV720939 IWR720939 JGN720939 JQJ720939 KAF720939 KKB720939 KTX720939 LDT720939 LNP720939 LXL720939 MHH720939 MRD720939 NAZ720939 NKV720939 NUR720939 OEN720939 OOJ720939 OYF720939 PIB720939 PRX720939 QBT720939 QLP720939 QVL720939 RFH720939 RPD720939 RYZ720939 SIV720939 SSR720939 TCN720939 TMJ720939 TWF720939 UGB720939 UPX720939 UZT720939 VJP720939 VTL720939 WDH720939 WND720939 H786475 AR786475 KN786475 UJ786475 AEF786475 AOB786475 AXX786475 BHT786475 BRP786475 CBL786475 CLH786475 CVD786475 DEZ786475 DOV786475 DYR786475 EIN786475 ESJ786475 FCF786475 FMB786475 FVX786475 GFT786475 GPP786475 GZL786475 HJH786475 HTD786475 ICZ786475 IMV786475 IWR786475 JGN786475 JQJ786475 KAF786475 KKB786475 KTX786475 LDT786475 LNP786475 LXL786475 MHH786475 MRD786475 NAZ786475 NKV786475 NUR786475 OEN786475 OOJ786475 OYF786475 PIB786475 PRX786475 QBT786475 QLP786475 QVL786475 RFH786475 RPD786475 RYZ786475 SIV786475 SSR786475 TCN786475 TMJ786475 TWF786475 UGB786475 UPX786475 UZT786475 VJP786475 VTL786475 WDH786475 WND786475 H852011 AR852011 KN852011 UJ852011 AEF852011 AOB852011 AXX852011 BHT852011 BRP852011 CBL852011 CLH852011 CVD852011 DEZ852011 DOV852011 DYR852011 EIN852011 ESJ852011 FCF852011 FMB852011 FVX852011 GFT852011 GPP852011 GZL852011 HJH852011 HTD852011 ICZ852011 IMV852011 IWR852011 JGN852011 JQJ852011 KAF852011 KKB852011 KTX852011 LDT852011 LNP852011 LXL852011 MHH852011 MRD852011 NAZ852011 NKV852011 NUR852011 OEN852011 OOJ852011 OYF852011 PIB852011 PRX852011 QBT852011 QLP852011 QVL852011 RFH852011 RPD852011 RYZ852011 SIV852011 SSR852011 TCN852011 TMJ852011 TWF852011 UGB852011 UPX852011 UZT852011 VJP852011 VTL852011 WDH852011 WND852011 H917547 AR917547 KN917547 UJ917547 AEF917547 AOB917547 AXX917547 BHT917547 BRP917547 CBL917547 CLH917547 CVD917547 DEZ917547 DOV917547 DYR917547 EIN917547 ESJ917547 FCF917547 FMB917547 FVX917547 GFT917547 GPP917547 GZL917547 HJH917547 HTD917547 ICZ917547 IMV917547 IWR917547 JGN917547 JQJ917547 KAF917547 KKB917547 KTX917547 LDT917547 LNP917547 LXL917547 MHH917547 MRD917547 NAZ917547 NKV917547 NUR917547 OEN917547 OOJ917547 OYF917547 PIB917547 PRX917547 QBT917547 QLP917547 QVL917547 RFH917547 RPD917547 RYZ917547 SIV917547 SSR917547 TCN917547 TMJ917547 TWF917547 UGB917547 UPX917547 UZT917547 VJP917547 VTL917547 WDH917547 WND917547 H983083 AR983083 KN983083 UJ983083 AEF983083 AOB983083 AXX983083 BHT983083 BRP983083 CBL983083 CLH983083 CVD983083 DEZ983083 DOV983083 DYR983083 EIN983083 ESJ983083 FCF983083 FMB983083 FVX983083 GFT983083 GPP983083 GZL983083 HJH983083 HTD983083 ICZ983083 IMV983083 IWR983083 JGN983083 JQJ983083 KAF983083 KKB983083 KTX983083 LDT983083 LNP983083 LXL983083 MHH983083 MRD983083 NAZ983083 NKV983083 NUR983083 OEN983083 OOJ983083 OYF983083 PIB983083 PRX983083 QBT983083 QLP983083 QVL983083 RFH983083 RPD983083 RYZ983083 SIV983083 SSR983083 TCN983083 TMJ983083 TWF983083 UGB983083 UPX983083 UZT983083 VJP983083 VTL983083">
      <formula1>0</formula1>
      <formula2>1</formula2>
    </dataValidation>
    <dataValidation type="custom" allowBlank="1" showInputMessage="1" showErrorMessage="1" errorTitle="Error" error="The percentage of eligible primary pupils for this factor cannot be negative or higher than 100%. Please insert the correct figure or leave the cell blank to use an LA Average." sqref="G29:H36 G39 H40 G43:H48 G68:H68">
      <formula1>AND(Opening_Date_Value&lt;DATE(2020,9,1),G29&gt;=0,G29&lt;=1)</formula1>
    </dataValidation>
  </dataValidations>
  <pageMargins left="0.7" right="0.7" top="0.75" bottom="0.75" header="0.3" footer="0.3"/>
  <pageSetup paperSize="8" scale="50" orientation="portrait"/>
  <headerFooter scaleWithDoc="1" alignWithMargins="0" differentFirst="0" differentOddEven="0"/>
  <drawing r:id="rId2"/>
  <extLst/>
</worksheet>
</file>

<file path=xl/worksheets/sheet8.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8"/>
  <dimension ref="A1:WXI158"/>
  <sheetViews>
    <sheetView topLeftCell="A1" showGridLines="0" showRowColHeaders="0" zoomScale="70" view="normal" workbookViewId="0">
      <pane xSplit="2" ySplit="3" topLeftCell="C4" activePane="bottomRight" state="frozen"/>
      <selection pane="bottomRight" activeCell="A3" sqref="A3"/>
    </sheetView>
  </sheetViews>
  <sheetFormatPr defaultColWidth="0" zeroHeight="true" defaultRowHeight="15"/>
  <cols>
    <col min="1" max="1" width="13.75390625" style="391" customWidth="1"/>
    <col min="2" max="2" width="43.375" style="389" bestFit="1" customWidth="1"/>
    <col min="3" max="3" width="15.00390625" style="389" customWidth="1"/>
    <col min="4" max="4" width="13.75390625" style="389" customWidth="1"/>
    <col min="5" max="10" width="12.00390625" style="389" customWidth="1"/>
    <col min="11" max="11" width="10.625" style="390" customWidth="1"/>
    <col min="12" max="12" width="12.00390625" style="390" bestFit="1" customWidth="1"/>
    <col min="13" max="13" width="10.75390625" style="390" customWidth="1"/>
    <col min="14" max="14" width="11.00390625" style="390" bestFit="1" customWidth="1"/>
    <col min="15" max="15" width="12.00390625" style="390" bestFit="1" customWidth="1"/>
    <col min="16" max="16" width="11.75390625" style="390" bestFit="1" customWidth="1"/>
    <col min="17" max="30" width="12.00390625" style="390" bestFit="1" customWidth="1"/>
    <col min="31" max="31" width="11.00390625" style="390" bestFit="1" customWidth="1"/>
    <col min="32" max="35" width="12.00390625" style="390" bestFit="1" customWidth="1"/>
    <col min="36" max="42" width="14.00390625" style="390" bestFit="1" customWidth="1"/>
    <col min="43" max="43" width="12.25390625" style="390" bestFit="1" customWidth="1"/>
    <col min="44" max="44" width="11.25390625" style="390" customWidth="1"/>
    <col min="45" max="45" width="9.00390625" style="390" customWidth="1"/>
    <col min="46" max="46" width="10.00390625" style="390" customWidth="1"/>
    <col min="47" max="47" width="23.25390625" style="390" customWidth="1"/>
    <col min="48" max="48" width="23.00390625" style="390" customWidth="1"/>
    <col min="49" max="49" width="9.00390625" style="390" customWidth="1"/>
    <col min="50" max="256" width="9.00390625" style="390" hidden="1" customWidth="1"/>
    <col min="257" max="257" width="13.75390625" style="390" hidden="1" customWidth="1"/>
    <col min="258" max="258" width="24.00390625" style="390" hidden="1" customWidth="1"/>
    <col min="259" max="259" width="15.00390625" style="390" hidden="1" customWidth="1"/>
    <col min="260" max="260" width="13.75390625" style="390" hidden="1" customWidth="1"/>
    <col min="261" max="265" width="12.00390625" style="390" hidden="1" customWidth="1"/>
    <col min="266" max="266" width="10.625" style="390" hidden="1" customWidth="1"/>
    <col min="267" max="267" width="12.00390625" style="390" hidden="1" customWidth="1"/>
    <col min="268" max="268" width="10.75390625" style="390" hidden="1" customWidth="1"/>
    <col min="269" max="269" width="11.00390625" style="390" hidden="1" customWidth="1"/>
    <col min="270" max="270" width="12.00390625" style="390" hidden="1" customWidth="1"/>
    <col min="271" max="271" width="11.75390625" style="390" hidden="1" customWidth="1"/>
    <col min="272" max="285" width="12.00390625" style="390" hidden="1" customWidth="1"/>
    <col min="286" max="286" width="11.00390625" style="390" hidden="1" customWidth="1"/>
    <col min="287" max="292" width="12.00390625" style="390" hidden="1" customWidth="1"/>
    <col min="293" max="296" width="14.00390625" style="390" hidden="1" customWidth="1"/>
    <col min="297" max="297" width="12.25390625" style="390" hidden="1" customWidth="1"/>
    <col min="298" max="298" width="11.25390625" style="390" hidden="1" customWidth="1"/>
    <col min="299" max="299" width="9.25390625" style="390" hidden="1" customWidth="1"/>
    <col min="300" max="302" width="9.00390625" style="390" hidden="1" customWidth="1"/>
    <col min="303" max="303" width="23.25390625" style="390" hidden="1" customWidth="1"/>
    <col min="304" max="304" width="23.00390625" style="390" hidden="1" customWidth="1"/>
    <col min="305" max="512" width="9.00390625" style="390" hidden="1" customWidth="1"/>
    <col min="513" max="513" width="13.75390625" style="390" hidden="1" customWidth="1"/>
    <col min="514" max="514" width="24.00390625" style="390" hidden="1" customWidth="1"/>
    <col min="515" max="515" width="15.00390625" style="390" hidden="1" customWidth="1"/>
    <col min="516" max="516" width="13.75390625" style="390" hidden="1" customWidth="1"/>
    <col min="517" max="521" width="12.00390625" style="390" hidden="1" customWidth="1"/>
    <col min="522" max="522" width="10.625" style="390" hidden="1" customWidth="1"/>
    <col min="523" max="523" width="12.00390625" style="390" hidden="1" customWidth="1"/>
    <col min="524" max="524" width="10.75390625" style="390" hidden="1" customWidth="1"/>
    <col min="525" max="525" width="11.00390625" style="390" hidden="1" customWidth="1"/>
    <col min="526" max="526" width="12.00390625" style="390" hidden="1" customWidth="1"/>
    <col min="527" max="527" width="11.75390625" style="390" hidden="1" customWidth="1"/>
    <col min="528" max="541" width="12.00390625" style="390" hidden="1" customWidth="1"/>
    <col min="542" max="542" width="11.00390625" style="390" hidden="1" customWidth="1"/>
    <col min="543" max="548" width="12.00390625" style="390" hidden="1" customWidth="1"/>
    <col min="549" max="552" width="14.00390625" style="390" hidden="1" customWidth="1"/>
    <col min="553" max="553" width="12.25390625" style="390" hidden="1" customWidth="1"/>
    <col min="554" max="554" width="11.25390625" style="390" hidden="1" customWidth="1"/>
    <col min="555" max="555" width="9.25390625" style="390" hidden="1" customWidth="1"/>
    <col min="556" max="558" width="9.00390625" style="390" hidden="1" customWidth="1"/>
    <col min="559" max="559" width="23.25390625" style="390" hidden="1" customWidth="1"/>
    <col min="560" max="560" width="23.00390625" style="390" hidden="1" customWidth="1"/>
    <col min="561" max="768" width="9.00390625" style="390" hidden="1" customWidth="1"/>
    <col min="769" max="769" width="13.75390625" style="390" hidden="1" customWidth="1"/>
    <col min="770" max="770" width="24.00390625" style="390" hidden="1" customWidth="1"/>
    <col min="771" max="771" width="15.00390625" style="390" hidden="1" customWidth="1"/>
    <col min="772" max="772" width="13.75390625" style="390" hidden="1" customWidth="1"/>
    <col min="773" max="777" width="12.00390625" style="390" hidden="1" customWidth="1"/>
    <col min="778" max="778" width="10.625" style="390" hidden="1" customWidth="1"/>
    <col min="779" max="779" width="12.00390625" style="390" hidden="1" customWidth="1"/>
    <col min="780" max="780" width="10.75390625" style="390" hidden="1" customWidth="1"/>
    <col min="781" max="781" width="11.00390625" style="390" hidden="1" customWidth="1"/>
    <col min="782" max="782" width="12.00390625" style="390" hidden="1" customWidth="1"/>
    <col min="783" max="783" width="11.75390625" style="390" hidden="1" customWidth="1"/>
    <col min="784" max="797" width="12.00390625" style="390" hidden="1" customWidth="1"/>
    <col min="798" max="798" width="11.00390625" style="390" hidden="1" customWidth="1"/>
    <col min="799" max="804" width="12.00390625" style="390" hidden="1" customWidth="1"/>
    <col min="805" max="808" width="14.00390625" style="390" hidden="1" customWidth="1"/>
    <col min="809" max="809" width="12.25390625" style="390" hidden="1" customWidth="1"/>
    <col min="810" max="810" width="11.25390625" style="390" hidden="1" customWidth="1"/>
    <col min="811" max="811" width="9.25390625" style="390" hidden="1" customWidth="1"/>
    <col min="812" max="814" width="9.00390625" style="390" hidden="1" customWidth="1"/>
    <col min="815" max="815" width="23.25390625" style="390" hidden="1" customWidth="1"/>
    <col min="816" max="816" width="23.00390625" style="390" hidden="1" customWidth="1"/>
    <col min="817" max="1024" width="9.00390625" style="390" hidden="1" customWidth="1"/>
    <col min="1025" max="1025" width="13.75390625" style="390" hidden="1" customWidth="1"/>
    <col min="1026" max="1026" width="24.00390625" style="390" hidden="1" customWidth="1"/>
    <col min="1027" max="1027" width="15.00390625" style="390" hidden="1" customWidth="1"/>
    <col min="1028" max="1028" width="13.75390625" style="390" hidden="1" customWidth="1"/>
    <col min="1029" max="1033" width="12.00390625" style="390" hidden="1" customWidth="1"/>
    <col min="1034" max="1034" width="10.625" style="390" hidden="1" customWidth="1"/>
    <col min="1035" max="1035" width="12.00390625" style="390" hidden="1" customWidth="1"/>
    <col min="1036" max="1036" width="10.75390625" style="390" hidden="1" customWidth="1"/>
    <col min="1037" max="1037" width="11.00390625" style="390" hidden="1" customWidth="1"/>
    <col min="1038" max="1038" width="12.00390625" style="390" hidden="1" customWidth="1"/>
    <col min="1039" max="1039" width="11.75390625" style="390" hidden="1" customWidth="1"/>
    <col min="1040" max="1053" width="12.00390625" style="390" hidden="1" customWidth="1"/>
    <col min="1054" max="1054" width="11.00390625" style="390" hidden="1" customWidth="1"/>
    <col min="1055" max="1060" width="12.00390625" style="390" hidden="1" customWidth="1"/>
    <col min="1061" max="1064" width="14.00390625" style="390" hidden="1" customWidth="1"/>
    <col min="1065" max="1065" width="12.25390625" style="390" hidden="1" customWidth="1"/>
    <col min="1066" max="1066" width="11.25390625" style="390" hidden="1" customWidth="1"/>
    <col min="1067" max="1067" width="9.25390625" style="390" hidden="1" customWidth="1"/>
    <col min="1068" max="1070" width="9.00390625" style="390" hidden="1" customWidth="1"/>
    <col min="1071" max="1071" width="23.25390625" style="390" hidden="1" customWidth="1"/>
    <col min="1072" max="1072" width="23.00390625" style="390" hidden="1" customWidth="1"/>
    <col min="1073" max="1280" width="9.00390625" style="390" hidden="1" customWidth="1"/>
    <col min="1281" max="1281" width="13.75390625" style="390" hidden="1" customWidth="1"/>
    <col min="1282" max="1282" width="24.00390625" style="390" hidden="1" customWidth="1"/>
    <col min="1283" max="1283" width="15.00390625" style="390" hidden="1" customWidth="1"/>
    <col min="1284" max="1284" width="13.75390625" style="390" hidden="1" customWidth="1"/>
    <col min="1285" max="1289" width="12.00390625" style="390" hidden="1" customWidth="1"/>
    <col min="1290" max="1290" width="10.625" style="390" hidden="1" customWidth="1"/>
    <col min="1291" max="1291" width="12.00390625" style="390" hidden="1" customWidth="1"/>
    <col min="1292" max="1292" width="10.75390625" style="390" hidden="1" customWidth="1"/>
    <col min="1293" max="1293" width="11.00390625" style="390" hidden="1" customWidth="1"/>
    <col min="1294" max="1294" width="12.00390625" style="390" hidden="1" customWidth="1"/>
    <col min="1295" max="1295" width="11.75390625" style="390" hidden="1" customWidth="1"/>
    <col min="1296" max="1309" width="12.00390625" style="390" hidden="1" customWidth="1"/>
    <col min="1310" max="1310" width="11.00390625" style="390" hidden="1" customWidth="1"/>
    <col min="1311" max="1316" width="12.00390625" style="390" hidden="1" customWidth="1"/>
    <col min="1317" max="1320" width="14.00390625" style="390" hidden="1" customWidth="1"/>
    <col min="1321" max="1321" width="12.25390625" style="390" hidden="1" customWidth="1"/>
    <col min="1322" max="1322" width="11.25390625" style="390" hidden="1" customWidth="1"/>
    <col min="1323" max="1323" width="9.25390625" style="390" hidden="1" customWidth="1"/>
    <col min="1324" max="1326" width="9.00390625" style="390" hidden="1" customWidth="1"/>
    <col min="1327" max="1327" width="23.25390625" style="390" hidden="1" customWidth="1"/>
    <col min="1328" max="1328" width="23.00390625" style="390" hidden="1" customWidth="1"/>
    <col min="1329" max="1536" width="9.00390625" style="390" hidden="1" customWidth="1"/>
    <col min="1537" max="1537" width="13.75390625" style="390" hidden="1" customWidth="1"/>
    <col min="1538" max="1538" width="24.00390625" style="390" hidden="1" customWidth="1"/>
    <col min="1539" max="1539" width="15.00390625" style="390" hidden="1" customWidth="1"/>
    <col min="1540" max="1540" width="13.75390625" style="390" hidden="1" customWidth="1"/>
    <col min="1541" max="1545" width="12.00390625" style="390" hidden="1" customWidth="1"/>
    <col min="1546" max="1546" width="10.625" style="390" hidden="1" customWidth="1"/>
    <col min="1547" max="1547" width="12.00390625" style="390" hidden="1" customWidth="1"/>
    <col min="1548" max="1548" width="10.75390625" style="390" hidden="1" customWidth="1"/>
    <col min="1549" max="1549" width="11.00390625" style="390" hidden="1" customWidth="1"/>
    <col min="1550" max="1550" width="12.00390625" style="390" hidden="1" customWidth="1"/>
    <col min="1551" max="1551" width="11.75390625" style="390" hidden="1" customWidth="1"/>
    <col min="1552" max="1565" width="12.00390625" style="390" hidden="1" customWidth="1"/>
    <col min="1566" max="1566" width="11.00390625" style="390" hidden="1" customWidth="1"/>
    <col min="1567" max="1572" width="12.00390625" style="390" hidden="1" customWidth="1"/>
    <col min="1573" max="1576" width="14.00390625" style="390" hidden="1" customWidth="1"/>
    <col min="1577" max="1577" width="12.25390625" style="390" hidden="1" customWidth="1"/>
    <col min="1578" max="1578" width="11.25390625" style="390" hidden="1" customWidth="1"/>
    <col min="1579" max="1579" width="9.25390625" style="390" hidden="1" customWidth="1"/>
    <col min="1580" max="1582" width="9.00390625" style="390" hidden="1" customWidth="1"/>
    <col min="1583" max="1583" width="23.25390625" style="390" hidden="1" customWidth="1"/>
    <col min="1584" max="1584" width="23.00390625" style="390" hidden="1" customWidth="1"/>
    <col min="1585" max="1792" width="9.00390625" style="390" hidden="1" customWidth="1"/>
    <col min="1793" max="1793" width="13.75390625" style="390" hidden="1" customWidth="1"/>
    <col min="1794" max="1794" width="24.00390625" style="390" hidden="1" customWidth="1"/>
    <col min="1795" max="1795" width="15.00390625" style="390" hidden="1" customWidth="1"/>
    <col min="1796" max="1796" width="13.75390625" style="390" hidden="1" customWidth="1"/>
    <col min="1797" max="1801" width="12.00390625" style="390" hidden="1" customWidth="1"/>
    <col min="1802" max="1802" width="10.625" style="390" hidden="1" customWidth="1"/>
    <col min="1803" max="1803" width="12.00390625" style="390" hidden="1" customWidth="1"/>
    <col min="1804" max="1804" width="10.75390625" style="390" hidden="1" customWidth="1"/>
    <col min="1805" max="1805" width="11.00390625" style="390" hidden="1" customWidth="1"/>
    <col min="1806" max="1806" width="12.00390625" style="390" hidden="1" customWidth="1"/>
    <col min="1807" max="1807" width="11.75390625" style="390" hidden="1" customWidth="1"/>
    <col min="1808" max="1821" width="12.00390625" style="390" hidden="1" customWidth="1"/>
    <col min="1822" max="1822" width="11.00390625" style="390" hidden="1" customWidth="1"/>
    <col min="1823" max="1828" width="12.00390625" style="390" hidden="1" customWidth="1"/>
    <col min="1829" max="1832" width="14.00390625" style="390" hidden="1" customWidth="1"/>
    <col min="1833" max="1833" width="12.25390625" style="390" hidden="1" customWidth="1"/>
    <col min="1834" max="1834" width="11.25390625" style="390" hidden="1" customWidth="1"/>
    <col min="1835" max="1835" width="9.25390625" style="390" hidden="1" customWidth="1"/>
    <col min="1836" max="1838" width="9.00390625" style="390" hidden="1" customWidth="1"/>
    <col min="1839" max="1839" width="23.25390625" style="390" hidden="1" customWidth="1"/>
    <col min="1840" max="1840" width="23.00390625" style="390" hidden="1" customWidth="1"/>
    <col min="1841" max="2048" width="9.00390625" style="390" hidden="1" customWidth="1"/>
    <col min="2049" max="2049" width="13.75390625" style="390" hidden="1" customWidth="1"/>
    <col min="2050" max="2050" width="24.00390625" style="390" hidden="1" customWidth="1"/>
    <col min="2051" max="2051" width="15.00390625" style="390" hidden="1" customWidth="1"/>
    <col min="2052" max="2052" width="13.75390625" style="390" hidden="1" customWidth="1"/>
    <col min="2053" max="2057" width="12.00390625" style="390" hidden="1" customWidth="1"/>
    <col min="2058" max="2058" width="10.625" style="390" hidden="1" customWidth="1"/>
    <col min="2059" max="2059" width="12.00390625" style="390" hidden="1" customWidth="1"/>
    <col min="2060" max="2060" width="10.75390625" style="390" hidden="1" customWidth="1"/>
    <col min="2061" max="2061" width="11.00390625" style="390" hidden="1" customWidth="1"/>
    <col min="2062" max="2062" width="12.00390625" style="390" hidden="1" customWidth="1"/>
    <col min="2063" max="2063" width="11.75390625" style="390" hidden="1" customWidth="1"/>
    <col min="2064" max="2077" width="12.00390625" style="390" hidden="1" customWidth="1"/>
    <col min="2078" max="2078" width="11.00390625" style="390" hidden="1" customWidth="1"/>
    <col min="2079" max="2084" width="12.00390625" style="390" hidden="1" customWidth="1"/>
    <col min="2085" max="2088" width="14.00390625" style="390" hidden="1" customWidth="1"/>
    <col min="2089" max="2089" width="12.25390625" style="390" hidden="1" customWidth="1"/>
    <col min="2090" max="2090" width="11.25390625" style="390" hidden="1" customWidth="1"/>
    <col min="2091" max="2091" width="9.25390625" style="390" hidden="1" customWidth="1"/>
    <col min="2092" max="2094" width="9.00390625" style="390" hidden="1" customWidth="1"/>
    <col min="2095" max="2095" width="23.25390625" style="390" hidden="1" customWidth="1"/>
    <col min="2096" max="2096" width="23.00390625" style="390" hidden="1" customWidth="1"/>
    <col min="2097" max="2304" width="9.00390625" style="390" hidden="1" customWidth="1"/>
    <col min="2305" max="2305" width="13.75390625" style="390" hidden="1" customWidth="1"/>
    <col min="2306" max="2306" width="24.00390625" style="390" hidden="1" customWidth="1"/>
    <col min="2307" max="2307" width="15.00390625" style="390" hidden="1" customWidth="1"/>
    <col min="2308" max="2308" width="13.75390625" style="390" hidden="1" customWidth="1"/>
    <col min="2309" max="2313" width="12.00390625" style="390" hidden="1" customWidth="1"/>
    <col min="2314" max="2314" width="10.625" style="390" hidden="1" customWidth="1"/>
    <col min="2315" max="2315" width="12.00390625" style="390" hidden="1" customWidth="1"/>
    <col min="2316" max="2316" width="10.75390625" style="390" hidden="1" customWidth="1"/>
    <col min="2317" max="2317" width="11.00390625" style="390" hidden="1" customWidth="1"/>
    <col min="2318" max="2318" width="12.00390625" style="390" hidden="1" customWidth="1"/>
    <col min="2319" max="2319" width="11.75390625" style="390" hidden="1" customWidth="1"/>
    <col min="2320" max="2333" width="12.00390625" style="390" hidden="1" customWidth="1"/>
    <col min="2334" max="2334" width="11.00390625" style="390" hidden="1" customWidth="1"/>
    <col min="2335" max="2340" width="12.00390625" style="390" hidden="1" customWidth="1"/>
    <col min="2341" max="2344" width="14.00390625" style="390" hidden="1" customWidth="1"/>
    <col min="2345" max="2345" width="12.25390625" style="390" hidden="1" customWidth="1"/>
    <col min="2346" max="2346" width="11.25390625" style="390" hidden="1" customWidth="1"/>
    <col min="2347" max="2347" width="9.25390625" style="390" hidden="1" customWidth="1"/>
    <col min="2348" max="2350" width="9.00390625" style="390" hidden="1" customWidth="1"/>
    <col min="2351" max="2351" width="23.25390625" style="390" hidden="1" customWidth="1"/>
    <col min="2352" max="2352" width="23.00390625" style="390" hidden="1" customWidth="1"/>
    <col min="2353" max="2560" width="9.00390625" style="390" hidden="1" customWidth="1"/>
    <col min="2561" max="2561" width="13.75390625" style="390" hidden="1" customWidth="1"/>
    <col min="2562" max="2562" width="24.00390625" style="390" hidden="1" customWidth="1"/>
    <col min="2563" max="2563" width="15.00390625" style="390" hidden="1" customWidth="1"/>
    <col min="2564" max="2564" width="13.75390625" style="390" hidden="1" customWidth="1"/>
    <col min="2565" max="2569" width="12.00390625" style="390" hidden="1" customWidth="1"/>
    <col min="2570" max="2570" width="10.625" style="390" hidden="1" customWidth="1"/>
    <col min="2571" max="2571" width="12.00390625" style="390" hidden="1" customWidth="1"/>
    <col min="2572" max="2572" width="10.75390625" style="390" hidden="1" customWidth="1"/>
    <col min="2573" max="2573" width="11.00390625" style="390" hidden="1" customWidth="1"/>
    <col min="2574" max="2574" width="12.00390625" style="390" hidden="1" customWidth="1"/>
    <col min="2575" max="2575" width="11.75390625" style="390" hidden="1" customWidth="1"/>
    <col min="2576" max="2589" width="12.00390625" style="390" hidden="1" customWidth="1"/>
    <col min="2590" max="2590" width="11.00390625" style="390" hidden="1" customWidth="1"/>
    <col min="2591" max="2596" width="12.00390625" style="390" hidden="1" customWidth="1"/>
    <col min="2597" max="2600" width="14.00390625" style="390" hidden="1" customWidth="1"/>
    <col min="2601" max="2601" width="12.25390625" style="390" hidden="1" customWidth="1"/>
    <col min="2602" max="2602" width="11.25390625" style="390" hidden="1" customWidth="1"/>
    <col min="2603" max="2603" width="9.25390625" style="390" hidden="1" customWidth="1"/>
    <col min="2604" max="2606" width="9.00390625" style="390" hidden="1" customWidth="1"/>
    <col min="2607" max="2607" width="23.25390625" style="390" hidden="1" customWidth="1"/>
    <col min="2608" max="2608" width="23.00390625" style="390" hidden="1" customWidth="1"/>
    <col min="2609" max="2816" width="9.00390625" style="390" hidden="1" customWidth="1"/>
    <col min="2817" max="2817" width="13.75390625" style="390" hidden="1" customWidth="1"/>
    <col min="2818" max="2818" width="24.00390625" style="390" hidden="1" customWidth="1"/>
    <col min="2819" max="2819" width="15.00390625" style="390" hidden="1" customWidth="1"/>
    <col min="2820" max="2820" width="13.75390625" style="390" hidden="1" customWidth="1"/>
    <col min="2821" max="2825" width="12.00390625" style="390" hidden="1" customWidth="1"/>
    <col min="2826" max="2826" width="10.625" style="390" hidden="1" customWidth="1"/>
    <col min="2827" max="2827" width="12.00390625" style="390" hidden="1" customWidth="1"/>
    <col min="2828" max="2828" width="10.75390625" style="390" hidden="1" customWidth="1"/>
    <col min="2829" max="2829" width="11.00390625" style="390" hidden="1" customWidth="1"/>
    <col min="2830" max="2830" width="12.00390625" style="390" hidden="1" customWidth="1"/>
    <col min="2831" max="2831" width="11.75390625" style="390" hidden="1" customWidth="1"/>
    <col min="2832" max="2845" width="12.00390625" style="390" hidden="1" customWidth="1"/>
    <col min="2846" max="2846" width="11.00390625" style="390" hidden="1" customWidth="1"/>
    <col min="2847" max="2852" width="12.00390625" style="390" hidden="1" customWidth="1"/>
    <col min="2853" max="2856" width="14.00390625" style="390" hidden="1" customWidth="1"/>
    <col min="2857" max="2857" width="12.25390625" style="390" hidden="1" customWidth="1"/>
    <col min="2858" max="2858" width="11.25390625" style="390" hidden="1" customWidth="1"/>
    <col min="2859" max="2859" width="9.25390625" style="390" hidden="1" customWidth="1"/>
    <col min="2860" max="2862" width="9.00390625" style="390" hidden="1" customWidth="1"/>
    <col min="2863" max="2863" width="23.25390625" style="390" hidden="1" customWidth="1"/>
    <col min="2864" max="2864" width="23.00390625" style="390" hidden="1" customWidth="1"/>
    <col min="2865" max="3072" width="9.00390625" style="390" hidden="1" customWidth="1"/>
    <col min="3073" max="3073" width="13.75390625" style="390" hidden="1" customWidth="1"/>
    <col min="3074" max="3074" width="24.00390625" style="390" hidden="1" customWidth="1"/>
    <col min="3075" max="3075" width="15.00390625" style="390" hidden="1" customWidth="1"/>
    <col min="3076" max="3076" width="13.75390625" style="390" hidden="1" customWidth="1"/>
    <col min="3077" max="3081" width="12.00390625" style="390" hidden="1" customWidth="1"/>
    <col min="3082" max="3082" width="10.625" style="390" hidden="1" customWidth="1"/>
    <col min="3083" max="3083" width="12.00390625" style="390" hidden="1" customWidth="1"/>
    <col min="3084" max="3084" width="10.75390625" style="390" hidden="1" customWidth="1"/>
    <col min="3085" max="3085" width="11.00390625" style="390" hidden="1" customWidth="1"/>
    <col min="3086" max="3086" width="12.00390625" style="390" hidden="1" customWidth="1"/>
    <col min="3087" max="3087" width="11.75390625" style="390" hidden="1" customWidth="1"/>
    <col min="3088" max="3101" width="12.00390625" style="390" hidden="1" customWidth="1"/>
    <col min="3102" max="3102" width="11.00390625" style="390" hidden="1" customWidth="1"/>
    <col min="3103" max="3108" width="12.00390625" style="390" hidden="1" customWidth="1"/>
    <col min="3109" max="3112" width="14.00390625" style="390" hidden="1" customWidth="1"/>
    <col min="3113" max="3113" width="12.25390625" style="390" hidden="1" customWidth="1"/>
    <col min="3114" max="3114" width="11.25390625" style="390" hidden="1" customWidth="1"/>
    <col min="3115" max="3115" width="9.25390625" style="390" hidden="1" customWidth="1"/>
    <col min="3116" max="3118" width="9.00390625" style="390" hidden="1" customWidth="1"/>
    <col min="3119" max="3119" width="23.25390625" style="390" hidden="1" customWidth="1"/>
    <col min="3120" max="3120" width="23.00390625" style="390" hidden="1" customWidth="1"/>
    <col min="3121" max="3328" width="9.00390625" style="390" hidden="1" customWidth="1"/>
    <col min="3329" max="3329" width="13.75390625" style="390" hidden="1" customWidth="1"/>
    <col min="3330" max="3330" width="24.00390625" style="390" hidden="1" customWidth="1"/>
    <col min="3331" max="3331" width="15.00390625" style="390" hidden="1" customWidth="1"/>
    <col min="3332" max="3332" width="13.75390625" style="390" hidden="1" customWidth="1"/>
    <col min="3333" max="3337" width="12.00390625" style="390" hidden="1" customWidth="1"/>
    <col min="3338" max="3338" width="10.625" style="390" hidden="1" customWidth="1"/>
    <col min="3339" max="3339" width="12.00390625" style="390" hidden="1" customWidth="1"/>
    <col min="3340" max="3340" width="10.75390625" style="390" hidden="1" customWidth="1"/>
    <col min="3341" max="3341" width="11.00390625" style="390" hidden="1" customWidth="1"/>
    <col min="3342" max="3342" width="12.00390625" style="390" hidden="1" customWidth="1"/>
    <col min="3343" max="3343" width="11.75390625" style="390" hidden="1" customWidth="1"/>
    <col min="3344" max="3357" width="12.00390625" style="390" hidden="1" customWidth="1"/>
    <col min="3358" max="3358" width="11.00390625" style="390" hidden="1" customWidth="1"/>
    <col min="3359" max="3364" width="12.00390625" style="390" hidden="1" customWidth="1"/>
    <col min="3365" max="3368" width="14.00390625" style="390" hidden="1" customWidth="1"/>
    <col min="3369" max="3369" width="12.25390625" style="390" hidden="1" customWidth="1"/>
    <col min="3370" max="3370" width="11.25390625" style="390" hidden="1" customWidth="1"/>
    <col min="3371" max="3371" width="9.25390625" style="390" hidden="1" customWidth="1"/>
    <col min="3372" max="3374" width="9.00390625" style="390" hidden="1" customWidth="1"/>
    <col min="3375" max="3375" width="23.25390625" style="390" hidden="1" customWidth="1"/>
    <col min="3376" max="3376" width="23.00390625" style="390" hidden="1" customWidth="1"/>
    <col min="3377" max="3584" width="9.00390625" style="390" hidden="1" customWidth="1"/>
    <col min="3585" max="3585" width="13.75390625" style="390" hidden="1" customWidth="1"/>
    <col min="3586" max="3586" width="24.00390625" style="390" hidden="1" customWidth="1"/>
    <col min="3587" max="3587" width="15.00390625" style="390" hidden="1" customWidth="1"/>
    <col min="3588" max="3588" width="13.75390625" style="390" hidden="1" customWidth="1"/>
    <col min="3589" max="3593" width="12.00390625" style="390" hidden="1" customWidth="1"/>
    <col min="3594" max="3594" width="10.625" style="390" hidden="1" customWidth="1"/>
    <col min="3595" max="3595" width="12.00390625" style="390" hidden="1" customWidth="1"/>
    <col min="3596" max="3596" width="10.75390625" style="390" hidden="1" customWidth="1"/>
    <col min="3597" max="3597" width="11.00390625" style="390" hidden="1" customWidth="1"/>
    <col min="3598" max="3598" width="12.00390625" style="390" hidden="1" customWidth="1"/>
    <col min="3599" max="3599" width="11.75390625" style="390" hidden="1" customWidth="1"/>
    <col min="3600" max="3613" width="12.00390625" style="390" hidden="1" customWidth="1"/>
    <col min="3614" max="3614" width="11.00390625" style="390" hidden="1" customWidth="1"/>
    <col min="3615" max="3620" width="12.00390625" style="390" hidden="1" customWidth="1"/>
    <col min="3621" max="3624" width="14.00390625" style="390" hidden="1" customWidth="1"/>
    <col min="3625" max="3625" width="12.25390625" style="390" hidden="1" customWidth="1"/>
    <col min="3626" max="3626" width="11.25390625" style="390" hidden="1" customWidth="1"/>
    <col min="3627" max="3627" width="9.25390625" style="390" hidden="1" customWidth="1"/>
    <col min="3628" max="3630" width="9.00390625" style="390" hidden="1" customWidth="1"/>
    <col min="3631" max="3631" width="23.25390625" style="390" hidden="1" customWidth="1"/>
    <col min="3632" max="3632" width="23.00390625" style="390" hidden="1" customWidth="1"/>
    <col min="3633" max="3840" width="9.00390625" style="390" hidden="1" customWidth="1"/>
    <col min="3841" max="3841" width="13.75390625" style="390" hidden="1" customWidth="1"/>
    <col min="3842" max="3842" width="24.00390625" style="390" hidden="1" customWidth="1"/>
    <col min="3843" max="3843" width="15.00390625" style="390" hidden="1" customWidth="1"/>
    <col min="3844" max="3844" width="13.75390625" style="390" hidden="1" customWidth="1"/>
    <col min="3845" max="3849" width="12.00390625" style="390" hidden="1" customWidth="1"/>
    <col min="3850" max="3850" width="10.625" style="390" hidden="1" customWidth="1"/>
    <col min="3851" max="3851" width="12.00390625" style="390" hidden="1" customWidth="1"/>
    <col min="3852" max="3852" width="10.75390625" style="390" hidden="1" customWidth="1"/>
    <col min="3853" max="3853" width="11.00390625" style="390" hidden="1" customWidth="1"/>
    <col min="3854" max="3854" width="12.00390625" style="390" hidden="1" customWidth="1"/>
    <col min="3855" max="3855" width="11.75390625" style="390" hidden="1" customWidth="1"/>
    <col min="3856" max="3869" width="12.00390625" style="390" hidden="1" customWidth="1"/>
    <col min="3870" max="3870" width="11.00390625" style="390" hidden="1" customWidth="1"/>
    <col min="3871" max="3876" width="12.00390625" style="390" hidden="1" customWidth="1"/>
    <col min="3877" max="3880" width="14.00390625" style="390" hidden="1" customWidth="1"/>
    <col min="3881" max="3881" width="12.25390625" style="390" hidden="1" customWidth="1"/>
    <col min="3882" max="3882" width="11.25390625" style="390" hidden="1" customWidth="1"/>
    <col min="3883" max="3883" width="9.25390625" style="390" hidden="1" customWidth="1"/>
    <col min="3884" max="3886" width="9.00390625" style="390" hidden="1" customWidth="1"/>
    <col min="3887" max="3887" width="23.25390625" style="390" hidden="1" customWidth="1"/>
    <col min="3888" max="3888" width="23.00390625" style="390" hidden="1" customWidth="1"/>
    <col min="3889" max="4096" width="9.00390625" style="390" hidden="1" customWidth="1"/>
    <col min="4097" max="4097" width="13.75390625" style="390" hidden="1" customWidth="1"/>
    <col min="4098" max="4098" width="24.00390625" style="390" hidden="1" customWidth="1"/>
    <col min="4099" max="4099" width="15.00390625" style="390" hidden="1" customWidth="1"/>
    <col min="4100" max="4100" width="13.75390625" style="390" hidden="1" customWidth="1"/>
    <col min="4101" max="4105" width="12.00390625" style="390" hidden="1" customWidth="1"/>
    <col min="4106" max="4106" width="10.625" style="390" hidden="1" customWidth="1"/>
    <col min="4107" max="4107" width="12.00390625" style="390" hidden="1" customWidth="1"/>
    <col min="4108" max="4108" width="10.75390625" style="390" hidden="1" customWidth="1"/>
    <col min="4109" max="4109" width="11.00390625" style="390" hidden="1" customWidth="1"/>
    <col min="4110" max="4110" width="12.00390625" style="390" hidden="1" customWidth="1"/>
    <col min="4111" max="4111" width="11.75390625" style="390" hidden="1" customWidth="1"/>
    <col min="4112" max="4125" width="12.00390625" style="390" hidden="1" customWidth="1"/>
    <col min="4126" max="4126" width="11.00390625" style="390" hidden="1" customWidth="1"/>
    <col min="4127" max="4132" width="12.00390625" style="390" hidden="1" customWidth="1"/>
    <col min="4133" max="4136" width="14.00390625" style="390" hidden="1" customWidth="1"/>
    <col min="4137" max="4137" width="12.25390625" style="390" hidden="1" customWidth="1"/>
    <col min="4138" max="4138" width="11.25390625" style="390" hidden="1" customWidth="1"/>
    <col min="4139" max="4139" width="9.25390625" style="390" hidden="1" customWidth="1"/>
    <col min="4140" max="4142" width="9.00390625" style="390" hidden="1" customWidth="1"/>
    <col min="4143" max="4143" width="23.25390625" style="390" hidden="1" customWidth="1"/>
    <col min="4144" max="4144" width="23.00390625" style="390" hidden="1" customWidth="1"/>
    <col min="4145" max="4352" width="9.00390625" style="390" hidden="1" customWidth="1"/>
    <col min="4353" max="4353" width="13.75390625" style="390" hidden="1" customWidth="1"/>
    <col min="4354" max="4354" width="24.00390625" style="390" hidden="1" customWidth="1"/>
    <col min="4355" max="4355" width="15.00390625" style="390" hidden="1" customWidth="1"/>
    <col min="4356" max="4356" width="13.75390625" style="390" hidden="1" customWidth="1"/>
    <col min="4357" max="4361" width="12.00390625" style="390" hidden="1" customWidth="1"/>
    <col min="4362" max="4362" width="10.625" style="390" hidden="1" customWidth="1"/>
    <col min="4363" max="4363" width="12.00390625" style="390" hidden="1" customWidth="1"/>
    <col min="4364" max="4364" width="10.75390625" style="390" hidden="1" customWidth="1"/>
    <col min="4365" max="4365" width="11.00390625" style="390" hidden="1" customWidth="1"/>
    <col min="4366" max="4366" width="12.00390625" style="390" hidden="1" customWidth="1"/>
    <col min="4367" max="4367" width="11.75390625" style="390" hidden="1" customWidth="1"/>
    <col min="4368" max="4381" width="12.00390625" style="390" hidden="1" customWidth="1"/>
    <col min="4382" max="4382" width="11.00390625" style="390" hidden="1" customWidth="1"/>
    <col min="4383" max="4388" width="12.00390625" style="390" hidden="1" customWidth="1"/>
    <col min="4389" max="4392" width="14.00390625" style="390" hidden="1" customWidth="1"/>
    <col min="4393" max="4393" width="12.25390625" style="390" hidden="1" customWidth="1"/>
    <col min="4394" max="4394" width="11.25390625" style="390" hidden="1" customWidth="1"/>
    <col min="4395" max="4395" width="9.25390625" style="390" hidden="1" customWidth="1"/>
    <col min="4396" max="4398" width="9.00390625" style="390" hidden="1" customWidth="1"/>
    <col min="4399" max="4399" width="23.25390625" style="390" hidden="1" customWidth="1"/>
    <col min="4400" max="4400" width="23.00390625" style="390" hidden="1" customWidth="1"/>
    <col min="4401" max="4608" width="9.00390625" style="390" hidden="1" customWidth="1"/>
    <col min="4609" max="4609" width="13.75390625" style="390" hidden="1" customWidth="1"/>
    <col min="4610" max="4610" width="24.00390625" style="390" hidden="1" customWidth="1"/>
    <col min="4611" max="4611" width="15.00390625" style="390" hidden="1" customWidth="1"/>
    <col min="4612" max="4612" width="13.75390625" style="390" hidden="1" customWidth="1"/>
    <col min="4613" max="4617" width="12.00390625" style="390" hidden="1" customWidth="1"/>
    <col min="4618" max="4618" width="10.625" style="390" hidden="1" customWidth="1"/>
    <col min="4619" max="4619" width="12.00390625" style="390" hidden="1" customWidth="1"/>
    <col min="4620" max="4620" width="10.75390625" style="390" hidden="1" customWidth="1"/>
    <col min="4621" max="4621" width="11.00390625" style="390" hidden="1" customWidth="1"/>
    <col min="4622" max="4622" width="12.00390625" style="390" hidden="1" customWidth="1"/>
    <col min="4623" max="4623" width="11.75390625" style="390" hidden="1" customWidth="1"/>
    <col min="4624" max="4637" width="12.00390625" style="390" hidden="1" customWidth="1"/>
    <col min="4638" max="4638" width="11.00390625" style="390" hidden="1" customWidth="1"/>
    <col min="4639" max="4644" width="12.00390625" style="390" hidden="1" customWidth="1"/>
    <col min="4645" max="4648" width="14.00390625" style="390" hidden="1" customWidth="1"/>
    <col min="4649" max="4649" width="12.25390625" style="390" hidden="1" customWidth="1"/>
    <col min="4650" max="4650" width="11.25390625" style="390" hidden="1" customWidth="1"/>
    <col min="4651" max="4651" width="9.25390625" style="390" hidden="1" customWidth="1"/>
    <col min="4652" max="4654" width="9.00390625" style="390" hidden="1" customWidth="1"/>
    <col min="4655" max="4655" width="23.25390625" style="390" hidden="1" customWidth="1"/>
    <col min="4656" max="4656" width="23.00390625" style="390" hidden="1" customWidth="1"/>
    <col min="4657" max="4864" width="9.00390625" style="390" hidden="1" customWidth="1"/>
    <col min="4865" max="4865" width="13.75390625" style="390" hidden="1" customWidth="1"/>
    <col min="4866" max="4866" width="24.00390625" style="390" hidden="1" customWidth="1"/>
    <col min="4867" max="4867" width="15.00390625" style="390" hidden="1" customWidth="1"/>
    <col min="4868" max="4868" width="13.75390625" style="390" hidden="1" customWidth="1"/>
    <col min="4869" max="4873" width="12.00390625" style="390" hidden="1" customWidth="1"/>
    <col min="4874" max="4874" width="10.625" style="390" hidden="1" customWidth="1"/>
    <col min="4875" max="4875" width="12.00390625" style="390" hidden="1" customWidth="1"/>
    <col min="4876" max="4876" width="10.75390625" style="390" hidden="1" customWidth="1"/>
    <col min="4877" max="4877" width="11.00390625" style="390" hidden="1" customWidth="1"/>
    <col min="4878" max="4878" width="12.00390625" style="390" hidden="1" customWidth="1"/>
    <col min="4879" max="4879" width="11.75390625" style="390" hidden="1" customWidth="1"/>
    <col min="4880" max="4893" width="12.00390625" style="390" hidden="1" customWidth="1"/>
    <col min="4894" max="4894" width="11.00390625" style="390" hidden="1" customWidth="1"/>
    <col min="4895" max="4900" width="12.00390625" style="390" hidden="1" customWidth="1"/>
    <col min="4901" max="4904" width="14.00390625" style="390" hidden="1" customWidth="1"/>
    <col min="4905" max="4905" width="12.25390625" style="390" hidden="1" customWidth="1"/>
    <col min="4906" max="4906" width="11.25390625" style="390" hidden="1" customWidth="1"/>
    <col min="4907" max="4907" width="9.25390625" style="390" hidden="1" customWidth="1"/>
    <col min="4908" max="4910" width="9.00390625" style="390" hidden="1" customWidth="1"/>
    <col min="4911" max="4911" width="23.25390625" style="390" hidden="1" customWidth="1"/>
    <col min="4912" max="4912" width="23.00390625" style="390" hidden="1" customWidth="1"/>
    <col min="4913" max="5120" width="9.00390625" style="390" hidden="1" customWidth="1"/>
    <col min="5121" max="5121" width="13.75390625" style="390" hidden="1" customWidth="1"/>
    <col min="5122" max="5122" width="24.00390625" style="390" hidden="1" customWidth="1"/>
    <col min="5123" max="5123" width="15.00390625" style="390" hidden="1" customWidth="1"/>
    <col min="5124" max="5124" width="13.75390625" style="390" hidden="1" customWidth="1"/>
    <col min="5125" max="5129" width="12.00390625" style="390" hidden="1" customWidth="1"/>
    <col min="5130" max="5130" width="10.625" style="390" hidden="1" customWidth="1"/>
    <col min="5131" max="5131" width="12.00390625" style="390" hidden="1" customWidth="1"/>
    <col min="5132" max="5132" width="10.75390625" style="390" hidden="1" customWidth="1"/>
    <col min="5133" max="5133" width="11.00390625" style="390" hidden="1" customWidth="1"/>
    <col min="5134" max="5134" width="12.00390625" style="390" hidden="1" customWidth="1"/>
    <col min="5135" max="5135" width="11.75390625" style="390" hidden="1" customWidth="1"/>
    <col min="5136" max="5149" width="12.00390625" style="390" hidden="1" customWidth="1"/>
    <col min="5150" max="5150" width="11.00390625" style="390" hidden="1" customWidth="1"/>
    <col min="5151" max="5156" width="12.00390625" style="390" hidden="1" customWidth="1"/>
    <col min="5157" max="5160" width="14.00390625" style="390" hidden="1" customWidth="1"/>
    <col min="5161" max="5161" width="12.25390625" style="390" hidden="1" customWidth="1"/>
    <col min="5162" max="5162" width="11.25390625" style="390" hidden="1" customWidth="1"/>
    <col min="5163" max="5163" width="9.25390625" style="390" hidden="1" customWidth="1"/>
    <col min="5164" max="5166" width="9.00390625" style="390" hidden="1" customWidth="1"/>
    <col min="5167" max="5167" width="23.25390625" style="390" hidden="1" customWidth="1"/>
    <col min="5168" max="5168" width="23.00390625" style="390" hidden="1" customWidth="1"/>
    <col min="5169" max="5376" width="9.00390625" style="390" hidden="1" customWidth="1"/>
    <col min="5377" max="5377" width="13.75390625" style="390" hidden="1" customWidth="1"/>
    <col min="5378" max="5378" width="24.00390625" style="390" hidden="1" customWidth="1"/>
    <col min="5379" max="5379" width="15.00390625" style="390" hidden="1" customWidth="1"/>
    <col min="5380" max="5380" width="13.75390625" style="390" hidden="1" customWidth="1"/>
    <col min="5381" max="5385" width="12.00390625" style="390" hidden="1" customWidth="1"/>
    <col min="5386" max="5386" width="10.625" style="390" hidden="1" customWidth="1"/>
    <col min="5387" max="5387" width="12.00390625" style="390" hidden="1" customWidth="1"/>
    <col min="5388" max="5388" width="10.75390625" style="390" hidden="1" customWidth="1"/>
    <col min="5389" max="5389" width="11.00390625" style="390" hidden="1" customWidth="1"/>
    <col min="5390" max="5390" width="12.00390625" style="390" hidden="1" customWidth="1"/>
    <col min="5391" max="5391" width="11.75390625" style="390" hidden="1" customWidth="1"/>
    <col min="5392" max="5405" width="12.00390625" style="390" hidden="1" customWidth="1"/>
    <col min="5406" max="5406" width="11.00390625" style="390" hidden="1" customWidth="1"/>
    <col min="5407" max="5412" width="12.00390625" style="390" hidden="1" customWidth="1"/>
    <col min="5413" max="5416" width="14.00390625" style="390" hidden="1" customWidth="1"/>
    <col min="5417" max="5417" width="12.25390625" style="390" hidden="1" customWidth="1"/>
    <col min="5418" max="5418" width="11.25390625" style="390" hidden="1" customWidth="1"/>
    <col min="5419" max="5419" width="9.25390625" style="390" hidden="1" customWidth="1"/>
    <col min="5420" max="5422" width="9.00390625" style="390" hidden="1" customWidth="1"/>
    <col min="5423" max="5423" width="23.25390625" style="390" hidden="1" customWidth="1"/>
    <col min="5424" max="5424" width="23.00390625" style="390" hidden="1" customWidth="1"/>
    <col min="5425" max="5632" width="9.00390625" style="390" hidden="1" customWidth="1"/>
    <col min="5633" max="5633" width="13.75390625" style="390" hidden="1" customWidth="1"/>
    <col min="5634" max="5634" width="24.00390625" style="390" hidden="1" customWidth="1"/>
    <col min="5635" max="5635" width="15.00390625" style="390" hidden="1" customWidth="1"/>
    <col min="5636" max="5636" width="13.75390625" style="390" hidden="1" customWidth="1"/>
    <col min="5637" max="5641" width="12.00390625" style="390" hidden="1" customWidth="1"/>
    <col min="5642" max="5642" width="10.625" style="390" hidden="1" customWidth="1"/>
    <col min="5643" max="5643" width="12.00390625" style="390" hidden="1" customWidth="1"/>
    <col min="5644" max="5644" width="10.75390625" style="390" hidden="1" customWidth="1"/>
    <col min="5645" max="5645" width="11.00390625" style="390" hidden="1" customWidth="1"/>
    <col min="5646" max="5646" width="12.00390625" style="390" hidden="1" customWidth="1"/>
    <col min="5647" max="5647" width="11.75390625" style="390" hidden="1" customWidth="1"/>
    <col min="5648" max="5661" width="12.00390625" style="390" hidden="1" customWidth="1"/>
    <col min="5662" max="5662" width="11.00390625" style="390" hidden="1" customWidth="1"/>
    <col min="5663" max="5668" width="12.00390625" style="390" hidden="1" customWidth="1"/>
    <col min="5669" max="5672" width="14.00390625" style="390" hidden="1" customWidth="1"/>
    <col min="5673" max="5673" width="12.25390625" style="390" hidden="1" customWidth="1"/>
    <col min="5674" max="5674" width="11.25390625" style="390" hidden="1" customWidth="1"/>
    <col min="5675" max="5675" width="9.25390625" style="390" hidden="1" customWidth="1"/>
    <col min="5676" max="5678" width="9.00390625" style="390" hidden="1" customWidth="1"/>
    <col min="5679" max="5679" width="23.25390625" style="390" hidden="1" customWidth="1"/>
    <col min="5680" max="5680" width="23.00390625" style="390" hidden="1" customWidth="1"/>
    <col min="5681" max="5888" width="9.00390625" style="390" hidden="1" customWidth="1"/>
    <col min="5889" max="5889" width="13.75390625" style="390" hidden="1" customWidth="1"/>
    <col min="5890" max="5890" width="24.00390625" style="390" hidden="1" customWidth="1"/>
    <col min="5891" max="5891" width="15.00390625" style="390" hidden="1" customWidth="1"/>
    <col min="5892" max="5892" width="13.75390625" style="390" hidden="1" customWidth="1"/>
    <col min="5893" max="5897" width="12.00390625" style="390" hidden="1" customWidth="1"/>
    <col min="5898" max="5898" width="10.625" style="390" hidden="1" customWidth="1"/>
    <col min="5899" max="5899" width="12.00390625" style="390" hidden="1" customWidth="1"/>
    <col min="5900" max="5900" width="10.75390625" style="390" hidden="1" customWidth="1"/>
    <col min="5901" max="5901" width="11.00390625" style="390" hidden="1" customWidth="1"/>
    <col min="5902" max="5902" width="12.00390625" style="390" hidden="1" customWidth="1"/>
    <col min="5903" max="5903" width="11.75390625" style="390" hidden="1" customWidth="1"/>
    <col min="5904" max="5917" width="12.00390625" style="390" hidden="1" customWidth="1"/>
    <col min="5918" max="5918" width="11.00390625" style="390" hidden="1" customWidth="1"/>
    <col min="5919" max="5924" width="12.00390625" style="390" hidden="1" customWidth="1"/>
    <col min="5925" max="5928" width="14.00390625" style="390" hidden="1" customWidth="1"/>
    <col min="5929" max="5929" width="12.25390625" style="390" hidden="1" customWidth="1"/>
    <col min="5930" max="5930" width="11.25390625" style="390" hidden="1" customWidth="1"/>
    <col min="5931" max="5931" width="9.25390625" style="390" hidden="1" customWidth="1"/>
    <col min="5932" max="5934" width="9.00390625" style="390" hidden="1" customWidth="1"/>
    <col min="5935" max="5935" width="23.25390625" style="390" hidden="1" customWidth="1"/>
    <col min="5936" max="5936" width="23.00390625" style="390" hidden="1" customWidth="1"/>
    <col min="5937" max="6144" width="9.00390625" style="390" hidden="1" customWidth="1"/>
    <col min="6145" max="6145" width="13.75390625" style="390" hidden="1" customWidth="1"/>
    <col min="6146" max="6146" width="24.00390625" style="390" hidden="1" customWidth="1"/>
    <col min="6147" max="6147" width="15.00390625" style="390" hidden="1" customWidth="1"/>
    <col min="6148" max="6148" width="13.75390625" style="390" hidden="1" customWidth="1"/>
    <col min="6149" max="6153" width="12.00390625" style="390" hidden="1" customWidth="1"/>
    <col min="6154" max="6154" width="10.625" style="390" hidden="1" customWidth="1"/>
    <col min="6155" max="6155" width="12.00390625" style="390" hidden="1" customWidth="1"/>
    <col min="6156" max="6156" width="10.75390625" style="390" hidden="1" customWidth="1"/>
    <col min="6157" max="6157" width="11.00390625" style="390" hidden="1" customWidth="1"/>
    <col min="6158" max="6158" width="12.00390625" style="390" hidden="1" customWidth="1"/>
    <col min="6159" max="6159" width="11.75390625" style="390" hidden="1" customWidth="1"/>
    <col min="6160" max="6173" width="12.00390625" style="390" hidden="1" customWidth="1"/>
    <col min="6174" max="6174" width="11.00390625" style="390" hidden="1" customWidth="1"/>
    <col min="6175" max="6180" width="12.00390625" style="390" hidden="1" customWidth="1"/>
    <col min="6181" max="6184" width="14.00390625" style="390" hidden="1" customWidth="1"/>
    <col min="6185" max="6185" width="12.25390625" style="390" hidden="1" customWidth="1"/>
    <col min="6186" max="6186" width="11.25390625" style="390" hidden="1" customWidth="1"/>
    <col min="6187" max="6187" width="9.25390625" style="390" hidden="1" customWidth="1"/>
    <col min="6188" max="6190" width="9.00390625" style="390" hidden="1" customWidth="1"/>
    <col min="6191" max="6191" width="23.25390625" style="390" hidden="1" customWidth="1"/>
    <col min="6192" max="6192" width="23.00390625" style="390" hidden="1" customWidth="1"/>
    <col min="6193" max="6400" width="9.00390625" style="390" hidden="1" customWidth="1"/>
    <col min="6401" max="6401" width="13.75390625" style="390" hidden="1" customWidth="1"/>
    <col min="6402" max="6402" width="24.00390625" style="390" hidden="1" customWidth="1"/>
    <col min="6403" max="6403" width="15.00390625" style="390" hidden="1" customWidth="1"/>
    <col min="6404" max="6404" width="13.75390625" style="390" hidden="1" customWidth="1"/>
    <col min="6405" max="6409" width="12.00390625" style="390" hidden="1" customWidth="1"/>
    <col min="6410" max="6410" width="10.625" style="390" hidden="1" customWidth="1"/>
    <col min="6411" max="6411" width="12.00390625" style="390" hidden="1" customWidth="1"/>
    <col min="6412" max="6412" width="10.75390625" style="390" hidden="1" customWidth="1"/>
    <col min="6413" max="6413" width="11.00390625" style="390" hidden="1" customWidth="1"/>
    <col min="6414" max="6414" width="12.00390625" style="390" hidden="1" customWidth="1"/>
    <col min="6415" max="6415" width="11.75390625" style="390" hidden="1" customWidth="1"/>
    <col min="6416" max="6429" width="12.00390625" style="390" hidden="1" customWidth="1"/>
    <col min="6430" max="6430" width="11.00390625" style="390" hidden="1" customWidth="1"/>
    <col min="6431" max="6436" width="12.00390625" style="390" hidden="1" customWidth="1"/>
    <col min="6437" max="6440" width="14.00390625" style="390" hidden="1" customWidth="1"/>
    <col min="6441" max="6441" width="12.25390625" style="390" hidden="1" customWidth="1"/>
    <col min="6442" max="6442" width="11.25390625" style="390" hidden="1" customWidth="1"/>
    <col min="6443" max="6443" width="9.25390625" style="390" hidden="1" customWidth="1"/>
    <col min="6444" max="6446" width="9.00390625" style="390" hidden="1" customWidth="1"/>
    <col min="6447" max="6447" width="23.25390625" style="390" hidden="1" customWidth="1"/>
    <col min="6448" max="6448" width="23.00390625" style="390" hidden="1" customWidth="1"/>
    <col min="6449" max="6656" width="9.00390625" style="390" hidden="1" customWidth="1"/>
    <col min="6657" max="6657" width="13.75390625" style="390" hidden="1" customWidth="1"/>
    <col min="6658" max="6658" width="24.00390625" style="390" hidden="1" customWidth="1"/>
    <col min="6659" max="6659" width="15.00390625" style="390" hidden="1" customWidth="1"/>
    <col min="6660" max="6660" width="13.75390625" style="390" hidden="1" customWidth="1"/>
    <col min="6661" max="6665" width="12.00390625" style="390" hidden="1" customWidth="1"/>
    <col min="6666" max="6666" width="10.625" style="390" hidden="1" customWidth="1"/>
    <col min="6667" max="6667" width="12.00390625" style="390" hidden="1" customWidth="1"/>
    <col min="6668" max="6668" width="10.75390625" style="390" hidden="1" customWidth="1"/>
    <col min="6669" max="6669" width="11.00390625" style="390" hidden="1" customWidth="1"/>
    <col min="6670" max="6670" width="12.00390625" style="390" hidden="1" customWidth="1"/>
    <col min="6671" max="6671" width="11.75390625" style="390" hidden="1" customWidth="1"/>
    <col min="6672" max="6685" width="12.00390625" style="390" hidden="1" customWidth="1"/>
    <col min="6686" max="6686" width="11.00390625" style="390" hidden="1" customWidth="1"/>
    <col min="6687" max="6692" width="12.00390625" style="390" hidden="1" customWidth="1"/>
    <col min="6693" max="6696" width="14.00390625" style="390" hidden="1" customWidth="1"/>
    <col min="6697" max="6697" width="12.25390625" style="390" hidden="1" customWidth="1"/>
    <col min="6698" max="6698" width="11.25390625" style="390" hidden="1" customWidth="1"/>
    <col min="6699" max="6699" width="9.25390625" style="390" hidden="1" customWidth="1"/>
    <col min="6700" max="6702" width="9.00390625" style="390" hidden="1" customWidth="1"/>
    <col min="6703" max="6703" width="23.25390625" style="390" hidden="1" customWidth="1"/>
    <col min="6704" max="6704" width="23.00390625" style="390" hidden="1" customWidth="1"/>
    <col min="6705" max="6912" width="9.00390625" style="390" hidden="1" customWidth="1"/>
    <col min="6913" max="6913" width="13.75390625" style="390" hidden="1" customWidth="1"/>
    <col min="6914" max="6914" width="24.00390625" style="390" hidden="1" customWidth="1"/>
    <col min="6915" max="6915" width="15.00390625" style="390" hidden="1" customWidth="1"/>
    <col min="6916" max="6916" width="13.75390625" style="390" hidden="1" customWidth="1"/>
    <col min="6917" max="6921" width="12.00390625" style="390" hidden="1" customWidth="1"/>
    <col min="6922" max="6922" width="10.625" style="390" hidden="1" customWidth="1"/>
    <col min="6923" max="6923" width="12.00390625" style="390" hidden="1" customWidth="1"/>
    <col min="6924" max="6924" width="10.75390625" style="390" hidden="1" customWidth="1"/>
    <col min="6925" max="6925" width="11.00390625" style="390" hidden="1" customWidth="1"/>
    <col min="6926" max="6926" width="12.00390625" style="390" hidden="1" customWidth="1"/>
    <col min="6927" max="6927" width="11.75390625" style="390" hidden="1" customWidth="1"/>
    <col min="6928" max="6941" width="12.00390625" style="390" hidden="1" customWidth="1"/>
    <col min="6942" max="6942" width="11.00390625" style="390" hidden="1" customWidth="1"/>
    <col min="6943" max="6948" width="12.00390625" style="390" hidden="1" customWidth="1"/>
    <col min="6949" max="6952" width="14.00390625" style="390" hidden="1" customWidth="1"/>
    <col min="6953" max="6953" width="12.25390625" style="390" hidden="1" customWidth="1"/>
    <col min="6954" max="6954" width="11.25390625" style="390" hidden="1" customWidth="1"/>
    <col min="6955" max="6955" width="9.25390625" style="390" hidden="1" customWidth="1"/>
    <col min="6956" max="6958" width="9.00390625" style="390" hidden="1" customWidth="1"/>
    <col min="6959" max="6959" width="23.25390625" style="390" hidden="1" customWidth="1"/>
    <col min="6960" max="6960" width="23.00390625" style="390" hidden="1" customWidth="1"/>
    <col min="6961" max="7168" width="9.00390625" style="390" hidden="1" customWidth="1"/>
    <col min="7169" max="7169" width="13.75390625" style="390" hidden="1" customWidth="1"/>
    <col min="7170" max="7170" width="24.00390625" style="390" hidden="1" customWidth="1"/>
    <col min="7171" max="7171" width="15.00390625" style="390" hidden="1" customWidth="1"/>
    <col min="7172" max="7172" width="13.75390625" style="390" hidden="1" customWidth="1"/>
    <col min="7173" max="7177" width="12.00390625" style="390" hidden="1" customWidth="1"/>
    <col min="7178" max="7178" width="10.625" style="390" hidden="1" customWidth="1"/>
    <col min="7179" max="7179" width="12.00390625" style="390" hidden="1" customWidth="1"/>
    <col min="7180" max="7180" width="10.75390625" style="390" hidden="1" customWidth="1"/>
    <col min="7181" max="7181" width="11.00390625" style="390" hidden="1" customWidth="1"/>
    <col min="7182" max="7182" width="12.00390625" style="390" hidden="1" customWidth="1"/>
    <col min="7183" max="7183" width="11.75390625" style="390" hidden="1" customWidth="1"/>
    <col min="7184" max="7197" width="12.00390625" style="390" hidden="1" customWidth="1"/>
    <col min="7198" max="7198" width="11.00390625" style="390" hidden="1" customWidth="1"/>
    <col min="7199" max="7204" width="12.00390625" style="390" hidden="1" customWidth="1"/>
    <col min="7205" max="7208" width="14.00390625" style="390" hidden="1" customWidth="1"/>
    <col min="7209" max="7209" width="12.25390625" style="390" hidden="1" customWidth="1"/>
    <col min="7210" max="7210" width="11.25390625" style="390" hidden="1" customWidth="1"/>
    <col min="7211" max="7211" width="9.25390625" style="390" hidden="1" customWidth="1"/>
    <col min="7212" max="7214" width="9.00390625" style="390" hidden="1" customWidth="1"/>
    <col min="7215" max="7215" width="23.25390625" style="390" hidden="1" customWidth="1"/>
    <col min="7216" max="7216" width="23.00390625" style="390" hidden="1" customWidth="1"/>
    <col min="7217" max="7424" width="9.00390625" style="390" hidden="1" customWidth="1"/>
    <col min="7425" max="7425" width="13.75390625" style="390" hidden="1" customWidth="1"/>
    <col min="7426" max="7426" width="24.00390625" style="390" hidden="1" customWidth="1"/>
    <col min="7427" max="7427" width="15.00390625" style="390" hidden="1" customWidth="1"/>
    <col min="7428" max="7428" width="13.75390625" style="390" hidden="1" customWidth="1"/>
    <col min="7429" max="7433" width="12.00390625" style="390" hidden="1" customWidth="1"/>
    <col min="7434" max="7434" width="10.625" style="390" hidden="1" customWidth="1"/>
    <col min="7435" max="7435" width="12.00390625" style="390" hidden="1" customWidth="1"/>
    <col min="7436" max="7436" width="10.75390625" style="390" hidden="1" customWidth="1"/>
    <col min="7437" max="7437" width="11.00390625" style="390" hidden="1" customWidth="1"/>
    <col min="7438" max="7438" width="12.00390625" style="390" hidden="1" customWidth="1"/>
    <col min="7439" max="7439" width="11.75390625" style="390" hidden="1" customWidth="1"/>
    <col min="7440" max="7453" width="12.00390625" style="390" hidden="1" customWidth="1"/>
    <col min="7454" max="7454" width="11.00390625" style="390" hidden="1" customWidth="1"/>
    <col min="7455" max="7460" width="12.00390625" style="390" hidden="1" customWidth="1"/>
    <col min="7461" max="7464" width="14.00390625" style="390" hidden="1" customWidth="1"/>
    <col min="7465" max="7465" width="12.25390625" style="390" hidden="1" customWidth="1"/>
    <col min="7466" max="7466" width="11.25390625" style="390" hidden="1" customWidth="1"/>
    <col min="7467" max="7467" width="9.25390625" style="390" hidden="1" customWidth="1"/>
    <col min="7468" max="7470" width="9.00390625" style="390" hidden="1" customWidth="1"/>
    <col min="7471" max="7471" width="23.25390625" style="390" hidden="1" customWidth="1"/>
    <col min="7472" max="7472" width="23.00390625" style="390" hidden="1" customWidth="1"/>
    <col min="7473" max="7680" width="9.00390625" style="390" hidden="1" customWidth="1"/>
    <col min="7681" max="7681" width="13.75390625" style="390" hidden="1" customWidth="1"/>
    <col min="7682" max="7682" width="24.00390625" style="390" hidden="1" customWidth="1"/>
    <col min="7683" max="7683" width="15.00390625" style="390" hidden="1" customWidth="1"/>
    <col min="7684" max="7684" width="13.75390625" style="390" hidden="1" customWidth="1"/>
    <col min="7685" max="7689" width="12.00390625" style="390" hidden="1" customWidth="1"/>
    <col min="7690" max="7690" width="10.625" style="390" hidden="1" customWidth="1"/>
    <col min="7691" max="7691" width="12.00390625" style="390" hidden="1" customWidth="1"/>
    <col min="7692" max="7692" width="10.75390625" style="390" hidden="1" customWidth="1"/>
    <col min="7693" max="7693" width="11.00390625" style="390" hidden="1" customWidth="1"/>
    <col min="7694" max="7694" width="12.00390625" style="390" hidden="1" customWidth="1"/>
    <col min="7695" max="7695" width="11.75390625" style="390" hidden="1" customWidth="1"/>
    <col min="7696" max="7709" width="12.00390625" style="390" hidden="1" customWidth="1"/>
    <col min="7710" max="7710" width="11.00390625" style="390" hidden="1" customWidth="1"/>
    <col min="7711" max="7716" width="12.00390625" style="390" hidden="1" customWidth="1"/>
    <col min="7717" max="7720" width="14.00390625" style="390" hidden="1" customWidth="1"/>
    <col min="7721" max="7721" width="12.25390625" style="390" hidden="1" customWidth="1"/>
    <col min="7722" max="7722" width="11.25390625" style="390" hidden="1" customWidth="1"/>
    <col min="7723" max="7723" width="9.25390625" style="390" hidden="1" customWidth="1"/>
    <col min="7724" max="7726" width="9.00390625" style="390" hidden="1" customWidth="1"/>
    <col min="7727" max="7727" width="23.25390625" style="390" hidden="1" customWidth="1"/>
    <col min="7728" max="7728" width="23.00390625" style="390" hidden="1" customWidth="1"/>
    <col min="7729" max="7936" width="9.00390625" style="390" hidden="1" customWidth="1"/>
    <col min="7937" max="7937" width="13.75390625" style="390" hidden="1" customWidth="1"/>
    <col min="7938" max="7938" width="24.00390625" style="390" hidden="1" customWidth="1"/>
    <col min="7939" max="7939" width="15.00390625" style="390" hidden="1" customWidth="1"/>
    <col min="7940" max="7940" width="13.75390625" style="390" hidden="1" customWidth="1"/>
    <col min="7941" max="7945" width="12.00390625" style="390" hidden="1" customWidth="1"/>
    <col min="7946" max="7946" width="10.625" style="390" hidden="1" customWidth="1"/>
    <col min="7947" max="7947" width="12.00390625" style="390" hidden="1" customWidth="1"/>
    <col min="7948" max="7948" width="10.75390625" style="390" hidden="1" customWidth="1"/>
    <col min="7949" max="7949" width="11.00390625" style="390" hidden="1" customWidth="1"/>
    <col min="7950" max="7950" width="12.00390625" style="390" hidden="1" customWidth="1"/>
    <col min="7951" max="7951" width="11.75390625" style="390" hidden="1" customWidth="1"/>
    <col min="7952" max="7965" width="12.00390625" style="390" hidden="1" customWidth="1"/>
    <col min="7966" max="7966" width="11.00390625" style="390" hidden="1" customWidth="1"/>
    <col min="7967" max="7972" width="12.00390625" style="390" hidden="1" customWidth="1"/>
    <col min="7973" max="7976" width="14.00390625" style="390" hidden="1" customWidth="1"/>
    <col min="7977" max="7977" width="12.25390625" style="390" hidden="1" customWidth="1"/>
    <col min="7978" max="7978" width="11.25390625" style="390" hidden="1" customWidth="1"/>
    <col min="7979" max="7979" width="9.25390625" style="390" hidden="1" customWidth="1"/>
    <col min="7980" max="7982" width="9.00390625" style="390" hidden="1" customWidth="1"/>
    <col min="7983" max="7983" width="23.25390625" style="390" hidden="1" customWidth="1"/>
    <col min="7984" max="7984" width="23.00390625" style="390" hidden="1" customWidth="1"/>
    <col min="7985" max="8192" width="9.00390625" style="390" hidden="1" customWidth="1"/>
    <col min="8193" max="8193" width="13.75390625" style="390" hidden="1" customWidth="1"/>
    <col min="8194" max="8194" width="24.00390625" style="390" hidden="1" customWidth="1"/>
    <col min="8195" max="8195" width="15.00390625" style="390" hidden="1" customWidth="1"/>
    <col min="8196" max="8196" width="13.75390625" style="390" hidden="1" customWidth="1"/>
    <col min="8197" max="8201" width="12.00390625" style="390" hidden="1" customWidth="1"/>
    <col min="8202" max="8202" width="10.625" style="390" hidden="1" customWidth="1"/>
    <col min="8203" max="8203" width="12.00390625" style="390" hidden="1" customWidth="1"/>
    <col min="8204" max="8204" width="10.75390625" style="390" hidden="1" customWidth="1"/>
    <col min="8205" max="8205" width="11.00390625" style="390" hidden="1" customWidth="1"/>
    <col min="8206" max="8206" width="12.00390625" style="390" hidden="1" customWidth="1"/>
    <col min="8207" max="8207" width="11.75390625" style="390" hidden="1" customWidth="1"/>
    <col min="8208" max="8221" width="12.00390625" style="390" hidden="1" customWidth="1"/>
    <col min="8222" max="8222" width="11.00390625" style="390" hidden="1" customWidth="1"/>
    <col min="8223" max="8228" width="12.00390625" style="390" hidden="1" customWidth="1"/>
    <col min="8229" max="8232" width="14.00390625" style="390" hidden="1" customWidth="1"/>
    <col min="8233" max="8233" width="12.25390625" style="390" hidden="1" customWidth="1"/>
    <col min="8234" max="8234" width="11.25390625" style="390" hidden="1" customWidth="1"/>
    <col min="8235" max="8235" width="9.25390625" style="390" hidden="1" customWidth="1"/>
    <col min="8236" max="8238" width="9.00390625" style="390" hidden="1" customWidth="1"/>
    <col min="8239" max="8239" width="23.25390625" style="390" hidden="1" customWidth="1"/>
    <col min="8240" max="8240" width="23.00390625" style="390" hidden="1" customWidth="1"/>
    <col min="8241" max="8448" width="9.00390625" style="390" hidden="1" customWidth="1"/>
    <col min="8449" max="8449" width="13.75390625" style="390" hidden="1" customWidth="1"/>
    <col min="8450" max="8450" width="24.00390625" style="390" hidden="1" customWidth="1"/>
    <col min="8451" max="8451" width="15.00390625" style="390" hidden="1" customWidth="1"/>
    <col min="8452" max="8452" width="13.75390625" style="390" hidden="1" customWidth="1"/>
    <col min="8453" max="8457" width="12.00390625" style="390" hidden="1" customWidth="1"/>
    <col min="8458" max="8458" width="10.625" style="390" hidden="1" customWidth="1"/>
    <col min="8459" max="8459" width="12.00390625" style="390" hidden="1" customWidth="1"/>
    <col min="8460" max="8460" width="10.75390625" style="390" hidden="1" customWidth="1"/>
    <col min="8461" max="8461" width="11.00390625" style="390" hidden="1" customWidth="1"/>
    <col min="8462" max="8462" width="12.00390625" style="390" hidden="1" customWidth="1"/>
    <col min="8463" max="8463" width="11.75390625" style="390" hidden="1" customWidth="1"/>
    <col min="8464" max="8477" width="12.00390625" style="390" hidden="1" customWidth="1"/>
    <col min="8478" max="8478" width="11.00390625" style="390" hidden="1" customWidth="1"/>
    <col min="8479" max="8484" width="12.00390625" style="390" hidden="1" customWidth="1"/>
    <col min="8485" max="8488" width="14.00390625" style="390" hidden="1" customWidth="1"/>
    <col min="8489" max="8489" width="12.25390625" style="390" hidden="1" customWidth="1"/>
    <col min="8490" max="8490" width="11.25390625" style="390" hidden="1" customWidth="1"/>
    <col min="8491" max="8491" width="9.25390625" style="390" hidden="1" customWidth="1"/>
    <col min="8492" max="8494" width="9.00390625" style="390" hidden="1" customWidth="1"/>
    <col min="8495" max="8495" width="23.25390625" style="390" hidden="1" customWidth="1"/>
    <col min="8496" max="8496" width="23.00390625" style="390" hidden="1" customWidth="1"/>
    <col min="8497" max="8704" width="9.00390625" style="390" hidden="1" customWidth="1"/>
    <col min="8705" max="8705" width="13.75390625" style="390" hidden="1" customWidth="1"/>
    <col min="8706" max="8706" width="24.00390625" style="390" hidden="1" customWidth="1"/>
    <col min="8707" max="8707" width="15.00390625" style="390" hidden="1" customWidth="1"/>
    <col min="8708" max="8708" width="13.75390625" style="390" hidden="1" customWidth="1"/>
    <col min="8709" max="8713" width="12.00390625" style="390" hidden="1" customWidth="1"/>
    <col min="8714" max="8714" width="10.625" style="390" hidden="1" customWidth="1"/>
    <col min="8715" max="8715" width="12.00390625" style="390" hidden="1" customWidth="1"/>
    <col min="8716" max="8716" width="10.75390625" style="390" hidden="1" customWidth="1"/>
    <col min="8717" max="8717" width="11.00390625" style="390" hidden="1" customWidth="1"/>
    <col min="8718" max="8718" width="12.00390625" style="390" hidden="1" customWidth="1"/>
    <col min="8719" max="8719" width="11.75390625" style="390" hidden="1" customWidth="1"/>
    <col min="8720" max="8733" width="12.00390625" style="390" hidden="1" customWidth="1"/>
    <col min="8734" max="8734" width="11.00390625" style="390" hidden="1" customWidth="1"/>
    <col min="8735" max="8740" width="12.00390625" style="390" hidden="1" customWidth="1"/>
    <col min="8741" max="8744" width="14.00390625" style="390" hidden="1" customWidth="1"/>
    <col min="8745" max="8745" width="12.25390625" style="390" hidden="1" customWidth="1"/>
    <col min="8746" max="8746" width="11.25390625" style="390" hidden="1" customWidth="1"/>
    <col min="8747" max="8747" width="9.25390625" style="390" hidden="1" customWidth="1"/>
    <col min="8748" max="8750" width="9.00390625" style="390" hidden="1" customWidth="1"/>
    <col min="8751" max="8751" width="23.25390625" style="390" hidden="1" customWidth="1"/>
    <col min="8752" max="8752" width="23.00390625" style="390" hidden="1" customWidth="1"/>
    <col min="8753" max="8960" width="9.00390625" style="390" hidden="1" customWidth="1"/>
    <col min="8961" max="8961" width="13.75390625" style="390" hidden="1" customWidth="1"/>
    <col min="8962" max="8962" width="24.00390625" style="390" hidden="1" customWidth="1"/>
    <col min="8963" max="8963" width="15.00390625" style="390" hidden="1" customWidth="1"/>
    <col min="8964" max="8964" width="13.75390625" style="390" hidden="1" customWidth="1"/>
    <col min="8965" max="8969" width="12.00390625" style="390" hidden="1" customWidth="1"/>
    <col min="8970" max="8970" width="10.625" style="390" hidden="1" customWidth="1"/>
    <col min="8971" max="8971" width="12.00390625" style="390" hidden="1" customWidth="1"/>
    <col min="8972" max="8972" width="10.75390625" style="390" hidden="1" customWidth="1"/>
    <col min="8973" max="8973" width="11.00390625" style="390" hidden="1" customWidth="1"/>
    <col min="8974" max="8974" width="12.00390625" style="390" hidden="1" customWidth="1"/>
    <col min="8975" max="8975" width="11.75390625" style="390" hidden="1" customWidth="1"/>
    <col min="8976" max="8989" width="12.00390625" style="390" hidden="1" customWidth="1"/>
    <col min="8990" max="8990" width="11.00390625" style="390" hidden="1" customWidth="1"/>
    <col min="8991" max="8996" width="12.00390625" style="390" hidden="1" customWidth="1"/>
    <col min="8997" max="9000" width="14.00390625" style="390" hidden="1" customWidth="1"/>
    <col min="9001" max="9001" width="12.25390625" style="390" hidden="1" customWidth="1"/>
    <col min="9002" max="9002" width="11.25390625" style="390" hidden="1" customWidth="1"/>
    <col min="9003" max="9003" width="9.25390625" style="390" hidden="1" customWidth="1"/>
    <col min="9004" max="9006" width="9.00390625" style="390" hidden="1" customWidth="1"/>
    <col min="9007" max="9007" width="23.25390625" style="390" hidden="1" customWidth="1"/>
    <col min="9008" max="9008" width="23.00390625" style="390" hidden="1" customWidth="1"/>
    <col min="9009" max="9216" width="9.00390625" style="390" hidden="1" customWidth="1"/>
    <col min="9217" max="9217" width="13.75390625" style="390" hidden="1" customWidth="1"/>
    <col min="9218" max="9218" width="24.00390625" style="390" hidden="1" customWidth="1"/>
    <col min="9219" max="9219" width="15.00390625" style="390" hidden="1" customWidth="1"/>
    <col min="9220" max="9220" width="13.75390625" style="390" hidden="1" customWidth="1"/>
    <col min="9221" max="9225" width="12.00390625" style="390" hidden="1" customWidth="1"/>
    <col min="9226" max="9226" width="10.625" style="390" hidden="1" customWidth="1"/>
    <col min="9227" max="9227" width="12.00390625" style="390" hidden="1" customWidth="1"/>
    <col min="9228" max="9228" width="10.75390625" style="390" hidden="1" customWidth="1"/>
    <col min="9229" max="9229" width="11.00390625" style="390" hidden="1" customWidth="1"/>
    <col min="9230" max="9230" width="12.00390625" style="390" hidden="1" customWidth="1"/>
    <col min="9231" max="9231" width="11.75390625" style="390" hidden="1" customWidth="1"/>
    <col min="9232" max="9245" width="12.00390625" style="390" hidden="1" customWidth="1"/>
    <col min="9246" max="9246" width="11.00390625" style="390" hidden="1" customWidth="1"/>
    <col min="9247" max="9252" width="12.00390625" style="390" hidden="1" customWidth="1"/>
    <col min="9253" max="9256" width="14.00390625" style="390" hidden="1" customWidth="1"/>
    <col min="9257" max="9257" width="12.25390625" style="390" hidden="1" customWidth="1"/>
    <col min="9258" max="9258" width="11.25390625" style="390" hidden="1" customWidth="1"/>
    <col min="9259" max="9259" width="9.25390625" style="390" hidden="1" customWidth="1"/>
    <col min="9260" max="9262" width="9.00390625" style="390" hidden="1" customWidth="1"/>
    <col min="9263" max="9263" width="23.25390625" style="390" hidden="1" customWidth="1"/>
    <col min="9264" max="9264" width="23.00390625" style="390" hidden="1" customWidth="1"/>
    <col min="9265" max="9472" width="9.00390625" style="390" hidden="1" customWidth="1"/>
    <col min="9473" max="9473" width="13.75390625" style="390" hidden="1" customWidth="1"/>
    <col min="9474" max="9474" width="24.00390625" style="390" hidden="1" customWidth="1"/>
    <col min="9475" max="9475" width="15.00390625" style="390" hidden="1" customWidth="1"/>
    <col min="9476" max="9476" width="13.75390625" style="390" hidden="1" customWidth="1"/>
    <col min="9477" max="9481" width="12.00390625" style="390" hidden="1" customWidth="1"/>
    <col min="9482" max="9482" width="10.625" style="390" hidden="1" customWidth="1"/>
    <col min="9483" max="9483" width="12.00390625" style="390" hidden="1" customWidth="1"/>
    <col min="9484" max="9484" width="10.75390625" style="390" hidden="1" customWidth="1"/>
    <col min="9485" max="9485" width="11.00390625" style="390" hidden="1" customWidth="1"/>
    <col min="9486" max="9486" width="12.00390625" style="390" hidden="1" customWidth="1"/>
    <col min="9487" max="9487" width="11.75390625" style="390" hidden="1" customWidth="1"/>
    <col min="9488" max="9501" width="12.00390625" style="390" hidden="1" customWidth="1"/>
    <col min="9502" max="9502" width="11.00390625" style="390" hidden="1" customWidth="1"/>
    <col min="9503" max="9508" width="12.00390625" style="390" hidden="1" customWidth="1"/>
    <col min="9509" max="9512" width="14.00390625" style="390" hidden="1" customWidth="1"/>
    <col min="9513" max="9513" width="12.25390625" style="390" hidden="1" customWidth="1"/>
    <col min="9514" max="9514" width="11.25390625" style="390" hidden="1" customWidth="1"/>
    <col min="9515" max="9515" width="9.25390625" style="390" hidden="1" customWidth="1"/>
    <col min="9516" max="9518" width="9.00390625" style="390" hidden="1" customWidth="1"/>
    <col min="9519" max="9519" width="23.25390625" style="390" hidden="1" customWidth="1"/>
    <col min="9520" max="9520" width="23.00390625" style="390" hidden="1" customWidth="1"/>
    <col min="9521" max="9728" width="9.00390625" style="390" hidden="1" customWidth="1"/>
    <col min="9729" max="9729" width="13.75390625" style="390" hidden="1" customWidth="1"/>
    <col min="9730" max="9730" width="24.00390625" style="390" hidden="1" customWidth="1"/>
    <col min="9731" max="9731" width="15.00390625" style="390" hidden="1" customWidth="1"/>
    <col min="9732" max="9732" width="13.75390625" style="390" hidden="1" customWidth="1"/>
    <col min="9733" max="9737" width="12.00390625" style="390" hidden="1" customWidth="1"/>
    <col min="9738" max="9738" width="10.625" style="390" hidden="1" customWidth="1"/>
    <col min="9739" max="9739" width="12.00390625" style="390" hidden="1" customWidth="1"/>
    <col min="9740" max="9740" width="10.75390625" style="390" hidden="1" customWidth="1"/>
    <col min="9741" max="9741" width="11.00390625" style="390" hidden="1" customWidth="1"/>
    <col min="9742" max="9742" width="12.00390625" style="390" hidden="1" customWidth="1"/>
    <col min="9743" max="9743" width="11.75390625" style="390" hidden="1" customWidth="1"/>
    <col min="9744" max="9757" width="12.00390625" style="390" hidden="1" customWidth="1"/>
    <col min="9758" max="9758" width="11.00390625" style="390" hidden="1" customWidth="1"/>
    <col min="9759" max="9764" width="12.00390625" style="390" hidden="1" customWidth="1"/>
    <col min="9765" max="9768" width="14.00390625" style="390" hidden="1" customWidth="1"/>
    <col min="9769" max="9769" width="12.25390625" style="390" hidden="1" customWidth="1"/>
    <col min="9770" max="9770" width="11.25390625" style="390" hidden="1" customWidth="1"/>
    <col min="9771" max="9771" width="9.25390625" style="390" hidden="1" customWidth="1"/>
    <col min="9772" max="9774" width="9.00390625" style="390" hidden="1" customWidth="1"/>
    <col min="9775" max="9775" width="23.25390625" style="390" hidden="1" customWidth="1"/>
    <col min="9776" max="9776" width="23.00390625" style="390" hidden="1" customWidth="1"/>
    <col min="9777" max="9984" width="9.00390625" style="390" hidden="1" customWidth="1"/>
    <col min="9985" max="9985" width="13.75390625" style="390" hidden="1" customWidth="1"/>
    <col min="9986" max="9986" width="24.00390625" style="390" hidden="1" customWidth="1"/>
    <col min="9987" max="9987" width="15.00390625" style="390" hidden="1" customWidth="1"/>
    <col min="9988" max="9988" width="13.75390625" style="390" hidden="1" customWidth="1"/>
    <col min="9989" max="9993" width="12.00390625" style="390" hidden="1" customWidth="1"/>
    <col min="9994" max="9994" width="10.625" style="390" hidden="1" customWidth="1"/>
    <col min="9995" max="9995" width="12.00390625" style="390" hidden="1" customWidth="1"/>
    <col min="9996" max="9996" width="10.75390625" style="390" hidden="1" customWidth="1"/>
    <col min="9997" max="9997" width="11.00390625" style="390" hidden="1" customWidth="1"/>
    <col min="9998" max="9998" width="12.00390625" style="390" hidden="1" customWidth="1"/>
    <col min="9999" max="9999" width="11.75390625" style="390" hidden="1" customWidth="1"/>
    <col min="10000" max="10013" width="12.00390625" style="390" hidden="1" customWidth="1"/>
    <col min="10014" max="10014" width="11.00390625" style="390" hidden="1" customWidth="1"/>
    <col min="10015" max="10020" width="12.00390625" style="390" hidden="1" customWidth="1"/>
    <col min="10021" max="10024" width="14.00390625" style="390" hidden="1" customWidth="1"/>
    <col min="10025" max="10025" width="12.25390625" style="390" hidden="1" customWidth="1"/>
    <col min="10026" max="10026" width="11.25390625" style="390" hidden="1" customWidth="1"/>
    <col min="10027" max="10027" width="9.25390625" style="390" hidden="1" customWidth="1"/>
    <col min="10028" max="10030" width="9.00390625" style="390" hidden="1" customWidth="1"/>
    <col min="10031" max="10031" width="23.25390625" style="390" hidden="1" customWidth="1"/>
    <col min="10032" max="10032" width="23.00390625" style="390" hidden="1" customWidth="1"/>
    <col min="10033" max="10240" width="9.00390625" style="390" hidden="1" customWidth="1"/>
    <col min="10241" max="10241" width="13.75390625" style="390" hidden="1" customWidth="1"/>
    <col min="10242" max="10242" width="24.00390625" style="390" hidden="1" customWidth="1"/>
    <col min="10243" max="10243" width="15.00390625" style="390" hidden="1" customWidth="1"/>
    <col min="10244" max="10244" width="13.75390625" style="390" hidden="1" customWidth="1"/>
    <col min="10245" max="10249" width="12.00390625" style="390" hidden="1" customWidth="1"/>
    <col min="10250" max="10250" width="10.625" style="390" hidden="1" customWidth="1"/>
    <col min="10251" max="10251" width="12.00390625" style="390" hidden="1" customWidth="1"/>
    <col min="10252" max="10252" width="10.75390625" style="390" hidden="1" customWidth="1"/>
    <col min="10253" max="10253" width="11.00390625" style="390" hidden="1" customWidth="1"/>
    <col min="10254" max="10254" width="12.00390625" style="390" hidden="1" customWidth="1"/>
    <col min="10255" max="10255" width="11.75390625" style="390" hidden="1" customWidth="1"/>
    <col min="10256" max="10269" width="12.00390625" style="390" hidden="1" customWidth="1"/>
    <col min="10270" max="10270" width="11.00390625" style="390" hidden="1" customWidth="1"/>
    <col min="10271" max="10276" width="12.00390625" style="390" hidden="1" customWidth="1"/>
    <col min="10277" max="10280" width="14.00390625" style="390" hidden="1" customWidth="1"/>
    <col min="10281" max="10281" width="12.25390625" style="390" hidden="1" customWidth="1"/>
    <col min="10282" max="10282" width="11.25390625" style="390" hidden="1" customWidth="1"/>
    <col min="10283" max="10283" width="9.25390625" style="390" hidden="1" customWidth="1"/>
    <col min="10284" max="10286" width="9.00390625" style="390" hidden="1" customWidth="1"/>
    <col min="10287" max="10287" width="23.25390625" style="390" hidden="1" customWidth="1"/>
    <col min="10288" max="10288" width="23.00390625" style="390" hidden="1" customWidth="1"/>
    <col min="10289" max="10496" width="9.00390625" style="390" hidden="1" customWidth="1"/>
    <col min="10497" max="10497" width="13.75390625" style="390" hidden="1" customWidth="1"/>
    <col min="10498" max="10498" width="24.00390625" style="390" hidden="1" customWidth="1"/>
    <col min="10499" max="10499" width="15.00390625" style="390" hidden="1" customWidth="1"/>
    <col min="10500" max="10500" width="13.75390625" style="390" hidden="1" customWidth="1"/>
    <col min="10501" max="10505" width="12.00390625" style="390" hidden="1" customWidth="1"/>
    <col min="10506" max="10506" width="10.625" style="390" hidden="1" customWidth="1"/>
    <col min="10507" max="10507" width="12.00390625" style="390" hidden="1" customWidth="1"/>
    <col min="10508" max="10508" width="10.75390625" style="390" hidden="1" customWidth="1"/>
    <col min="10509" max="10509" width="11.00390625" style="390" hidden="1" customWidth="1"/>
    <col min="10510" max="10510" width="12.00390625" style="390" hidden="1" customWidth="1"/>
    <col min="10511" max="10511" width="11.75390625" style="390" hidden="1" customWidth="1"/>
    <col min="10512" max="10525" width="12.00390625" style="390" hidden="1" customWidth="1"/>
    <col min="10526" max="10526" width="11.00390625" style="390" hidden="1" customWidth="1"/>
    <col min="10527" max="10532" width="12.00390625" style="390" hidden="1" customWidth="1"/>
    <col min="10533" max="10536" width="14.00390625" style="390" hidden="1" customWidth="1"/>
    <col min="10537" max="10537" width="12.25390625" style="390" hidden="1" customWidth="1"/>
    <col min="10538" max="10538" width="11.25390625" style="390" hidden="1" customWidth="1"/>
    <col min="10539" max="10539" width="9.25390625" style="390" hidden="1" customWidth="1"/>
    <col min="10540" max="10542" width="9.00390625" style="390" hidden="1" customWidth="1"/>
    <col min="10543" max="10543" width="23.25390625" style="390" hidden="1" customWidth="1"/>
    <col min="10544" max="10544" width="23.00390625" style="390" hidden="1" customWidth="1"/>
    <col min="10545" max="10752" width="9.00390625" style="390" hidden="1" customWidth="1"/>
    <col min="10753" max="10753" width="13.75390625" style="390" hidden="1" customWidth="1"/>
    <col min="10754" max="10754" width="24.00390625" style="390" hidden="1" customWidth="1"/>
    <col min="10755" max="10755" width="15.00390625" style="390" hidden="1" customWidth="1"/>
    <col min="10756" max="10756" width="13.75390625" style="390" hidden="1" customWidth="1"/>
    <col min="10757" max="10761" width="12.00390625" style="390" hidden="1" customWidth="1"/>
    <col min="10762" max="10762" width="10.625" style="390" hidden="1" customWidth="1"/>
    <col min="10763" max="10763" width="12.00390625" style="390" hidden="1" customWidth="1"/>
    <col min="10764" max="10764" width="10.75390625" style="390" hidden="1" customWidth="1"/>
    <col min="10765" max="10765" width="11.00390625" style="390" hidden="1" customWidth="1"/>
    <col min="10766" max="10766" width="12.00390625" style="390" hidden="1" customWidth="1"/>
    <col min="10767" max="10767" width="11.75390625" style="390" hidden="1" customWidth="1"/>
    <col min="10768" max="10781" width="12.00390625" style="390" hidden="1" customWidth="1"/>
    <col min="10782" max="10782" width="11.00390625" style="390" hidden="1" customWidth="1"/>
    <col min="10783" max="10788" width="12.00390625" style="390" hidden="1" customWidth="1"/>
    <col min="10789" max="10792" width="14.00390625" style="390" hidden="1" customWidth="1"/>
    <col min="10793" max="10793" width="12.25390625" style="390" hidden="1" customWidth="1"/>
    <col min="10794" max="10794" width="11.25390625" style="390" hidden="1" customWidth="1"/>
    <col min="10795" max="10795" width="9.25390625" style="390" hidden="1" customWidth="1"/>
    <col min="10796" max="10798" width="9.00390625" style="390" hidden="1" customWidth="1"/>
    <col min="10799" max="10799" width="23.25390625" style="390" hidden="1" customWidth="1"/>
    <col min="10800" max="10800" width="23.00390625" style="390" hidden="1" customWidth="1"/>
    <col min="10801" max="11008" width="9.00390625" style="390" hidden="1" customWidth="1"/>
    <col min="11009" max="11009" width="13.75390625" style="390" hidden="1" customWidth="1"/>
    <col min="11010" max="11010" width="24.00390625" style="390" hidden="1" customWidth="1"/>
    <col min="11011" max="11011" width="15.00390625" style="390" hidden="1" customWidth="1"/>
    <col min="11012" max="11012" width="13.75390625" style="390" hidden="1" customWidth="1"/>
    <col min="11013" max="11017" width="12.00390625" style="390" hidden="1" customWidth="1"/>
    <col min="11018" max="11018" width="10.625" style="390" hidden="1" customWidth="1"/>
    <col min="11019" max="11019" width="12.00390625" style="390" hidden="1" customWidth="1"/>
    <col min="11020" max="11020" width="10.75390625" style="390" hidden="1" customWidth="1"/>
    <col min="11021" max="11021" width="11.00390625" style="390" hidden="1" customWidth="1"/>
    <col min="11022" max="11022" width="12.00390625" style="390" hidden="1" customWidth="1"/>
    <col min="11023" max="11023" width="11.75390625" style="390" hidden="1" customWidth="1"/>
    <col min="11024" max="11037" width="12.00390625" style="390" hidden="1" customWidth="1"/>
    <col min="11038" max="11038" width="11.00390625" style="390" hidden="1" customWidth="1"/>
    <col min="11039" max="11044" width="12.00390625" style="390" hidden="1" customWidth="1"/>
    <col min="11045" max="11048" width="14.00390625" style="390" hidden="1" customWidth="1"/>
    <col min="11049" max="11049" width="12.25390625" style="390" hidden="1" customWidth="1"/>
    <col min="11050" max="11050" width="11.25390625" style="390" hidden="1" customWidth="1"/>
    <col min="11051" max="11051" width="9.25390625" style="390" hidden="1" customWidth="1"/>
    <col min="11052" max="11054" width="9.00390625" style="390" hidden="1" customWidth="1"/>
    <col min="11055" max="11055" width="23.25390625" style="390" hidden="1" customWidth="1"/>
    <col min="11056" max="11056" width="23.00390625" style="390" hidden="1" customWidth="1"/>
    <col min="11057" max="11264" width="9.00390625" style="390" hidden="1" customWidth="1"/>
    <col min="11265" max="11265" width="13.75390625" style="390" hidden="1" customWidth="1"/>
    <col min="11266" max="11266" width="24.00390625" style="390" hidden="1" customWidth="1"/>
    <col min="11267" max="11267" width="15.00390625" style="390" hidden="1" customWidth="1"/>
    <col min="11268" max="11268" width="13.75390625" style="390" hidden="1" customWidth="1"/>
    <col min="11269" max="11273" width="12.00390625" style="390" hidden="1" customWidth="1"/>
    <col min="11274" max="11274" width="10.625" style="390" hidden="1" customWidth="1"/>
    <col min="11275" max="11275" width="12.00390625" style="390" hidden="1" customWidth="1"/>
    <col min="11276" max="11276" width="10.75390625" style="390" hidden="1" customWidth="1"/>
    <col min="11277" max="11277" width="11.00390625" style="390" hidden="1" customWidth="1"/>
    <col min="11278" max="11278" width="12.00390625" style="390" hidden="1" customWidth="1"/>
    <col min="11279" max="11279" width="11.75390625" style="390" hidden="1" customWidth="1"/>
    <col min="11280" max="11293" width="12.00390625" style="390" hidden="1" customWidth="1"/>
    <col min="11294" max="11294" width="11.00390625" style="390" hidden="1" customWidth="1"/>
    <col min="11295" max="11300" width="12.00390625" style="390" hidden="1" customWidth="1"/>
    <col min="11301" max="11304" width="14.00390625" style="390" hidden="1" customWidth="1"/>
    <col min="11305" max="11305" width="12.25390625" style="390" hidden="1" customWidth="1"/>
    <col min="11306" max="11306" width="11.25390625" style="390" hidden="1" customWidth="1"/>
    <col min="11307" max="11307" width="9.25390625" style="390" hidden="1" customWidth="1"/>
    <col min="11308" max="11310" width="9.00390625" style="390" hidden="1" customWidth="1"/>
    <col min="11311" max="11311" width="23.25390625" style="390" hidden="1" customWidth="1"/>
    <col min="11312" max="11312" width="23.00390625" style="390" hidden="1" customWidth="1"/>
    <col min="11313" max="11520" width="9.00390625" style="390" hidden="1" customWidth="1"/>
    <col min="11521" max="11521" width="13.75390625" style="390" hidden="1" customWidth="1"/>
    <col min="11522" max="11522" width="24.00390625" style="390" hidden="1" customWidth="1"/>
    <col min="11523" max="11523" width="15.00390625" style="390" hidden="1" customWidth="1"/>
    <col min="11524" max="11524" width="13.75390625" style="390" hidden="1" customWidth="1"/>
    <col min="11525" max="11529" width="12.00390625" style="390" hidden="1" customWidth="1"/>
    <col min="11530" max="11530" width="10.625" style="390" hidden="1" customWidth="1"/>
    <col min="11531" max="11531" width="12.00390625" style="390" hidden="1" customWidth="1"/>
    <col min="11532" max="11532" width="10.75390625" style="390" hidden="1" customWidth="1"/>
    <col min="11533" max="11533" width="11.00390625" style="390" hidden="1" customWidth="1"/>
    <col min="11534" max="11534" width="12.00390625" style="390" hidden="1" customWidth="1"/>
    <col min="11535" max="11535" width="11.75390625" style="390" hidden="1" customWidth="1"/>
    <col min="11536" max="11549" width="12.00390625" style="390" hidden="1" customWidth="1"/>
    <col min="11550" max="11550" width="11.00390625" style="390" hidden="1" customWidth="1"/>
    <col min="11551" max="11556" width="12.00390625" style="390" hidden="1" customWidth="1"/>
    <col min="11557" max="11560" width="14.00390625" style="390" hidden="1" customWidth="1"/>
    <col min="11561" max="11561" width="12.25390625" style="390" hidden="1" customWidth="1"/>
    <col min="11562" max="11562" width="11.25390625" style="390" hidden="1" customWidth="1"/>
    <col min="11563" max="11563" width="9.25390625" style="390" hidden="1" customWidth="1"/>
    <col min="11564" max="11566" width="9.00390625" style="390" hidden="1" customWidth="1"/>
    <col min="11567" max="11567" width="23.25390625" style="390" hidden="1" customWidth="1"/>
    <col min="11568" max="11568" width="23.00390625" style="390" hidden="1" customWidth="1"/>
    <col min="11569" max="11776" width="9.00390625" style="390" hidden="1" customWidth="1"/>
    <col min="11777" max="11777" width="13.75390625" style="390" hidden="1" customWidth="1"/>
    <col min="11778" max="11778" width="24.00390625" style="390" hidden="1" customWidth="1"/>
    <col min="11779" max="11779" width="15.00390625" style="390" hidden="1" customWidth="1"/>
    <col min="11780" max="11780" width="13.75390625" style="390" hidden="1" customWidth="1"/>
    <col min="11781" max="11785" width="12.00390625" style="390" hidden="1" customWidth="1"/>
    <col min="11786" max="11786" width="10.625" style="390" hidden="1" customWidth="1"/>
    <col min="11787" max="11787" width="12.00390625" style="390" hidden="1" customWidth="1"/>
    <col min="11788" max="11788" width="10.75390625" style="390" hidden="1" customWidth="1"/>
    <col min="11789" max="11789" width="11.00390625" style="390" hidden="1" customWidth="1"/>
    <col min="11790" max="11790" width="12.00390625" style="390" hidden="1" customWidth="1"/>
    <col min="11791" max="11791" width="11.75390625" style="390" hidden="1" customWidth="1"/>
    <col min="11792" max="11805" width="12.00390625" style="390" hidden="1" customWidth="1"/>
    <col min="11806" max="11806" width="11.00390625" style="390" hidden="1" customWidth="1"/>
    <col min="11807" max="11812" width="12.00390625" style="390" hidden="1" customWidth="1"/>
    <col min="11813" max="11816" width="14.00390625" style="390" hidden="1" customWidth="1"/>
    <col min="11817" max="11817" width="12.25390625" style="390" hidden="1" customWidth="1"/>
    <col min="11818" max="11818" width="11.25390625" style="390" hidden="1" customWidth="1"/>
    <col min="11819" max="11819" width="9.25390625" style="390" hidden="1" customWidth="1"/>
    <col min="11820" max="11822" width="9.00390625" style="390" hidden="1" customWidth="1"/>
    <col min="11823" max="11823" width="23.25390625" style="390" hidden="1" customWidth="1"/>
    <col min="11824" max="11824" width="23.00390625" style="390" hidden="1" customWidth="1"/>
    <col min="11825" max="12032" width="9.00390625" style="390" hidden="1" customWidth="1"/>
    <col min="12033" max="12033" width="13.75390625" style="390" hidden="1" customWidth="1"/>
    <col min="12034" max="12034" width="24.00390625" style="390" hidden="1" customWidth="1"/>
    <col min="12035" max="12035" width="15.00390625" style="390" hidden="1" customWidth="1"/>
    <col min="12036" max="12036" width="13.75390625" style="390" hidden="1" customWidth="1"/>
    <col min="12037" max="12041" width="12.00390625" style="390" hidden="1" customWidth="1"/>
    <col min="12042" max="12042" width="10.625" style="390" hidden="1" customWidth="1"/>
    <col min="12043" max="12043" width="12.00390625" style="390" hidden="1" customWidth="1"/>
    <col min="12044" max="12044" width="10.75390625" style="390" hidden="1" customWidth="1"/>
    <col min="12045" max="12045" width="11.00390625" style="390" hidden="1" customWidth="1"/>
    <col min="12046" max="12046" width="12.00390625" style="390" hidden="1" customWidth="1"/>
    <col min="12047" max="12047" width="11.75390625" style="390" hidden="1" customWidth="1"/>
    <col min="12048" max="12061" width="12.00390625" style="390" hidden="1" customWidth="1"/>
    <col min="12062" max="12062" width="11.00390625" style="390" hidden="1" customWidth="1"/>
    <col min="12063" max="12068" width="12.00390625" style="390" hidden="1" customWidth="1"/>
    <col min="12069" max="12072" width="14.00390625" style="390" hidden="1" customWidth="1"/>
    <col min="12073" max="12073" width="12.25390625" style="390" hidden="1" customWidth="1"/>
    <col min="12074" max="12074" width="11.25390625" style="390" hidden="1" customWidth="1"/>
    <col min="12075" max="12075" width="9.25390625" style="390" hidden="1" customWidth="1"/>
    <col min="12076" max="12078" width="9.00390625" style="390" hidden="1" customWidth="1"/>
    <col min="12079" max="12079" width="23.25390625" style="390" hidden="1" customWidth="1"/>
    <col min="12080" max="12080" width="23.00390625" style="390" hidden="1" customWidth="1"/>
    <col min="12081" max="12288" width="9.00390625" style="390" hidden="1" customWidth="1"/>
    <col min="12289" max="12289" width="13.75390625" style="390" hidden="1" customWidth="1"/>
    <col min="12290" max="12290" width="24.00390625" style="390" hidden="1" customWidth="1"/>
    <col min="12291" max="12291" width="15.00390625" style="390" hidden="1" customWidth="1"/>
    <col min="12292" max="12292" width="13.75390625" style="390" hidden="1" customWidth="1"/>
    <col min="12293" max="12297" width="12.00390625" style="390" hidden="1" customWidth="1"/>
    <col min="12298" max="12298" width="10.625" style="390" hidden="1" customWidth="1"/>
    <col min="12299" max="12299" width="12.00390625" style="390" hidden="1" customWidth="1"/>
    <col min="12300" max="12300" width="10.75390625" style="390" hidden="1" customWidth="1"/>
    <col min="12301" max="12301" width="11.00390625" style="390" hidden="1" customWidth="1"/>
    <col min="12302" max="12302" width="12.00390625" style="390" hidden="1" customWidth="1"/>
    <col min="12303" max="12303" width="11.75390625" style="390" hidden="1" customWidth="1"/>
    <col min="12304" max="12317" width="12.00390625" style="390" hidden="1" customWidth="1"/>
    <col min="12318" max="12318" width="11.00390625" style="390" hidden="1" customWidth="1"/>
    <col min="12319" max="12324" width="12.00390625" style="390" hidden="1" customWidth="1"/>
    <col min="12325" max="12328" width="14.00390625" style="390" hidden="1" customWidth="1"/>
    <col min="12329" max="12329" width="12.25390625" style="390" hidden="1" customWidth="1"/>
    <col min="12330" max="12330" width="11.25390625" style="390" hidden="1" customWidth="1"/>
    <col min="12331" max="12331" width="9.25390625" style="390" hidden="1" customWidth="1"/>
    <col min="12332" max="12334" width="9.00390625" style="390" hidden="1" customWidth="1"/>
    <col min="12335" max="12335" width="23.25390625" style="390" hidden="1" customWidth="1"/>
    <col min="12336" max="12336" width="23.00390625" style="390" hidden="1" customWidth="1"/>
    <col min="12337" max="12544" width="9.00390625" style="390" hidden="1" customWidth="1"/>
    <col min="12545" max="12545" width="13.75390625" style="390" hidden="1" customWidth="1"/>
    <col min="12546" max="12546" width="24.00390625" style="390" hidden="1" customWidth="1"/>
    <col min="12547" max="12547" width="15.00390625" style="390" hidden="1" customWidth="1"/>
    <col min="12548" max="12548" width="13.75390625" style="390" hidden="1" customWidth="1"/>
    <col min="12549" max="12553" width="12.00390625" style="390" hidden="1" customWidth="1"/>
    <col min="12554" max="12554" width="10.625" style="390" hidden="1" customWidth="1"/>
    <col min="12555" max="12555" width="12.00390625" style="390" hidden="1" customWidth="1"/>
    <col min="12556" max="12556" width="10.75390625" style="390" hidden="1" customWidth="1"/>
    <col min="12557" max="12557" width="11.00390625" style="390" hidden="1" customWidth="1"/>
    <col min="12558" max="12558" width="12.00390625" style="390" hidden="1" customWidth="1"/>
    <col min="12559" max="12559" width="11.75390625" style="390" hidden="1" customWidth="1"/>
    <col min="12560" max="12573" width="12.00390625" style="390" hidden="1" customWidth="1"/>
    <col min="12574" max="12574" width="11.00390625" style="390" hidden="1" customWidth="1"/>
    <col min="12575" max="12580" width="12.00390625" style="390" hidden="1" customWidth="1"/>
    <col min="12581" max="12584" width="14.00390625" style="390" hidden="1" customWidth="1"/>
    <col min="12585" max="12585" width="12.25390625" style="390" hidden="1" customWidth="1"/>
    <col min="12586" max="12586" width="11.25390625" style="390" hidden="1" customWidth="1"/>
    <col min="12587" max="12587" width="9.25390625" style="390" hidden="1" customWidth="1"/>
    <col min="12588" max="12590" width="9.00390625" style="390" hidden="1" customWidth="1"/>
    <col min="12591" max="12591" width="23.25390625" style="390" hidden="1" customWidth="1"/>
    <col min="12592" max="12592" width="23.00390625" style="390" hidden="1" customWidth="1"/>
    <col min="12593" max="12800" width="9.00390625" style="390" hidden="1" customWidth="1"/>
    <col min="12801" max="12801" width="13.75390625" style="390" hidden="1" customWidth="1"/>
    <col min="12802" max="12802" width="24.00390625" style="390" hidden="1" customWidth="1"/>
    <col min="12803" max="12803" width="15.00390625" style="390" hidden="1" customWidth="1"/>
    <col min="12804" max="12804" width="13.75390625" style="390" hidden="1" customWidth="1"/>
    <col min="12805" max="12809" width="12.00390625" style="390" hidden="1" customWidth="1"/>
    <col min="12810" max="12810" width="10.625" style="390" hidden="1" customWidth="1"/>
    <col min="12811" max="12811" width="12.00390625" style="390" hidden="1" customWidth="1"/>
    <col min="12812" max="12812" width="10.75390625" style="390" hidden="1" customWidth="1"/>
    <col min="12813" max="12813" width="11.00390625" style="390" hidden="1" customWidth="1"/>
    <col min="12814" max="12814" width="12.00390625" style="390" hidden="1" customWidth="1"/>
    <col min="12815" max="12815" width="11.75390625" style="390" hidden="1" customWidth="1"/>
    <col min="12816" max="12829" width="12.00390625" style="390" hidden="1" customWidth="1"/>
    <col min="12830" max="12830" width="11.00390625" style="390" hidden="1" customWidth="1"/>
    <col min="12831" max="12836" width="12.00390625" style="390" hidden="1" customWidth="1"/>
    <col min="12837" max="12840" width="14.00390625" style="390" hidden="1" customWidth="1"/>
    <col min="12841" max="12841" width="12.25390625" style="390" hidden="1" customWidth="1"/>
    <col min="12842" max="12842" width="11.25390625" style="390" hidden="1" customWidth="1"/>
    <col min="12843" max="12843" width="9.25390625" style="390" hidden="1" customWidth="1"/>
    <col min="12844" max="12846" width="9.00390625" style="390" hidden="1" customWidth="1"/>
    <col min="12847" max="12847" width="23.25390625" style="390" hidden="1" customWidth="1"/>
    <col min="12848" max="12848" width="23.00390625" style="390" hidden="1" customWidth="1"/>
    <col min="12849" max="13056" width="9.00390625" style="390" hidden="1" customWidth="1"/>
    <col min="13057" max="13057" width="13.75390625" style="390" hidden="1" customWidth="1"/>
    <col min="13058" max="13058" width="24.00390625" style="390" hidden="1" customWidth="1"/>
    <col min="13059" max="13059" width="15.00390625" style="390" hidden="1" customWidth="1"/>
    <col min="13060" max="13060" width="13.75390625" style="390" hidden="1" customWidth="1"/>
    <col min="13061" max="13065" width="12.00390625" style="390" hidden="1" customWidth="1"/>
    <col min="13066" max="13066" width="10.625" style="390" hidden="1" customWidth="1"/>
    <col min="13067" max="13067" width="12.00390625" style="390" hidden="1" customWidth="1"/>
    <col min="13068" max="13068" width="10.75390625" style="390" hidden="1" customWidth="1"/>
    <col min="13069" max="13069" width="11.00390625" style="390" hidden="1" customWidth="1"/>
    <col min="13070" max="13070" width="12.00390625" style="390" hidden="1" customWidth="1"/>
    <col min="13071" max="13071" width="11.75390625" style="390" hidden="1" customWidth="1"/>
    <col min="13072" max="13085" width="12.00390625" style="390" hidden="1" customWidth="1"/>
    <col min="13086" max="13086" width="11.00390625" style="390" hidden="1" customWidth="1"/>
    <col min="13087" max="13092" width="12.00390625" style="390" hidden="1" customWidth="1"/>
    <col min="13093" max="13096" width="14.00390625" style="390" hidden="1" customWidth="1"/>
    <col min="13097" max="13097" width="12.25390625" style="390" hidden="1" customWidth="1"/>
    <col min="13098" max="13098" width="11.25390625" style="390" hidden="1" customWidth="1"/>
    <col min="13099" max="13099" width="9.25390625" style="390" hidden="1" customWidth="1"/>
    <col min="13100" max="13102" width="9.00390625" style="390" hidden="1" customWidth="1"/>
    <col min="13103" max="13103" width="23.25390625" style="390" hidden="1" customWidth="1"/>
    <col min="13104" max="13104" width="23.00390625" style="390" hidden="1" customWidth="1"/>
    <col min="13105" max="13312" width="9.00390625" style="390" hidden="1" customWidth="1"/>
    <col min="13313" max="13313" width="13.75390625" style="390" hidden="1" customWidth="1"/>
    <col min="13314" max="13314" width="24.00390625" style="390" hidden="1" customWidth="1"/>
    <col min="13315" max="13315" width="15.00390625" style="390" hidden="1" customWidth="1"/>
    <col min="13316" max="13316" width="13.75390625" style="390" hidden="1" customWidth="1"/>
    <col min="13317" max="13321" width="12.00390625" style="390" hidden="1" customWidth="1"/>
    <col min="13322" max="13322" width="10.625" style="390" hidden="1" customWidth="1"/>
    <col min="13323" max="13323" width="12.00390625" style="390" hidden="1" customWidth="1"/>
    <col min="13324" max="13324" width="10.75390625" style="390" hidden="1" customWidth="1"/>
    <col min="13325" max="13325" width="11.00390625" style="390" hidden="1" customWidth="1"/>
    <col min="13326" max="13326" width="12.00390625" style="390" hidden="1" customWidth="1"/>
    <col min="13327" max="13327" width="11.75390625" style="390" hidden="1" customWidth="1"/>
    <col min="13328" max="13341" width="12.00390625" style="390" hidden="1" customWidth="1"/>
    <col min="13342" max="13342" width="11.00390625" style="390" hidden="1" customWidth="1"/>
    <col min="13343" max="13348" width="12.00390625" style="390" hidden="1" customWidth="1"/>
    <col min="13349" max="13352" width="14.00390625" style="390" hidden="1" customWidth="1"/>
    <col min="13353" max="13353" width="12.25390625" style="390" hidden="1" customWidth="1"/>
    <col min="13354" max="13354" width="11.25390625" style="390" hidden="1" customWidth="1"/>
    <col min="13355" max="13355" width="9.25390625" style="390" hidden="1" customWidth="1"/>
    <col min="13356" max="13358" width="9.00390625" style="390" hidden="1" customWidth="1"/>
    <col min="13359" max="13359" width="23.25390625" style="390" hidden="1" customWidth="1"/>
    <col min="13360" max="13360" width="23.00390625" style="390" hidden="1" customWidth="1"/>
    <col min="13361" max="13568" width="9.00390625" style="390" hidden="1" customWidth="1"/>
    <col min="13569" max="13569" width="13.75390625" style="390" hidden="1" customWidth="1"/>
    <col min="13570" max="13570" width="24.00390625" style="390" hidden="1" customWidth="1"/>
    <col min="13571" max="13571" width="15.00390625" style="390" hidden="1" customWidth="1"/>
    <col min="13572" max="13572" width="13.75390625" style="390" hidden="1" customWidth="1"/>
    <col min="13573" max="13577" width="12.00390625" style="390" hidden="1" customWidth="1"/>
    <col min="13578" max="13578" width="10.625" style="390" hidden="1" customWidth="1"/>
    <col min="13579" max="13579" width="12.00390625" style="390" hidden="1" customWidth="1"/>
    <col min="13580" max="13580" width="10.75390625" style="390" hidden="1" customWidth="1"/>
    <col min="13581" max="13581" width="11.00390625" style="390" hidden="1" customWidth="1"/>
    <col min="13582" max="13582" width="12.00390625" style="390" hidden="1" customWidth="1"/>
    <col min="13583" max="13583" width="11.75390625" style="390" hidden="1" customWidth="1"/>
    <col min="13584" max="13597" width="12.00390625" style="390" hidden="1" customWidth="1"/>
    <col min="13598" max="13598" width="11.00390625" style="390" hidden="1" customWidth="1"/>
    <col min="13599" max="13604" width="12.00390625" style="390" hidden="1" customWidth="1"/>
    <col min="13605" max="13608" width="14.00390625" style="390" hidden="1" customWidth="1"/>
    <col min="13609" max="13609" width="12.25390625" style="390" hidden="1" customWidth="1"/>
    <col min="13610" max="13610" width="11.25390625" style="390" hidden="1" customWidth="1"/>
    <col min="13611" max="13611" width="9.25390625" style="390" hidden="1" customWidth="1"/>
    <col min="13612" max="13614" width="9.00390625" style="390" hidden="1" customWidth="1"/>
    <col min="13615" max="13615" width="23.25390625" style="390" hidden="1" customWidth="1"/>
    <col min="13616" max="13616" width="23.00390625" style="390" hidden="1" customWidth="1"/>
    <col min="13617" max="13824" width="9.00390625" style="390" hidden="1" customWidth="1"/>
    <col min="13825" max="13825" width="13.75390625" style="390" hidden="1" customWidth="1"/>
    <col min="13826" max="13826" width="24.00390625" style="390" hidden="1" customWidth="1"/>
    <col min="13827" max="13827" width="15.00390625" style="390" hidden="1" customWidth="1"/>
    <col min="13828" max="13828" width="13.75390625" style="390" hidden="1" customWidth="1"/>
    <col min="13829" max="13833" width="12.00390625" style="390" hidden="1" customWidth="1"/>
    <col min="13834" max="13834" width="10.625" style="390" hidden="1" customWidth="1"/>
    <col min="13835" max="13835" width="12.00390625" style="390" hidden="1" customWidth="1"/>
    <col min="13836" max="13836" width="10.75390625" style="390" hidden="1" customWidth="1"/>
    <col min="13837" max="13837" width="11.00390625" style="390" hidden="1" customWidth="1"/>
    <col min="13838" max="13838" width="12.00390625" style="390" hidden="1" customWidth="1"/>
    <col min="13839" max="13839" width="11.75390625" style="390" hidden="1" customWidth="1"/>
    <col min="13840" max="13853" width="12.00390625" style="390" hidden="1" customWidth="1"/>
    <col min="13854" max="13854" width="11.00390625" style="390" hidden="1" customWidth="1"/>
    <col min="13855" max="13860" width="12.00390625" style="390" hidden="1" customWidth="1"/>
    <col min="13861" max="13864" width="14.00390625" style="390" hidden="1" customWidth="1"/>
    <col min="13865" max="13865" width="12.25390625" style="390" hidden="1" customWidth="1"/>
    <col min="13866" max="13866" width="11.25390625" style="390" hidden="1" customWidth="1"/>
    <col min="13867" max="13867" width="9.25390625" style="390" hidden="1" customWidth="1"/>
    <col min="13868" max="13870" width="9.00390625" style="390" hidden="1" customWidth="1"/>
    <col min="13871" max="13871" width="23.25390625" style="390" hidden="1" customWidth="1"/>
    <col min="13872" max="13872" width="23.00390625" style="390" hidden="1" customWidth="1"/>
    <col min="13873" max="14080" width="9.00390625" style="390" hidden="1" customWidth="1"/>
    <col min="14081" max="14081" width="13.75390625" style="390" hidden="1" customWidth="1"/>
    <col min="14082" max="14082" width="24.00390625" style="390" hidden="1" customWidth="1"/>
    <col min="14083" max="14083" width="15.00390625" style="390" hidden="1" customWidth="1"/>
    <col min="14084" max="14084" width="13.75390625" style="390" hidden="1" customWidth="1"/>
    <col min="14085" max="14089" width="12.00390625" style="390" hidden="1" customWidth="1"/>
    <col min="14090" max="14090" width="10.625" style="390" hidden="1" customWidth="1"/>
    <col min="14091" max="14091" width="12.00390625" style="390" hidden="1" customWidth="1"/>
    <col min="14092" max="14092" width="10.75390625" style="390" hidden="1" customWidth="1"/>
    <col min="14093" max="14093" width="11.00390625" style="390" hidden="1" customWidth="1"/>
    <col min="14094" max="14094" width="12.00390625" style="390" hidden="1" customWidth="1"/>
    <col min="14095" max="14095" width="11.75390625" style="390" hidden="1" customWidth="1"/>
    <col min="14096" max="14109" width="12.00390625" style="390" hidden="1" customWidth="1"/>
    <col min="14110" max="14110" width="11.00390625" style="390" hidden="1" customWidth="1"/>
    <col min="14111" max="14116" width="12.00390625" style="390" hidden="1" customWidth="1"/>
    <col min="14117" max="14120" width="14.00390625" style="390" hidden="1" customWidth="1"/>
    <col min="14121" max="14121" width="12.25390625" style="390" hidden="1" customWidth="1"/>
    <col min="14122" max="14122" width="11.25390625" style="390" hidden="1" customWidth="1"/>
    <col min="14123" max="14123" width="9.25390625" style="390" hidden="1" customWidth="1"/>
    <col min="14124" max="14126" width="9.00390625" style="390" hidden="1" customWidth="1"/>
    <col min="14127" max="14127" width="23.25390625" style="390" hidden="1" customWidth="1"/>
    <col min="14128" max="14128" width="23.00390625" style="390" hidden="1" customWidth="1"/>
    <col min="14129" max="14336" width="9.00390625" style="390" hidden="1" customWidth="1"/>
    <col min="14337" max="14337" width="13.75390625" style="390" hidden="1" customWidth="1"/>
    <col min="14338" max="14338" width="24.00390625" style="390" hidden="1" customWidth="1"/>
    <col min="14339" max="14339" width="15.00390625" style="390" hidden="1" customWidth="1"/>
    <col min="14340" max="14340" width="13.75390625" style="390" hidden="1" customWidth="1"/>
    <col min="14341" max="14345" width="12.00390625" style="390" hidden="1" customWidth="1"/>
    <col min="14346" max="14346" width="10.625" style="390" hidden="1" customWidth="1"/>
    <col min="14347" max="14347" width="12.00390625" style="390" hidden="1" customWidth="1"/>
    <col min="14348" max="14348" width="10.75390625" style="390" hidden="1" customWidth="1"/>
    <col min="14349" max="14349" width="11.00390625" style="390" hidden="1" customWidth="1"/>
    <col min="14350" max="14350" width="12.00390625" style="390" hidden="1" customWidth="1"/>
    <col min="14351" max="14351" width="11.75390625" style="390" hidden="1" customWidth="1"/>
    <col min="14352" max="14365" width="12.00390625" style="390" hidden="1" customWidth="1"/>
    <col min="14366" max="14366" width="11.00390625" style="390" hidden="1" customWidth="1"/>
    <col min="14367" max="14372" width="12.00390625" style="390" hidden="1" customWidth="1"/>
    <col min="14373" max="14376" width="14.00390625" style="390" hidden="1" customWidth="1"/>
    <col min="14377" max="14377" width="12.25390625" style="390" hidden="1" customWidth="1"/>
    <col min="14378" max="14378" width="11.25390625" style="390" hidden="1" customWidth="1"/>
    <col min="14379" max="14379" width="9.25390625" style="390" hidden="1" customWidth="1"/>
    <col min="14380" max="14382" width="9.00390625" style="390" hidden="1" customWidth="1"/>
    <col min="14383" max="14383" width="23.25390625" style="390" hidden="1" customWidth="1"/>
    <col min="14384" max="14384" width="23.00390625" style="390" hidden="1" customWidth="1"/>
    <col min="14385" max="14592" width="9.00390625" style="390" hidden="1" customWidth="1"/>
    <col min="14593" max="14593" width="13.75390625" style="390" hidden="1" customWidth="1"/>
    <col min="14594" max="14594" width="24.00390625" style="390" hidden="1" customWidth="1"/>
    <col min="14595" max="14595" width="15.00390625" style="390" hidden="1" customWidth="1"/>
    <col min="14596" max="14596" width="13.75390625" style="390" hidden="1" customWidth="1"/>
    <col min="14597" max="14601" width="12.00390625" style="390" hidden="1" customWidth="1"/>
    <col min="14602" max="14602" width="10.625" style="390" hidden="1" customWidth="1"/>
    <col min="14603" max="14603" width="12.00390625" style="390" hidden="1" customWidth="1"/>
    <col min="14604" max="14604" width="10.75390625" style="390" hidden="1" customWidth="1"/>
    <col min="14605" max="14605" width="11.00390625" style="390" hidden="1" customWidth="1"/>
    <col min="14606" max="14606" width="12.00390625" style="390" hidden="1" customWidth="1"/>
    <col min="14607" max="14607" width="11.75390625" style="390" hidden="1" customWidth="1"/>
    <col min="14608" max="14621" width="12.00390625" style="390" hidden="1" customWidth="1"/>
    <col min="14622" max="14622" width="11.00390625" style="390" hidden="1" customWidth="1"/>
    <col min="14623" max="14628" width="12.00390625" style="390" hidden="1" customWidth="1"/>
    <col min="14629" max="14632" width="14.00390625" style="390" hidden="1" customWidth="1"/>
    <col min="14633" max="14633" width="12.25390625" style="390" hidden="1" customWidth="1"/>
    <col min="14634" max="14634" width="11.25390625" style="390" hidden="1" customWidth="1"/>
    <col min="14635" max="14635" width="9.25390625" style="390" hidden="1" customWidth="1"/>
    <col min="14636" max="14638" width="9.00390625" style="390" hidden="1" customWidth="1"/>
    <col min="14639" max="14639" width="23.25390625" style="390" hidden="1" customWidth="1"/>
    <col min="14640" max="14640" width="23.00390625" style="390" hidden="1" customWidth="1"/>
    <col min="14641" max="14848" width="9.00390625" style="390" hidden="1" customWidth="1"/>
    <col min="14849" max="14849" width="13.75390625" style="390" hidden="1" customWidth="1"/>
    <col min="14850" max="14850" width="24.00390625" style="390" hidden="1" customWidth="1"/>
    <col min="14851" max="14851" width="15.00390625" style="390" hidden="1" customWidth="1"/>
    <col min="14852" max="14852" width="13.75390625" style="390" hidden="1" customWidth="1"/>
    <col min="14853" max="14857" width="12.00390625" style="390" hidden="1" customWidth="1"/>
    <col min="14858" max="14858" width="10.625" style="390" hidden="1" customWidth="1"/>
    <col min="14859" max="14859" width="12.00390625" style="390" hidden="1" customWidth="1"/>
    <col min="14860" max="14860" width="10.75390625" style="390" hidden="1" customWidth="1"/>
    <col min="14861" max="14861" width="11.00390625" style="390" hidden="1" customWidth="1"/>
    <col min="14862" max="14862" width="12.00390625" style="390" hidden="1" customWidth="1"/>
    <col min="14863" max="14863" width="11.75390625" style="390" hidden="1" customWidth="1"/>
    <col min="14864" max="14877" width="12.00390625" style="390" hidden="1" customWidth="1"/>
    <col min="14878" max="14878" width="11.00390625" style="390" hidden="1" customWidth="1"/>
    <col min="14879" max="14884" width="12.00390625" style="390" hidden="1" customWidth="1"/>
    <col min="14885" max="14888" width="14.00390625" style="390" hidden="1" customWidth="1"/>
    <col min="14889" max="14889" width="12.25390625" style="390" hidden="1" customWidth="1"/>
    <col min="14890" max="14890" width="11.25390625" style="390" hidden="1" customWidth="1"/>
    <col min="14891" max="14891" width="9.25390625" style="390" hidden="1" customWidth="1"/>
    <col min="14892" max="14894" width="9.00390625" style="390" hidden="1" customWidth="1"/>
    <col min="14895" max="14895" width="23.25390625" style="390" hidden="1" customWidth="1"/>
    <col min="14896" max="14896" width="23.00390625" style="390" hidden="1" customWidth="1"/>
    <col min="14897" max="15104" width="9.00390625" style="390" hidden="1" customWidth="1"/>
    <col min="15105" max="15105" width="13.75390625" style="390" hidden="1" customWidth="1"/>
    <col min="15106" max="15106" width="24.00390625" style="390" hidden="1" customWidth="1"/>
    <col min="15107" max="15107" width="15.00390625" style="390" hidden="1" customWidth="1"/>
    <col min="15108" max="15108" width="13.75390625" style="390" hidden="1" customWidth="1"/>
    <col min="15109" max="15113" width="12.00390625" style="390" hidden="1" customWidth="1"/>
    <col min="15114" max="15114" width="10.625" style="390" hidden="1" customWidth="1"/>
    <col min="15115" max="15115" width="12.00390625" style="390" hidden="1" customWidth="1"/>
    <col min="15116" max="15116" width="10.75390625" style="390" hidden="1" customWidth="1"/>
    <col min="15117" max="15117" width="11.00390625" style="390" hidden="1" customWidth="1"/>
    <col min="15118" max="15118" width="12.00390625" style="390" hidden="1" customWidth="1"/>
    <col min="15119" max="15119" width="11.75390625" style="390" hidden="1" customWidth="1"/>
    <col min="15120" max="15133" width="12.00390625" style="390" hidden="1" customWidth="1"/>
    <col min="15134" max="15134" width="11.00390625" style="390" hidden="1" customWidth="1"/>
    <col min="15135" max="15140" width="12.00390625" style="390" hidden="1" customWidth="1"/>
    <col min="15141" max="15144" width="14.00390625" style="390" hidden="1" customWidth="1"/>
    <col min="15145" max="15145" width="12.25390625" style="390" hidden="1" customWidth="1"/>
    <col min="15146" max="15146" width="11.25390625" style="390" hidden="1" customWidth="1"/>
    <col min="15147" max="15147" width="9.25390625" style="390" hidden="1" customWidth="1"/>
    <col min="15148" max="15150" width="9.00390625" style="390" hidden="1" customWidth="1"/>
    <col min="15151" max="15151" width="23.25390625" style="390" hidden="1" customWidth="1"/>
    <col min="15152" max="15152" width="23.00390625" style="390" hidden="1" customWidth="1"/>
    <col min="15153" max="15360" width="9.00390625" style="390" hidden="1" customWidth="1"/>
    <col min="15361" max="15361" width="13.75390625" style="390" hidden="1" customWidth="1"/>
    <col min="15362" max="15362" width="24.00390625" style="390" hidden="1" customWidth="1"/>
    <col min="15363" max="15363" width="15.00390625" style="390" hidden="1" customWidth="1"/>
    <col min="15364" max="15364" width="13.75390625" style="390" hidden="1" customWidth="1"/>
    <col min="15365" max="15369" width="12.00390625" style="390" hidden="1" customWidth="1"/>
    <col min="15370" max="15370" width="10.625" style="390" hidden="1" customWidth="1"/>
    <col min="15371" max="15371" width="12.00390625" style="390" hidden="1" customWidth="1"/>
    <col min="15372" max="15372" width="10.75390625" style="390" hidden="1" customWidth="1"/>
    <col min="15373" max="15373" width="11.00390625" style="390" hidden="1" customWidth="1"/>
    <col min="15374" max="15374" width="12.00390625" style="390" hidden="1" customWidth="1"/>
    <col min="15375" max="15375" width="11.75390625" style="390" hidden="1" customWidth="1"/>
    <col min="15376" max="15389" width="12.00390625" style="390" hidden="1" customWidth="1"/>
    <col min="15390" max="15390" width="11.00390625" style="390" hidden="1" customWidth="1"/>
    <col min="15391" max="15396" width="12.00390625" style="390" hidden="1" customWidth="1"/>
    <col min="15397" max="15400" width="14.00390625" style="390" hidden="1" customWidth="1"/>
    <col min="15401" max="15401" width="12.25390625" style="390" hidden="1" customWidth="1"/>
    <col min="15402" max="15402" width="11.25390625" style="390" hidden="1" customWidth="1"/>
    <col min="15403" max="15403" width="9.25390625" style="390" hidden="1" customWidth="1"/>
    <col min="15404" max="15406" width="9.00390625" style="390" hidden="1" customWidth="1"/>
    <col min="15407" max="15407" width="23.25390625" style="390" hidden="1" customWidth="1"/>
    <col min="15408" max="15408" width="23.00390625" style="390" hidden="1" customWidth="1"/>
    <col min="15409" max="15616" width="9.00390625" style="390" hidden="1" customWidth="1"/>
    <col min="15617" max="15617" width="13.75390625" style="390" hidden="1" customWidth="1"/>
    <col min="15618" max="15618" width="24.00390625" style="390" hidden="1" customWidth="1"/>
    <col min="15619" max="15619" width="15.00390625" style="390" hidden="1" customWidth="1"/>
    <col min="15620" max="15620" width="13.75390625" style="390" hidden="1" customWidth="1"/>
    <col min="15621" max="15625" width="12.00390625" style="390" hidden="1" customWidth="1"/>
    <col min="15626" max="15626" width="10.625" style="390" hidden="1" customWidth="1"/>
    <col min="15627" max="15627" width="12.00390625" style="390" hidden="1" customWidth="1"/>
    <col min="15628" max="15628" width="10.75390625" style="390" hidden="1" customWidth="1"/>
    <col min="15629" max="15629" width="11.00390625" style="390" hidden="1" customWidth="1"/>
    <col min="15630" max="15630" width="12.00390625" style="390" hidden="1" customWidth="1"/>
    <col min="15631" max="15631" width="11.75390625" style="390" hidden="1" customWidth="1"/>
    <col min="15632" max="15645" width="12.00390625" style="390" hidden="1" customWidth="1"/>
    <col min="15646" max="15646" width="11.00390625" style="390" hidden="1" customWidth="1"/>
    <col min="15647" max="15652" width="12.00390625" style="390" hidden="1" customWidth="1"/>
    <col min="15653" max="15656" width="14.00390625" style="390" hidden="1" customWidth="1"/>
    <col min="15657" max="15657" width="12.25390625" style="390" hidden="1" customWidth="1"/>
    <col min="15658" max="15658" width="11.25390625" style="390" hidden="1" customWidth="1"/>
    <col min="15659" max="15659" width="9.25390625" style="390" hidden="1" customWidth="1"/>
    <col min="15660" max="15662" width="9.00390625" style="390" hidden="1" customWidth="1"/>
    <col min="15663" max="15663" width="23.25390625" style="390" hidden="1" customWidth="1"/>
    <col min="15664" max="15664" width="23.00390625" style="390" hidden="1" customWidth="1"/>
    <col min="15665" max="15872" width="9.00390625" style="390" hidden="1" customWidth="1"/>
    <col min="15873" max="15873" width="13.75390625" style="390" hidden="1" customWidth="1"/>
    <col min="15874" max="15874" width="24.00390625" style="390" hidden="1" customWidth="1"/>
    <col min="15875" max="15875" width="15.00390625" style="390" hidden="1" customWidth="1"/>
    <col min="15876" max="15876" width="13.75390625" style="390" hidden="1" customWidth="1"/>
    <col min="15877" max="15881" width="12.00390625" style="390" hidden="1" customWidth="1"/>
    <col min="15882" max="15882" width="10.625" style="390" hidden="1" customWidth="1"/>
    <col min="15883" max="15883" width="12.00390625" style="390" hidden="1" customWidth="1"/>
    <col min="15884" max="15884" width="10.75390625" style="390" hidden="1" customWidth="1"/>
    <col min="15885" max="15885" width="11.00390625" style="390" hidden="1" customWidth="1"/>
    <col min="15886" max="15886" width="12.00390625" style="390" hidden="1" customWidth="1"/>
    <col min="15887" max="15887" width="11.75390625" style="390" hidden="1" customWidth="1"/>
    <col min="15888" max="15901" width="12.00390625" style="390" hidden="1" customWidth="1"/>
    <col min="15902" max="15902" width="11.00390625" style="390" hidden="1" customWidth="1"/>
    <col min="15903" max="15908" width="12.00390625" style="390" hidden="1" customWidth="1"/>
    <col min="15909" max="15912" width="14.00390625" style="390" hidden="1" customWidth="1"/>
    <col min="15913" max="15913" width="12.25390625" style="390" hidden="1" customWidth="1"/>
    <col min="15914" max="15914" width="11.25390625" style="390" hidden="1" customWidth="1"/>
    <col min="15915" max="15915" width="9.25390625" style="390" hidden="1" customWidth="1"/>
    <col min="15916" max="15918" width="9.00390625" style="390" hidden="1" customWidth="1"/>
    <col min="15919" max="15919" width="23.25390625" style="390" hidden="1" customWidth="1"/>
    <col min="15920" max="15920" width="23.00390625" style="390" hidden="1" customWidth="1"/>
    <col min="15921" max="16128" width="9.00390625" style="390" hidden="1" customWidth="1"/>
    <col min="16129" max="16129" width="13.75390625" style="390" hidden="1" customWidth="1"/>
    <col min="16130" max="16130" width="24.00390625" style="390" hidden="1" customWidth="1"/>
    <col min="16131" max="16131" width="15.00390625" style="390" hidden="1" customWidth="1"/>
    <col min="16132" max="16132" width="13.75390625" style="390" hidden="1" customWidth="1"/>
    <col min="16133" max="16137" width="12.00390625" style="390" hidden="1" customWidth="1"/>
    <col min="16138" max="16138" width="10.625" style="390" hidden="1" customWidth="1"/>
    <col min="16139" max="16139" width="12.00390625" style="390" hidden="1" customWidth="1"/>
    <col min="16140" max="16140" width="10.75390625" style="390" hidden="1" customWidth="1"/>
    <col min="16141" max="16141" width="11.00390625" style="390" hidden="1" customWidth="1"/>
    <col min="16142" max="16142" width="12.00390625" style="390" hidden="1" customWidth="1"/>
    <col min="16143" max="16143" width="11.75390625" style="390" hidden="1" customWidth="1"/>
    <col min="16144" max="16157" width="12.00390625" style="390" hidden="1" customWidth="1"/>
    <col min="16158" max="16158" width="11.00390625" style="390" hidden="1" customWidth="1"/>
    <col min="16159" max="16164" width="12.00390625" style="390" hidden="1" customWidth="1"/>
    <col min="16165" max="16168" width="14.00390625" style="390" hidden="1" customWidth="1"/>
    <col min="16169" max="16169" width="12.25390625" style="390" hidden="1" customWidth="1"/>
    <col min="16170" max="16170" width="11.25390625" style="390" hidden="1" customWidth="1"/>
    <col min="16171" max="16171" width="9.25390625" style="390" hidden="1" customWidth="1"/>
    <col min="16172" max="16174" width="9.00390625" style="390" hidden="1" customWidth="1"/>
    <col min="16175" max="16175" width="23.25390625" style="390" hidden="1" customWidth="1"/>
    <col min="16176" max="16176" width="23.00390625" style="390" hidden="1" customWidth="1"/>
    <col min="16177" max="16177" width="23.25390625" style="390" hidden="1" customWidth="1"/>
    <col min="16178" max="16178" width="23.00390625" style="390" hidden="1" customWidth="1"/>
    <col min="16179" max="16179" width="23.25390625" style="390" hidden="1" customWidth="1"/>
    <col min="16180" max="16181" width="23.00390625" style="390" hidden="1" customWidth="1"/>
    <col min="16182" max="16384" width="9.00390625" style="390" hidden="1" customWidth="1"/>
  </cols>
  <sheetData>
    <row r="1" spans="1:48" ht="26.25">
      <c r="A1" s="388" t="s">
        <v>1212</v>
      </c>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row>
    <row r="2" spans="5:48" ht="15.75" thickBot="1">
      <c r="E2" s="392"/>
      <c r="F2" s="392"/>
      <c r="J2" s="392"/>
      <c r="AJ2" s="393"/>
      <c r="AL2" s="393"/>
      <c r="AM2" s="393"/>
      <c r="AN2" s="393"/>
      <c r="AT2" s="393"/>
      <c r="AU2" s="393"/>
      <c r="AV2" s="393"/>
    </row>
    <row r="3" spans="1:48" s="872" customFormat="1" ht="75.75" thickBot="1">
      <c r="A3" s="869" t="s">
        <v>481</v>
      </c>
      <c r="B3" s="869" t="s">
        <v>581</v>
      </c>
      <c r="C3" s="869" t="s">
        <v>1234</v>
      </c>
      <c r="D3" s="869" t="s">
        <v>612</v>
      </c>
      <c r="E3" s="870" t="s">
        <v>1235</v>
      </c>
      <c r="F3" s="870" t="s">
        <v>613</v>
      </c>
      <c r="G3" s="870" t="s">
        <v>614</v>
      </c>
      <c r="H3" s="870" t="s">
        <v>1101</v>
      </c>
      <c r="I3" s="870" t="s">
        <v>1232</v>
      </c>
      <c r="J3" s="870" t="s">
        <v>1233</v>
      </c>
      <c r="K3" s="755" t="s">
        <v>615</v>
      </c>
      <c r="L3" s="755" t="s">
        <v>616</v>
      </c>
      <c r="M3" s="755" t="s">
        <v>617</v>
      </c>
      <c r="N3" s="755" t="s">
        <v>618</v>
      </c>
      <c r="O3" s="755" t="s">
        <v>619</v>
      </c>
      <c r="P3" s="755" t="s">
        <v>620</v>
      </c>
      <c r="Q3" s="755" t="s">
        <v>621</v>
      </c>
      <c r="R3" s="755" t="s">
        <v>622</v>
      </c>
      <c r="S3" s="755" t="s">
        <v>623</v>
      </c>
      <c r="T3" s="755" t="s">
        <v>624</v>
      </c>
      <c r="U3" s="755" t="s">
        <v>625</v>
      </c>
      <c r="V3" s="755" t="s">
        <v>626</v>
      </c>
      <c r="W3" s="755" t="s">
        <v>627</v>
      </c>
      <c r="X3" s="755" t="s">
        <v>628</v>
      </c>
      <c r="Y3" s="755" t="s">
        <v>629</v>
      </c>
      <c r="Z3" s="755" t="s">
        <v>630</v>
      </c>
      <c r="AA3" s="755" t="s">
        <v>631</v>
      </c>
      <c r="AB3" s="755" t="s">
        <v>632</v>
      </c>
      <c r="AC3" s="755" t="s">
        <v>633</v>
      </c>
      <c r="AD3" s="755" t="s">
        <v>634</v>
      </c>
      <c r="AE3" s="755" t="s">
        <v>635</v>
      </c>
      <c r="AF3" s="755" t="s">
        <v>636</v>
      </c>
      <c r="AG3" s="755" t="s">
        <v>637</v>
      </c>
      <c r="AH3" s="755" t="s">
        <v>638</v>
      </c>
      <c r="AI3" s="755" t="s">
        <v>639</v>
      </c>
      <c r="AJ3" s="755" t="s">
        <v>1236</v>
      </c>
      <c r="AK3" s="755" t="s">
        <v>1237</v>
      </c>
      <c r="AL3" s="755" t="s">
        <v>1238</v>
      </c>
      <c r="AM3" s="755" t="s">
        <v>1239</v>
      </c>
      <c r="AN3" s="755" t="s">
        <v>1240</v>
      </c>
      <c r="AO3" s="755" t="s">
        <v>1241</v>
      </c>
      <c r="AP3" s="755" t="s">
        <v>1242</v>
      </c>
      <c r="AQ3" s="755" t="s">
        <v>640</v>
      </c>
      <c r="AR3" s="755" t="s">
        <v>641</v>
      </c>
      <c r="AS3" s="871"/>
      <c r="AT3" s="395" t="s">
        <v>642</v>
      </c>
      <c r="AU3" s="395" t="s">
        <v>643</v>
      </c>
      <c r="AV3" s="395" t="s">
        <v>644</v>
      </c>
    </row>
    <row r="4" spans="1:48">
      <c r="A4" s="756">
        <v>201</v>
      </c>
      <c r="B4" s="757" t="s">
        <v>203</v>
      </c>
      <c r="C4" s="758">
        <v>232</v>
      </c>
      <c r="D4" s="758">
        <v>202</v>
      </c>
      <c r="E4" s="758">
        <v>0</v>
      </c>
      <c r="F4" s="758">
        <v>0</v>
      </c>
      <c r="G4" s="758">
        <v>0</v>
      </c>
      <c r="H4" s="758">
        <v>0</v>
      </c>
      <c r="I4" s="758">
        <v>0</v>
      </c>
      <c r="J4" s="758">
        <v>0</v>
      </c>
      <c r="K4" s="759">
        <v>0.116379310344828</v>
      </c>
      <c r="L4" s="759">
        <v>0.1623931623931624</v>
      </c>
      <c r="M4" s="759">
        <v>0</v>
      </c>
      <c r="N4" s="759">
        <v>0</v>
      </c>
      <c r="O4" s="759">
        <v>0.163793103448276</v>
      </c>
      <c r="P4" s="759">
        <v>0.0258620689655172</v>
      </c>
      <c r="Q4" s="759">
        <v>0.413793103448276</v>
      </c>
      <c r="R4" s="759">
        <v>0.125</v>
      </c>
      <c r="S4" s="759">
        <v>0.103448275862069</v>
      </c>
      <c r="T4" s="759">
        <v>0.155172413793103</v>
      </c>
      <c r="U4" s="759">
        <v>0.0129310344827586</v>
      </c>
      <c r="V4" s="759">
        <v>0</v>
      </c>
      <c r="W4" s="759">
        <v>0</v>
      </c>
      <c r="X4" s="759">
        <v>0</v>
      </c>
      <c r="Y4" s="759">
        <v>0</v>
      </c>
      <c r="Z4" s="759">
        <v>0</v>
      </c>
      <c r="AA4" s="759">
        <v>0</v>
      </c>
      <c r="AB4" s="759">
        <v>0</v>
      </c>
      <c r="AC4" s="759">
        <v>0.0845771144278607</v>
      </c>
      <c r="AD4" s="759">
        <v>0.159203980099502</v>
      </c>
      <c r="AE4" s="759">
        <v>0.313432835820896</v>
      </c>
      <c r="AF4" s="759">
        <v>0</v>
      </c>
      <c r="AG4" s="759">
        <v>0</v>
      </c>
      <c r="AH4" s="759">
        <v>0</v>
      </c>
      <c r="AI4" s="759">
        <v>0</v>
      </c>
      <c r="AJ4" s="759">
        <v>0.24489795918367296</v>
      </c>
      <c r="AK4" s="759">
        <v>0</v>
      </c>
      <c r="AL4" s="759">
        <v>0</v>
      </c>
      <c r="AM4" s="759">
        <v>0</v>
      </c>
      <c r="AN4" s="759">
        <v>0</v>
      </c>
      <c r="AO4" s="759">
        <v>0</v>
      </c>
      <c r="AP4" s="759">
        <v>0</v>
      </c>
      <c r="AQ4" s="759">
        <v>0.0216450216450216</v>
      </c>
      <c r="AR4" s="760">
        <v>0</v>
      </c>
      <c r="AS4" s="394"/>
      <c r="AT4" s="397"/>
      <c r="AU4" s="398"/>
      <c r="AV4" s="398"/>
    </row>
    <row r="5" spans="1:48">
      <c r="A5" s="396">
        <v>202</v>
      </c>
      <c r="B5" s="761" t="s">
        <v>199</v>
      </c>
      <c r="C5" s="762">
        <v>10552</v>
      </c>
      <c r="D5" s="762">
        <v>9088</v>
      </c>
      <c r="E5" s="762">
        <v>8011</v>
      </c>
      <c r="F5" s="762">
        <v>1622</v>
      </c>
      <c r="G5" s="762">
        <v>1593</v>
      </c>
      <c r="H5" s="762">
        <v>1587</v>
      </c>
      <c r="I5" s="762">
        <v>1629</v>
      </c>
      <c r="J5" s="762">
        <v>1580</v>
      </c>
      <c r="K5" s="763">
        <v>0.30373388931008338</v>
      </c>
      <c r="L5" s="763">
        <v>0.3821617333327933</v>
      </c>
      <c r="M5" s="763">
        <v>0.33179378354762212</v>
      </c>
      <c r="N5" s="763">
        <v>0.53824109062065839</v>
      </c>
      <c r="O5" s="763">
        <v>0.23712865956564932</v>
      </c>
      <c r="P5" s="763">
        <v>0.092041449009988674</v>
      </c>
      <c r="Q5" s="763">
        <v>0.10189129595583547</v>
      </c>
      <c r="R5" s="763">
        <v>0.095835748180106775</v>
      </c>
      <c r="S5" s="763">
        <v>0.15127442786148046</v>
      </c>
      <c r="T5" s="763">
        <v>0.23251775996890489</v>
      </c>
      <c r="U5" s="763">
        <v>0.089310659458034472</v>
      </c>
      <c r="V5" s="763">
        <v>0.17257518654863013</v>
      </c>
      <c r="W5" s="763">
        <v>0.081788696489991083</v>
      </c>
      <c r="X5" s="763">
        <v>0.11249962402970604</v>
      </c>
      <c r="Y5" s="763">
        <v>0.12560888105262683</v>
      </c>
      <c r="Z5" s="763">
        <v>0.17991284011998512</v>
      </c>
      <c r="AA5" s="763">
        <v>0.23347984089586424</v>
      </c>
      <c r="AB5" s="763">
        <v>0.094134930863196353</v>
      </c>
      <c r="AC5" s="763">
        <v>0.096103827640213066</v>
      </c>
      <c r="AD5" s="763">
        <v>0.19001061626979171</v>
      </c>
      <c r="AE5" s="763">
        <v>0.28379610921502513</v>
      </c>
      <c r="AF5" s="763">
        <v>0.014655940441689764</v>
      </c>
      <c r="AG5" s="763">
        <v>0.02624621257262939</v>
      </c>
      <c r="AH5" s="763">
        <v>0.037635681318418893</v>
      </c>
      <c r="AI5" s="763">
        <v>0.0025414940187006327</v>
      </c>
      <c r="AJ5" s="763">
        <v>0.34013164473628749</v>
      </c>
      <c r="AK5" s="763">
        <v>0.27201592199466429</v>
      </c>
      <c r="AL5" s="763">
        <v>0.2914808084204592</v>
      </c>
      <c r="AM5" s="763">
        <v>0.35164541545020028</v>
      </c>
      <c r="AN5" s="763">
        <v>0.419161734046265</v>
      </c>
      <c r="AO5" s="763">
        <v>0.14834520626414757</v>
      </c>
      <c r="AP5" s="763">
        <v>0.18301618790720572</v>
      </c>
      <c r="AQ5" s="763">
        <v>0.064962533461975516</v>
      </c>
      <c r="AR5" s="764">
        <v>0.048733799636392773</v>
      </c>
      <c r="AS5" s="394"/>
      <c r="AT5" s="397"/>
      <c r="AU5" s="398"/>
      <c r="AV5" s="398"/>
    </row>
    <row r="6" spans="1:48">
      <c r="A6" s="396">
        <v>203</v>
      </c>
      <c r="B6" s="761" t="s">
        <v>225</v>
      </c>
      <c r="C6" s="762">
        <v>24672</v>
      </c>
      <c r="D6" s="762">
        <v>21056</v>
      </c>
      <c r="E6" s="762">
        <v>13942</v>
      </c>
      <c r="F6" s="762">
        <v>3082</v>
      </c>
      <c r="G6" s="762">
        <v>2914</v>
      </c>
      <c r="H6" s="762">
        <v>2816</v>
      </c>
      <c r="I6" s="762">
        <v>2690</v>
      </c>
      <c r="J6" s="762">
        <v>2440</v>
      </c>
      <c r="K6" s="763">
        <v>0.19609273670557714</v>
      </c>
      <c r="L6" s="763">
        <v>0.28511022023214844</v>
      </c>
      <c r="M6" s="763">
        <v>0.18490890833452886</v>
      </c>
      <c r="N6" s="763">
        <v>0.3868278570138039</v>
      </c>
      <c r="O6" s="763">
        <v>0.245501734402756</v>
      </c>
      <c r="P6" s="763">
        <v>0.15922274144023593</v>
      </c>
      <c r="Q6" s="763">
        <v>0.17306712203097727</v>
      </c>
      <c r="R6" s="763">
        <v>0.16884151566621466</v>
      </c>
      <c r="S6" s="763">
        <v>0.16005478839280382</v>
      </c>
      <c r="T6" s="763">
        <v>0.09213290918006023</v>
      </c>
      <c r="U6" s="763">
        <v>0.0011791888869520869</v>
      </c>
      <c r="V6" s="763">
        <v>0.26189674601971163</v>
      </c>
      <c r="W6" s="763">
        <v>0.14569825549872531</v>
      </c>
      <c r="X6" s="763">
        <v>0.16933150024652832</v>
      </c>
      <c r="Y6" s="763">
        <v>0.16746427963209384</v>
      </c>
      <c r="Z6" s="763">
        <v>0.15389866066225441</v>
      </c>
      <c r="AA6" s="763">
        <v>0.10006035533478261</v>
      </c>
      <c r="AB6" s="763">
        <v>0.001650202605903698</v>
      </c>
      <c r="AC6" s="763">
        <v>0.0748939891773589</v>
      </c>
      <c r="AD6" s="763">
        <v>0.14774207269230846</v>
      </c>
      <c r="AE6" s="763">
        <v>0.2176492041328707</v>
      </c>
      <c r="AF6" s="763">
        <v>0.015683796065240278</v>
      </c>
      <c r="AG6" s="763">
        <v>0.026956209485934048</v>
      </c>
      <c r="AH6" s="763">
        <v>0.042672789263030933</v>
      </c>
      <c r="AI6" s="763">
        <v>0.004092391571150383</v>
      </c>
      <c r="AJ6" s="763">
        <v>0.23140074405184155</v>
      </c>
      <c r="AK6" s="763">
        <v>0.29689908052969138</v>
      </c>
      <c r="AL6" s="763">
        <v>0.3137316827267923</v>
      </c>
      <c r="AM6" s="763">
        <v>0.32597521705197574</v>
      </c>
      <c r="AN6" s="763">
        <v>0.40069649447231709</v>
      </c>
      <c r="AO6" s="763">
        <v>0.13578086573141629</v>
      </c>
      <c r="AP6" s="763">
        <v>0.18314993582471012</v>
      </c>
      <c r="AQ6" s="763">
        <v>0.068132412772693593</v>
      </c>
      <c r="AR6" s="764">
        <v>0.051592001452010171</v>
      </c>
      <c r="AS6" s="394"/>
      <c r="AT6" s="397"/>
      <c r="AU6" s="398"/>
      <c r="AV6" s="398"/>
    </row>
    <row r="7" spans="1:48">
      <c r="A7" s="396">
        <v>204</v>
      </c>
      <c r="B7" s="761" t="s">
        <v>226</v>
      </c>
      <c r="C7" s="762">
        <v>18161</v>
      </c>
      <c r="D7" s="762">
        <v>15571</v>
      </c>
      <c r="E7" s="762">
        <v>12127</v>
      </c>
      <c r="F7" s="762">
        <v>2577</v>
      </c>
      <c r="G7" s="762">
        <v>2510</v>
      </c>
      <c r="H7" s="762">
        <v>2457</v>
      </c>
      <c r="I7" s="762">
        <v>2329</v>
      </c>
      <c r="J7" s="762">
        <v>2254</v>
      </c>
      <c r="K7" s="763">
        <v>0.30102967898243488</v>
      </c>
      <c r="L7" s="763">
        <v>0.38538399959248332</v>
      </c>
      <c r="M7" s="763">
        <v>0.3561474395975921</v>
      </c>
      <c r="N7" s="763">
        <v>0.52274858166457272</v>
      </c>
      <c r="O7" s="763">
        <v>0.10351073064849418</v>
      </c>
      <c r="P7" s="763">
        <v>0.091577312363790533</v>
      </c>
      <c r="Q7" s="763">
        <v>0.1303925042782984</v>
      </c>
      <c r="R7" s="763">
        <v>0.10285404774700685</v>
      </c>
      <c r="S7" s="763">
        <v>0.22671775846767611</v>
      </c>
      <c r="T7" s="763">
        <v>0.306558362590533</v>
      </c>
      <c r="U7" s="763">
        <v>0.038389283904200863</v>
      </c>
      <c r="V7" s="763">
        <v>0.11301016139282161</v>
      </c>
      <c r="W7" s="763">
        <v>0.090192438470198644</v>
      </c>
      <c r="X7" s="763">
        <v>0.12274595011368167</v>
      </c>
      <c r="Y7" s="763">
        <v>0.10326091290131016</v>
      </c>
      <c r="Z7" s="763">
        <v>0.234560391432922</v>
      </c>
      <c r="AA7" s="763">
        <v>0.29810223034074979</v>
      </c>
      <c r="AB7" s="763">
        <v>0.03812791534831652</v>
      </c>
      <c r="AC7" s="763">
        <v>0.078725662877447436</v>
      </c>
      <c r="AD7" s="763">
        <v>0.15418872724683189</v>
      </c>
      <c r="AE7" s="763">
        <v>0.23618663702661966</v>
      </c>
      <c r="AF7" s="763">
        <v>0.0076416624252824226</v>
      </c>
      <c r="AG7" s="763">
        <v>0.016509582188668517</v>
      </c>
      <c r="AH7" s="763">
        <v>0.025563561728812353</v>
      </c>
      <c r="AI7" s="763">
        <v>0.0025871578517236496</v>
      </c>
      <c r="AJ7" s="763">
        <v>0.25658568461344317</v>
      </c>
      <c r="AK7" s="763">
        <v>0.33351808287398921</v>
      </c>
      <c r="AL7" s="763">
        <v>0.27223656147532832</v>
      </c>
      <c r="AM7" s="763">
        <v>0.31122074714603037</v>
      </c>
      <c r="AN7" s="763">
        <v>0.36806657928983288</v>
      </c>
      <c r="AO7" s="763">
        <v>0.16634569284763645</v>
      </c>
      <c r="AP7" s="763">
        <v>0.18302271388091476</v>
      </c>
      <c r="AQ7" s="763">
        <v>0.05639910865285612</v>
      </c>
      <c r="AR7" s="764">
        <v>0.030385849024086014</v>
      </c>
      <c r="AS7" s="394"/>
      <c r="AT7" s="397"/>
      <c r="AU7" s="398"/>
      <c r="AV7" s="398"/>
    </row>
    <row r="8" spans="1:48">
      <c r="A8" s="396">
        <v>205</v>
      </c>
      <c r="B8" s="761" t="s">
        <v>228</v>
      </c>
      <c r="C8" s="762">
        <v>9714</v>
      </c>
      <c r="D8" s="762">
        <v>8378</v>
      </c>
      <c r="E8" s="762">
        <v>7212</v>
      </c>
      <c r="F8" s="762">
        <v>1488</v>
      </c>
      <c r="G8" s="762">
        <v>1455</v>
      </c>
      <c r="H8" s="762">
        <v>1432</v>
      </c>
      <c r="I8" s="762">
        <v>1428</v>
      </c>
      <c r="J8" s="762">
        <v>1409</v>
      </c>
      <c r="K8" s="763">
        <v>0.2291537986411365</v>
      </c>
      <c r="L8" s="763">
        <v>0.31845927418455194</v>
      </c>
      <c r="M8" s="763">
        <v>0.19841930116472556</v>
      </c>
      <c r="N8" s="763">
        <v>0.37512054831003616</v>
      </c>
      <c r="O8" s="763">
        <v>0.30481179843708511</v>
      </c>
      <c r="P8" s="763">
        <v>0.08996511576830124</v>
      </c>
      <c r="Q8" s="763">
        <v>0.11271315402527533</v>
      </c>
      <c r="R8" s="763">
        <v>0.10034388778938194</v>
      </c>
      <c r="S8" s="763">
        <v>0.13393634833994142</v>
      </c>
      <c r="T8" s="763">
        <v>0.16845989264575539</v>
      </c>
      <c r="U8" s="763">
        <v>0.089769802994259545</v>
      </c>
      <c r="V8" s="763">
        <v>0.35296102922743827</v>
      </c>
      <c r="W8" s="763">
        <v>0.077699432125937273</v>
      </c>
      <c r="X8" s="763">
        <v>0.097106320821611664</v>
      </c>
      <c r="Y8" s="763">
        <v>0.094206579560779824</v>
      </c>
      <c r="Z8" s="763">
        <v>0.11295483997854494</v>
      </c>
      <c r="AA8" s="763">
        <v>0.17874380646104551</v>
      </c>
      <c r="AB8" s="763">
        <v>0.08632799182464243</v>
      </c>
      <c r="AC8" s="763">
        <v>0.092638411488997985</v>
      </c>
      <c r="AD8" s="763">
        <v>0.17632875153231728</v>
      </c>
      <c r="AE8" s="763">
        <v>0.25734906891708992</v>
      </c>
      <c r="AF8" s="763">
        <v>0.021368611640956461</v>
      </c>
      <c r="AG8" s="763">
        <v>0.039097582993201117</v>
      </c>
      <c r="AH8" s="763">
        <v>0.052506388856441183</v>
      </c>
      <c r="AI8" s="763">
        <v>0.0031046653424849796</v>
      </c>
      <c r="AJ8" s="763">
        <v>0.28655126774447948</v>
      </c>
      <c r="AK8" s="763">
        <v>0.22058249115425305</v>
      </c>
      <c r="AL8" s="763">
        <v>0.22408318348748893</v>
      </c>
      <c r="AM8" s="763">
        <v>0.24615742541916227</v>
      </c>
      <c r="AN8" s="763">
        <v>0.34029187784594356</v>
      </c>
      <c r="AO8" s="763">
        <v>0.11326612331967176</v>
      </c>
      <c r="AP8" s="763">
        <v>0.140966983224832</v>
      </c>
      <c r="AQ8" s="763">
        <v>0.07034982113628413</v>
      </c>
      <c r="AR8" s="764">
        <v>0.047993372677360334</v>
      </c>
      <c r="AS8" s="394"/>
      <c r="AT8" s="397"/>
      <c r="AU8" s="398"/>
      <c r="AV8" s="398"/>
    </row>
    <row r="9" spans="1:48">
      <c r="A9" s="396">
        <v>206</v>
      </c>
      <c r="B9" s="761" t="s">
        <v>240</v>
      </c>
      <c r="C9" s="762">
        <v>13394</v>
      </c>
      <c r="D9" s="762">
        <v>11487</v>
      </c>
      <c r="E9" s="762">
        <v>7403</v>
      </c>
      <c r="F9" s="762">
        <v>1515</v>
      </c>
      <c r="G9" s="762">
        <v>1526</v>
      </c>
      <c r="H9" s="762">
        <v>1484</v>
      </c>
      <c r="I9" s="762">
        <v>1449</v>
      </c>
      <c r="J9" s="762">
        <v>1429</v>
      </c>
      <c r="K9" s="763">
        <v>0.30954158578467972</v>
      </c>
      <c r="L9" s="763">
        <v>0.44221490485251697</v>
      </c>
      <c r="M9" s="763">
        <v>0.35796298797784665</v>
      </c>
      <c r="N9" s="763">
        <v>0.64366357294988874</v>
      </c>
      <c r="O9" s="763">
        <v>0.13952121667345346</v>
      </c>
      <c r="P9" s="763">
        <v>0.056591215873456065</v>
      </c>
      <c r="Q9" s="763">
        <v>0.10730895739108549</v>
      </c>
      <c r="R9" s="763">
        <v>0.14549816821087144</v>
      </c>
      <c r="S9" s="763">
        <v>0.15701530259098595</v>
      </c>
      <c r="T9" s="763">
        <v>0.27970267228846091</v>
      </c>
      <c r="U9" s="763">
        <v>0.11436246697168663</v>
      </c>
      <c r="V9" s="763">
        <v>0.090082493902748639</v>
      </c>
      <c r="W9" s="763">
        <v>0.054516239813679583</v>
      </c>
      <c r="X9" s="763">
        <v>0.097653160310270742</v>
      </c>
      <c r="Y9" s="763">
        <v>0.14513929077565088</v>
      </c>
      <c r="Z9" s="763">
        <v>0.17548952178639696</v>
      </c>
      <c r="AA9" s="763">
        <v>0.30506415440441909</v>
      </c>
      <c r="AB9" s="763">
        <v>0.13205513900683385</v>
      </c>
      <c r="AC9" s="763">
        <v>0.067923706211234544</v>
      </c>
      <c r="AD9" s="763">
        <v>0.13629887240193014</v>
      </c>
      <c r="AE9" s="763">
        <v>0.20571013742288111</v>
      </c>
      <c r="AF9" s="763">
        <v>0.0081409765632377683</v>
      </c>
      <c r="AG9" s="763">
        <v>0.016819563892875193</v>
      </c>
      <c r="AH9" s="763">
        <v>0.029429270260051096</v>
      </c>
      <c r="AI9" s="763">
        <v>0.0042846022484691283</v>
      </c>
      <c r="AJ9" s="763">
        <v>0.33137555788846978</v>
      </c>
      <c r="AK9" s="763">
        <v>0.34233053569550737</v>
      </c>
      <c r="AL9" s="763">
        <v>0.32710256961732165</v>
      </c>
      <c r="AM9" s="763">
        <v>0.35467270641380888</v>
      </c>
      <c r="AN9" s="763">
        <v>0.43806913985805962</v>
      </c>
      <c r="AO9" s="763">
        <v>0.16244638361628297</v>
      </c>
      <c r="AP9" s="763">
        <v>0.20187854063364233</v>
      </c>
      <c r="AQ9" s="763">
        <v>0.05848791325299172</v>
      </c>
      <c r="AR9" s="764">
        <v>0.0430076703444564</v>
      </c>
      <c r="AS9" s="394"/>
      <c r="AT9" s="397"/>
      <c r="AU9" s="398"/>
      <c r="AV9" s="398"/>
    </row>
    <row r="10" spans="1:48">
      <c r="A10" s="396">
        <v>207</v>
      </c>
      <c r="B10" s="761" t="s">
        <v>241</v>
      </c>
      <c r="C10" s="762">
        <v>6705</v>
      </c>
      <c r="D10" s="762">
        <v>5773</v>
      </c>
      <c r="E10" s="762">
        <v>4814</v>
      </c>
      <c r="F10" s="762">
        <v>1061</v>
      </c>
      <c r="G10" s="762">
        <v>1016</v>
      </c>
      <c r="H10" s="762">
        <v>934</v>
      </c>
      <c r="I10" s="762">
        <v>905</v>
      </c>
      <c r="J10" s="762">
        <v>898</v>
      </c>
      <c r="K10" s="763">
        <v>0.24653243847874728</v>
      </c>
      <c r="L10" s="763">
        <v>0.3312501845589636</v>
      </c>
      <c r="M10" s="763">
        <v>0.23660157872870793</v>
      </c>
      <c r="N10" s="763">
        <v>0.41304894621339761</v>
      </c>
      <c r="O10" s="763">
        <v>0.39791200596569731</v>
      </c>
      <c r="P10" s="763">
        <v>0.055779269202087992</v>
      </c>
      <c r="Q10" s="763">
        <v>0.068456375838926137</v>
      </c>
      <c r="R10" s="763">
        <v>0.10380313199105146</v>
      </c>
      <c r="S10" s="763">
        <v>0.090976882923191643</v>
      </c>
      <c r="T10" s="763">
        <v>0.22416107382550335</v>
      </c>
      <c r="U10" s="763">
        <v>0.058911260253542118</v>
      </c>
      <c r="V10" s="763">
        <v>0.29310344827586221</v>
      </c>
      <c r="W10" s="763">
        <v>0.082883257166597557</v>
      </c>
      <c r="X10" s="763">
        <v>0.087037806398005915</v>
      </c>
      <c r="Y10" s="763">
        <v>0.12442874948068149</v>
      </c>
      <c r="Z10" s="763">
        <v>0.12525965932696309</v>
      </c>
      <c r="AA10" s="763">
        <v>0.22372247611134177</v>
      </c>
      <c r="AB10" s="763">
        <v>0.063564603240548467</v>
      </c>
      <c r="AC10" s="763">
        <v>0.1089237353153366</v>
      </c>
      <c r="AD10" s="763">
        <v>0.202166691344586</v>
      </c>
      <c r="AE10" s="763">
        <v>0.29579571899908885</v>
      </c>
      <c r="AF10" s="763">
        <v>0.015002267850795312</v>
      </c>
      <c r="AG10" s="763">
        <v>0.036089394805196906</v>
      </c>
      <c r="AH10" s="763">
        <v>0.053202438408915753</v>
      </c>
      <c r="AI10" s="763">
        <v>0.0026187987562421747</v>
      </c>
      <c r="AJ10" s="763">
        <v>0.33083110778277713</v>
      </c>
      <c r="AK10" s="763">
        <v>0.23387500176477985</v>
      </c>
      <c r="AL10" s="763">
        <v>0.25850311242421187</v>
      </c>
      <c r="AM10" s="763">
        <v>0.27157073212446964</v>
      </c>
      <c r="AN10" s="763">
        <v>0.3247515507722209</v>
      </c>
      <c r="AO10" s="763">
        <v>0.10519375079236855</v>
      </c>
      <c r="AP10" s="763">
        <v>0.14747446376434109</v>
      </c>
      <c r="AQ10" s="763">
        <v>0.065796910187570792</v>
      </c>
      <c r="AR10" s="764">
        <v>0.031218141356937068</v>
      </c>
      <c r="AS10" s="394"/>
      <c r="AT10" s="397"/>
      <c r="AU10" s="398"/>
      <c r="AV10" s="398"/>
    </row>
    <row r="11" spans="1:48">
      <c r="A11" s="396">
        <v>208</v>
      </c>
      <c r="B11" s="761" t="s">
        <v>247</v>
      </c>
      <c r="C11" s="762">
        <v>21297</v>
      </c>
      <c r="D11" s="762">
        <v>18240</v>
      </c>
      <c r="E11" s="762">
        <v>11553</v>
      </c>
      <c r="F11" s="762">
        <v>2384</v>
      </c>
      <c r="G11" s="762">
        <v>2432</v>
      </c>
      <c r="H11" s="762">
        <v>2279</v>
      </c>
      <c r="I11" s="762">
        <v>2224</v>
      </c>
      <c r="J11" s="762">
        <v>2234</v>
      </c>
      <c r="K11" s="763">
        <v>0.25956707517490724</v>
      </c>
      <c r="L11" s="763">
        <v>0.36661327422978307</v>
      </c>
      <c r="M11" s="763">
        <v>0.28823682160477787</v>
      </c>
      <c r="N11" s="763">
        <v>0.50111289746734966</v>
      </c>
      <c r="O11" s="763">
        <v>0.20842696336007913</v>
      </c>
      <c r="P11" s="763">
        <v>0.098356359344571348</v>
      </c>
      <c r="Q11" s="763">
        <v>0.17117794760721985</v>
      </c>
      <c r="R11" s="763">
        <v>0.15461349570362692</v>
      </c>
      <c r="S11" s="763">
        <v>0.184090909774567</v>
      </c>
      <c r="T11" s="763">
        <v>0.17149275385614596</v>
      </c>
      <c r="U11" s="763">
        <v>0.011841570353789875</v>
      </c>
      <c r="V11" s="763">
        <v>0.14787459339586059</v>
      </c>
      <c r="W11" s="763">
        <v>0.094836045138946265</v>
      </c>
      <c r="X11" s="763">
        <v>0.1753983147698204</v>
      </c>
      <c r="Y11" s="763">
        <v>0.16116845482517267</v>
      </c>
      <c r="Z11" s="763">
        <v>0.21290777897982069</v>
      </c>
      <c r="AA11" s="763">
        <v>0.19229768906060357</v>
      </c>
      <c r="AB11" s="763">
        <v>0.015517123829775981</v>
      </c>
      <c r="AC11" s="763">
        <v>0.088394980018206573</v>
      </c>
      <c r="AD11" s="763">
        <v>0.17653456115381944</v>
      </c>
      <c r="AE11" s="763">
        <v>0.25774300312871368</v>
      </c>
      <c r="AF11" s="763">
        <v>0.017243480962939046</v>
      </c>
      <c r="AG11" s="763">
        <v>0.036531493609554072</v>
      </c>
      <c r="AH11" s="763">
        <v>0.055411445702972982</v>
      </c>
      <c r="AI11" s="763">
        <v>0.003524066255589724</v>
      </c>
      <c r="AJ11" s="763">
        <v>0.32682327044132559</v>
      </c>
      <c r="AK11" s="763">
        <v>0.33948366011345937</v>
      </c>
      <c r="AL11" s="763">
        <v>0.35215162931202659</v>
      </c>
      <c r="AM11" s="763">
        <v>0.36319826564182961</v>
      </c>
      <c r="AN11" s="763">
        <v>0.45029140213432778</v>
      </c>
      <c r="AO11" s="763">
        <v>0.17009100013833245</v>
      </c>
      <c r="AP11" s="763">
        <v>0.20844228090134909</v>
      </c>
      <c r="AQ11" s="763">
        <v>0.049307838769095641</v>
      </c>
      <c r="AR11" s="764">
        <v>0.031539191673227586</v>
      </c>
      <c r="AS11" s="394"/>
      <c r="AT11" s="397"/>
      <c r="AU11" s="398"/>
      <c r="AV11" s="398"/>
    </row>
    <row r="12" spans="1:48">
      <c r="A12" s="396">
        <v>209</v>
      </c>
      <c r="B12" s="761" t="s">
        <v>252</v>
      </c>
      <c r="C12" s="762">
        <v>24636</v>
      </c>
      <c r="D12" s="762">
        <v>21193</v>
      </c>
      <c r="E12" s="762">
        <v>11330</v>
      </c>
      <c r="F12" s="762">
        <v>2381</v>
      </c>
      <c r="G12" s="762">
        <v>2201</v>
      </c>
      <c r="H12" s="762">
        <v>2171</v>
      </c>
      <c r="I12" s="762">
        <v>2309</v>
      </c>
      <c r="J12" s="762">
        <v>2268</v>
      </c>
      <c r="K12" s="763">
        <v>0.16772203279753206</v>
      </c>
      <c r="L12" s="763">
        <v>0.28069558581865539</v>
      </c>
      <c r="M12" s="763">
        <v>0.2178287731685789</v>
      </c>
      <c r="N12" s="763">
        <v>0.42178409289756874</v>
      </c>
      <c r="O12" s="763">
        <v>0.1822628118600054</v>
      </c>
      <c r="P12" s="763">
        <v>0.15616377820745972</v>
      </c>
      <c r="Q12" s="763">
        <v>0.19574300947815651</v>
      </c>
      <c r="R12" s="763">
        <v>0.13482577978226587</v>
      </c>
      <c r="S12" s="763">
        <v>0.16093903445294672</v>
      </c>
      <c r="T12" s="763">
        <v>0.16168315277897541</v>
      </c>
      <c r="U12" s="763">
        <v>0.0083824334401902678</v>
      </c>
      <c r="V12" s="763">
        <v>0.14082206382456222</v>
      </c>
      <c r="W12" s="763">
        <v>0.14076398070253046</v>
      </c>
      <c r="X12" s="763">
        <v>0.18110972879960735</v>
      </c>
      <c r="Y12" s="763">
        <v>0.13960294746539056</v>
      </c>
      <c r="Z12" s="763">
        <v>0.19040560443753976</v>
      </c>
      <c r="AA12" s="763">
        <v>0.19519631202919049</v>
      </c>
      <c r="AB12" s="763">
        <v>0.012099362741179323</v>
      </c>
      <c r="AC12" s="763">
        <v>0.066352353941084963</v>
      </c>
      <c r="AD12" s="763">
        <v>0.13029337882250108</v>
      </c>
      <c r="AE12" s="763">
        <v>0.19117580445609531</v>
      </c>
      <c r="AF12" s="763">
        <v>0.01587235918196702</v>
      </c>
      <c r="AG12" s="763">
        <v>0.031046712070301321</v>
      </c>
      <c r="AH12" s="763">
        <v>0.044844649736459331</v>
      </c>
      <c r="AI12" s="763">
        <v>0.0043312487614934432</v>
      </c>
      <c r="AJ12" s="763">
        <v>0.22223402388139002</v>
      </c>
      <c r="AK12" s="763">
        <v>0.37087666820473425</v>
      </c>
      <c r="AL12" s="763">
        <v>0.35911611536578897</v>
      </c>
      <c r="AM12" s="763">
        <v>0.41496428261083784</v>
      </c>
      <c r="AN12" s="763">
        <v>0.47597629633410776</v>
      </c>
      <c r="AO12" s="763">
        <v>0.16105610000282924</v>
      </c>
      <c r="AP12" s="763">
        <v>0.21962447598343249</v>
      </c>
      <c r="AQ12" s="763">
        <v>0.0648674857755812</v>
      </c>
      <c r="AR12" s="764">
        <v>0.047929717453199315</v>
      </c>
      <c r="AS12" s="394"/>
      <c r="AT12" s="397"/>
      <c r="AU12" s="398"/>
      <c r="AV12" s="398"/>
    </row>
    <row r="13" spans="1:48">
      <c r="A13" s="396">
        <v>210</v>
      </c>
      <c r="B13" s="761" t="s">
        <v>297</v>
      </c>
      <c r="C13" s="762">
        <v>22819</v>
      </c>
      <c r="D13" s="762">
        <v>19590</v>
      </c>
      <c r="E13" s="762">
        <v>15238</v>
      </c>
      <c r="F13" s="762">
        <v>3394</v>
      </c>
      <c r="G13" s="762">
        <v>3234</v>
      </c>
      <c r="H13" s="762">
        <v>2985</v>
      </c>
      <c r="I13" s="762">
        <v>2987</v>
      </c>
      <c r="J13" s="762">
        <v>2638</v>
      </c>
      <c r="K13" s="763">
        <v>0.25294710548227356</v>
      </c>
      <c r="L13" s="763">
        <v>0.33555271674403681</v>
      </c>
      <c r="M13" s="763">
        <v>0.27050794067462913</v>
      </c>
      <c r="N13" s="763">
        <v>0.46980036689377652</v>
      </c>
      <c r="O13" s="763">
        <v>0.17823295595057098</v>
      </c>
      <c r="P13" s="763">
        <v>0.059473065885853396</v>
      </c>
      <c r="Q13" s="763">
        <v>0.12586060053960316</v>
      </c>
      <c r="R13" s="763">
        <v>0.19309144569360753</v>
      </c>
      <c r="S13" s="763">
        <v>0.25829963860800131</v>
      </c>
      <c r="T13" s="763">
        <v>0.1651153920356597</v>
      </c>
      <c r="U13" s="763">
        <v>0.01992690128670364</v>
      </c>
      <c r="V13" s="763">
        <v>0.16370019923699242</v>
      </c>
      <c r="W13" s="763">
        <v>0.058964605290107414</v>
      </c>
      <c r="X13" s="763">
        <v>0.13909217877306718</v>
      </c>
      <c r="Y13" s="763">
        <v>0.18622237404899547</v>
      </c>
      <c r="Z13" s="763">
        <v>0.25777467046169716</v>
      </c>
      <c r="AA13" s="763">
        <v>0.17354832926647543</v>
      </c>
      <c r="AB13" s="763">
        <v>0.02069764292266504</v>
      </c>
      <c r="AC13" s="763">
        <v>0.077659551568656074</v>
      </c>
      <c r="AD13" s="763">
        <v>0.15684816501889579</v>
      </c>
      <c r="AE13" s="763">
        <v>0.23089395606744598</v>
      </c>
      <c r="AF13" s="763">
        <v>0.014136437640581428</v>
      </c>
      <c r="AG13" s="763">
        <v>0.027742986332277907</v>
      </c>
      <c r="AH13" s="763">
        <v>0.040418492713836393</v>
      </c>
      <c r="AI13" s="763">
        <v>0.0034933062816773163</v>
      </c>
      <c r="AJ13" s="763">
        <v>0.27885095895994066</v>
      </c>
      <c r="AK13" s="763">
        <v>0.28268358286448952</v>
      </c>
      <c r="AL13" s="763">
        <v>0.29052532677605708</v>
      </c>
      <c r="AM13" s="763">
        <v>0.32879949526497454</v>
      </c>
      <c r="AN13" s="763">
        <v>0.40569473065740269</v>
      </c>
      <c r="AO13" s="763">
        <v>0.1499575417795655</v>
      </c>
      <c r="AP13" s="763">
        <v>0.18136901672957856</v>
      </c>
      <c r="AQ13" s="763">
        <v>0.051605817392931456</v>
      </c>
      <c r="AR13" s="764">
        <v>0.031439702939710906</v>
      </c>
      <c r="AS13" s="394"/>
      <c r="AT13" s="397"/>
      <c r="AU13" s="398"/>
      <c r="AV13" s="398"/>
    </row>
    <row r="14" spans="1:48">
      <c r="A14" s="396">
        <v>211</v>
      </c>
      <c r="B14" s="761" t="s">
        <v>312</v>
      </c>
      <c r="C14" s="762">
        <v>23217</v>
      </c>
      <c r="D14" s="762">
        <v>20035</v>
      </c>
      <c r="E14" s="762">
        <v>14584</v>
      </c>
      <c r="F14" s="762">
        <v>2996</v>
      </c>
      <c r="G14" s="762">
        <v>2902</v>
      </c>
      <c r="H14" s="762">
        <v>2952</v>
      </c>
      <c r="I14" s="762">
        <v>2856</v>
      </c>
      <c r="J14" s="762">
        <v>2878</v>
      </c>
      <c r="K14" s="763">
        <v>0.315415428349916</v>
      </c>
      <c r="L14" s="763">
        <v>0.41541549947024958</v>
      </c>
      <c r="M14" s="763">
        <v>0.37376577070762479</v>
      </c>
      <c r="N14" s="763">
        <v>0.59706346551500422</v>
      </c>
      <c r="O14" s="763">
        <v>0.048009481207780112</v>
      </c>
      <c r="P14" s="763">
        <v>0.028257120611890896</v>
      </c>
      <c r="Q14" s="763">
        <v>0.036227908531163887</v>
      </c>
      <c r="R14" s="763">
        <v>0.14946625275434253</v>
      </c>
      <c r="S14" s="763">
        <v>0.20866312714774396</v>
      </c>
      <c r="T14" s="763">
        <v>0.41307698203092014</v>
      </c>
      <c r="U14" s="763">
        <v>0.11629912771615855</v>
      </c>
      <c r="V14" s="763">
        <v>0.037212824026300835</v>
      </c>
      <c r="W14" s="763">
        <v>0.030956993079272986</v>
      </c>
      <c r="X14" s="763">
        <v>0.03445610149112234</v>
      </c>
      <c r="Y14" s="763">
        <v>0.14982933716787439</v>
      </c>
      <c r="Z14" s="763">
        <v>0.20755760744539625</v>
      </c>
      <c r="AA14" s="763">
        <v>0.42259013113720978</v>
      </c>
      <c r="AB14" s="763">
        <v>0.11739700565282329</v>
      </c>
      <c r="AC14" s="763">
        <v>0.131804294727104</v>
      </c>
      <c r="AD14" s="763">
        <v>0.2586626784222264</v>
      </c>
      <c r="AE14" s="763">
        <v>0.38871871482640735</v>
      </c>
      <c r="AF14" s="763">
        <v>0.012992458056742694</v>
      </c>
      <c r="AG14" s="763">
        <v>0.026255571424883238</v>
      </c>
      <c r="AH14" s="763">
        <v>0.0400636638959511</v>
      </c>
      <c r="AI14" s="763">
        <v>0.0023633405785128238</v>
      </c>
      <c r="AJ14" s="763">
        <v>0.34149811418958764</v>
      </c>
      <c r="AK14" s="763">
        <v>0.29356376774236326</v>
      </c>
      <c r="AL14" s="763">
        <v>0.28998090498780738</v>
      </c>
      <c r="AM14" s="763">
        <v>0.33471288422009593</v>
      </c>
      <c r="AN14" s="763">
        <v>0.40357033259102265</v>
      </c>
      <c r="AO14" s="763">
        <v>0.15378939963119637</v>
      </c>
      <c r="AP14" s="763">
        <v>0.18322954706861661</v>
      </c>
      <c r="AQ14" s="763">
        <v>0.063825437879503066</v>
      </c>
      <c r="AR14" s="764">
        <v>0.035146263045465663</v>
      </c>
      <c r="AS14" s="394"/>
      <c r="AT14" s="397"/>
      <c r="AU14" s="398"/>
      <c r="AV14" s="398"/>
    </row>
    <row r="15" spans="1:48">
      <c r="A15" s="396">
        <v>212</v>
      </c>
      <c r="B15" s="761" t="s">
        <v>317</v>
      </c>
      <c r="C15" s="762">
        <v>18618</v>
      </c>
      <c r="D15" s="762">
        <v>15823</v>
      </c>
      <c r="E15" s="762">
        <v>9801</v>
      </c>
      <c r="F15" s="762">
        <v>2107</v>
      </c>
      <c r="G15" s="762">
        <v>2114</v>
      </c>
      <c r="H15" s="762">
        <v>1952</v>
      </c>
      <c r="I15" s="762">
        <v>1828</v>
      </c>
      <c r="J15" s="762">
        <v>1800</v>
      </c>
      <c r="K15" s="763">
        <v>0.18514340960360939</v>
      </c>
      <c r="L15" s="763">
        <v>0.25466286279081235</v>
      </c>
      <c r="M15" s="763">
        <v>0.20018365472910929</v>
      </c>
      <c r="N15" s="763">
        <v>0.39418321810353363</v>
      </c>
      <c r="O15" s="763">
        <v>0.4217852100817151</v>
      </c>
      <c r="P15" s="763">
        <v>0.13702001929466232</v>
      </c>
      <c r="Q15" s="763">
        <v>0.1285008225645666</v>
      </c>
      <c r="R15" s="763">
        <v>0.069142193348960684</v>
      </c>
      <c r="S15" s="763">
        <v>0.065458114347389615</v>
      </c>
      <c r="T15" s="763">
        <v>0.16668115939441155</v>
      </c>
      <c r="U15" s="763">
        <v>0.011412480968294078</v>
      </c>
      <c r="V15" s="763">
        <v>0.34765109829834739</v>
      </c>
      <c r="W15" s="763">
        <v>0.14836174353664883</v>
      </c>
      <c r="X15" s="763">
        <v>0.1367600276919187</v>
      </c>
      <c r="Y15" s="763">
        <v>0.082724369982247761</v>
      </c>
      <c r="Z15" s="763">
        <v>0.091674467676629887</v>
      </c>
      <c r="AA15" s="763">
        <v>0.17891433319159028</v>
      </c>
      <c r="AB15" s="763">
        <v>0.013913959622616739</v>
      </c>
      <c r="AC15" s="763">
        <v>0.0803957477003955</v>
      </c>
      <c r="AD15" s="763">
        <v>0.16075514925190679</v>
      </c>
      <c r="AE15" s="763">
        <v>0.23666530725828117</v>
      </c>
      <c r="AF15" s="763">
        <v>0.018005336339169523</v>
      </c>
      <c r="AG15" s="763">
        <v>0.036123451329797537</v>
      </c>
      <c r="AH15" s="763">
        <v>0.055794975783141659</v>
      </c>
      <c r="AI15" s="763">
        <v>0.0034251556613831909</v>
      </c>
      <c r="AJ15" s="763">
        <v>0.27731601300450848</v>
      </c>
      <c r="AK15" s="763">
        <v>0.30213307614759077</v>
      </c>
      <c r="AL15" s="763">
        <v>0.30202774862472165</v>
      </c>
      <c r="AM15" s="763">
        <v>0.32104931238888673</v>
      </c>
      <c r="AN15" s="763">
        <v>0.41553981257304867</v>
      </c>
      <c r="AO15" s="763">
        <v>0.17218881975938247</v>
      </c>
      <c r="AP15" s="763">
        <v>0.18928907152437185</v>
      </c>
      <c r="AQ15" s="763">
        <v>0.058506174941068322</v>
      </c>
      <c r="AR15" s="764">
        <v>0.04541747136537861</v>
      </c>
      <c r="AS15" s="394"/>
      <c r="AT15" s="397"/>
      <c r="AU15" s="398"/>
      <c r="AV15" s="398"/>
    </row>
    <row r="16" spans="1:48">
      <c r="A16" s="396">
        <v>213</v>
      </c>
      <c r="B16" s="761" t="s">
        <v>322</v>
      </c>
      <c r="C16" s="762">
        <v>9406</v>
      </c>
      <c r="D16" s="762">
        <v>8120</v>
      </c>
      <c r="E16" s="762">
        <v>8933</v>
      </c>
      <c r="F16" s="762">
        <v>1870</v>
      </c>
      <c r="G16" s="762">
        <v>1824</v>
      </c>
      <c r="H16" s="762">
        <v>1780</v>
      </c>
      <c r="I16" s="762">
        <v>1756</v>
      </c>
      <c r="J16" s="762">
        <v>1703</v>
      </c>
      <c r="K16" s="763">
        <v>0.25749521581968959</v>
      </c>
      <c r="L16" s="763">
        <v>0.36354767049938908</v>
      </c>
      <c r="M16" s="763">
        <v>0.26676368521213473</v>
      </c>
      <c r="N16" s="763">
        <v>0.48471254509473893</v>
      </c>
      <c r="O16" s="763">
        <v>0.22214371194053112</v>
      </c>
      <c r="P16" s="763">
        <v>0.066257347065510841</v>
      </c>
      <c r="Q16" s="763">
        <v>0.092015542732920313</v>
      </c>
      <c r="R16" s="763">
        <v>0.11771232894588379</v>
      </c>
      <c r="S16" s="763">
        <v>0.11760371097333214</v>
      </c>
      <c r="T16" s="763">
        <v>0.27188153195095532</v>
      </c>
      <c r="U16" s="763">
        <v>0.11238582639086662</v>
      </c>
      <c r="V16" s="763">
        <v>0.14121141014183108</v>
      </c>
      <c r="W16" s="763">
        <v>0.073128009930044924</v>
      </c>
      <c r="X16" s="763">
        <v>0.10640951493605527</v>
      </c>
      <c r="Y16" s="763">
        <v>0.13865945634195406</v>
      </c>
      <c r="Z16" s="763">
        <v>0.1434816504867546</v>
      </c>
      <c r="AA16" s="763">
        <v>0.29228622510644664</v>
      </c>
      <c r="AB16" s="763">
        <v>0.10482373305691331</v>
      </c>
      <c r="AC16" s="763">
        <v>0.11248500837594926</v>
      </c>
      <c r="AD16" s="763">
        <v>0.21450404002888959</v>
      </c>
      <c r="AE16" s="763">
        <v>0.323672373245853</v>
      </c>
      <c r="AF16" s="763">
        <v>0.016404133071031137</v>
      </c>
      <c r="AG16" s="763">
        <v>0.030620718600878352</v>
      </c>
      <c r="AH16" s="763">
        <v>0.045545882217440256</v>
      </c>
      <c r="AI16" s="763">
        <v>0.0023031136406040944</v>
      </c>
      <c r="AJ16" s="763">
        <v>0.32224545524553433</v>
      </c>
      <c r="AK16" s="763">
        <v>0.27331260020023007</v>
      </c>
      <c r="AL16" s="763">
        <v>0.28531084966697923</v>
      </c>
      <c r="AM16" s="763">
        <v>0.29899733158443553</v>
      </c>
      <c r="AN16" s="763">
        <v>0.39826411211210444</v>
      </c>
      <c r="AO16" s="763">
        <v>0.13620544991496311</v>
      </c>
      <c r="AP16" s="763">
        <v>0.17210410244091312</v>
      </c>
      <c r="AQ16" s="763">
        <v>0.074566176051809138</v>
      </c>
      <c r="AR16" s="764">
        <v>0.027639865846657535</v>
      </c>
      <c r="AS16" s="394"/>
      <c r="AT16" s="397"/>
      <c r="AU16" s="398"/>
      <c r="AV16" s="398"/>
    </row>
    <row r="17" spans="1:48">
      <c r="A17" s="396">
        <v>301</v>
      </c>
      <c r="B17" s="761" t="s">
        <v>172</v>
      </c>
      <c r="C17" s="762">
        <v>24856</v>
      </c>
      <c r="D17" s="762">
        <v>21416</v>
      </c>
      <c r="E17" s="762">
        <v>14526</v>
      </c>
      <c r="F17" s="762">
        <v>3179</v>
      </c>
      <c r="G17" s="762">
        <v>3131</v>
      </c>
      <c r="H17" s="762">
        <v>2847</v>
      </c>
      <c r="I17" s="762">
        <v>2826</v>
      </c>
      <c r="J17" s="762">
        <v>2543</v>
      </c>
      <c r="K17" s="763">
        <v>0.17420341165111036</v>
      </c>
      <c r="L17" s="763">
        <v>0.25610091911736305</v>
      </c>
      <c r="M17" s="763">
        <v>0.19688833815227869</v>
      </c>
      <c r="N17" s="763">
        <v>0.38833271545343861</v>
      </c>
      <c r="O17" s="763">
        <v>0.068885904197859185</v>
      </c>
      <c r="P17" s="763">
        <v>0.072895222323217324</v>
      </c>
      <c r="Q17" s="763">
        <v>0.27217618221701245</v>
      </c>
      <c r="R17" s="763">
        <v>0.23954896648113183</v>
      </c>
      <c r="S17" s="763">
        <v>0.22589181973443134</v>
      </c>
      <c r="T17" s="763">
        <v>0.12023911148517454</v>
      </c>
      <c r="U17" s="763">
        <v>0.00036279356117310346</v>
      </c>
      <c r="V17" s="763">
        <v>0.07162521547511308</v>
      </c>
      <c r="W17" s="763">
        <v>0.071900443058653993</v>
      </c>
      <c r="X17" s="763">
        <v>0.2829494687391681</v>
      </c>
      <c r="Y17" s="763">
        <v>0.22693204269867062</v>
      </c>
      <c r="Z17" s="763">
        <v>0.22734839736219609</v>
      </c>
      <c r="AA17" s="763">
        <v>0.11883109472933408</v>
      </c>
      <c r="AB17" s="763">
        <v>0.00041333793686423149</v>
      </c>
      <c r="AC17" s="763">
        <v>0.10598719006585948</v>
      </c>
      <c r="AD17" s="763">
        <v>0.21242062207627177</v>
      </c>
      <c r="AE17" s="763">
        <v>0.3085654080072156</v>
      </c>
      <c r="AF17" s="763">
        <v>0.024641675211802005</v>
      </c>
      <c r="AG17" s="763">
        <v>0.041144392947003124</v>
      </c>
      <c r="AH17" s="763">
        <v>0.0594823707978781</v>
      </c>
      <c r="AI17" s="763">
        <v>0.00385751136490105</v>
      </c>
      <c r="AJ17" s="763">
        <v>0.30823173621229605</v>
      </c>
      <c r="AK17" s="763">
        <v>0.372547550257116</v>
      </c>
      <c r="AL17" s="763">
        <v>0.35651881078414527</v>
      </c>
      <c r="AM17" s="763">
        <v>0.37405547096505543</v>
      </c>
      <c r="AN17" s="763">
        <v>0.45038919614912359</v>
      </c>
      <c r="AO17" s="763">
        <v>0.20621101159874275</v>
      </c>
      <c r="AP17" s="763">
        <v>0.2222031607490722</v>
      </c>
      <c r="AQ17" s="763">
        <v>0.088934439114031955</v>
      </c>
      <c r="AR17" s="764">
        <v>0.053618589199241777</v>
      </c>
      <c r="AS17" s="394"/>
      <c r="AT17" s="397"/>
      <c r="AU17" s="398"/>
      <c r="AV17" s="398"/>
    </row>
    <row r="18" spans="1:48">
      <c r="A18" s="396">
        <v>302</v>
      </c>
      <c r="B18" s="761" t="s">
        <v>174</v>
      </c>
      <c r="C18" s="762">
        <v>29949</v>
      </c>
      <c r="D18" s="762">
        <v>25795</v>
      </c>
      <c r="E18" s="762">
        <v>21316</v>
      </c>
      <c r="F18" s="762">
        <v>4632</v>
      </c>
      <c r="G18" s="762">
        <v>4390</v>
      </c>
      <c r="H18" s="762">
        <v>4239</v>
      </c>
      <c r="I18" s="762">
        <v>4077</v>
      </c>
      <c r="J18" s="762">
        <v>3978</v>
      </c>
      <c r="K18" s="763">
        <v>0.14457911783365054</v>
      </c>
      <c r="L18" s="763">
        <v>0.23280748041185</v>
      </c>
      <c r="M18" s="763">
        <v>0.14411709513980109</v>
      </c>
      <c r="N18" s="763">
        <v>0.27656078242913712</v>
      </c>
      <c r="O18" s="763">
        <v>0.58765832576804922</v>
      </c>
      <c r="P18" s="763">
        <v>0.11151410438889262</v>
      </c>
      <c r="Q18" s="763">
        <v>0.0966084451784673</v>
      </c>
      <c r="R18" s="763">
        <v>0.092187204662023417</v>
      </c>
      <c r="S18" s="763">
        <v>0.069126497520028668</v>
      </c>
      <c r="T18" s="763">
        <v>0.042470971254655487</v>
      </c>
      <c r="U18" s="763">
        <v>0.00043445122788339583</v>
      </c>
      <c r="V18" s="763">
        <v>0.56712872015846538</v>
      </c>
      <c r="W18" s="763">
        <v>0.11403631205892273</v>
      </c>
      <c r="X18" s="763">
        <v>0.10020321996126502</v>
      </c>
      <c r="Y18" s="763">
        <v>0.085268072185819443</v>
      </c>
      <c r="Z18" s="763">
        <v>0.079339330855835916</v>
      </c>
      <c r="AA18" s="763">
        <v>0.051863767929225368</v>
      </c>
      <c r="AB18" s="763">
        <v>0.0021605768504661693</v>
      </c>
      <c r="AC18" s="763">
        <v>0.10800327538461534</v>
      </c>
      <c r="AD18" s="763">
        <v>0.21246061283329362</v>
      </c>
      <c r="AE18" s="763">
        <v>0.30192514284142263</v>
      </c>
      <c r="AF18" s="763">
        <v>0.019755944026185565</v>
      </c>
      <c r="AG18" s="763">
        <v>0.037066005385096731</v>
      </c>
      <c r="AH18" s="763">
        <v>0.055923313242990928</v>
      </c>
      <c r="AI18" s="763">
        <v>0.0020426728307224532</v>
      </c>
      <c r="AJ18" s="763">
        <v>0.28508532248089552</v>
      </c>
      <c r="AK18" s="763">
        <v>0.26095404443442566</v>
      </c>
      <c r="AL18" s="763">
        <v>0.26753510536477193</v>
      </c>
      <c r="AM18" s="763">
        <v>0.31165475708990487</v>
      </c>
      <c r="AN18" s="763">
        <v>0.39099344950310294</v>
      </c>
      <c r="AO18" s="763">
        <v>0.15661106896759824</v>
      </c>
      <c r="AP18" s="763">
        <v>0.17273728184145762</v>
      </c>
      <c r="AQ18" s="763">
        <v>0.05343673317815912</v>
      </c>
      <c r="AR18" s="764">
        <v>0.03576130222104601</v>
      </c>
      <c r="AS18" s="394"/>
      <c r="AT18" s="397"/>
      <c r="AU18" s="398"/>
      <c r="AV18" s="398"/>
    </row>
    <row r="19" spans="1:48">
      <c r="A19" s="396">
        <v>303</v>
      </c>
      <c r="B19" s="761" t="s">
        <v>181</v>
      </c>
      <c r="C19" s="762">
        <v>22232</v>
      </c>
      <c r="D19" s="762">
        <v>19157</v>
      </c>
      <c r="E19" s="762">
        <v>16324</v>
      </c>
      <c r="F19" s="762">
        <v>3374</v>
      </c>
      <c r="G19" s="762">
        <v>3350</v>
      </c>
      <c r="H19" s="762">
        <v>3204</v>
      </c>
      <c r="I19" s="762">
        <v>3256</v>
      </c>
      <c r="J19" s="762">
        <v>3140</v>
      </c>
      <c r="K19" s="763">
        <v>0.14006836991723642</v>
      </c>
      <c r="L19" s="763">
        <v>0.19318866663193054</v>
      </c>
      <c r="M19" s="763">
        <v>0.12074246508208773</v>
      </c>
      <c r="N19" s="763">
        <v>0.24355547500008667</v>
      </c>
      <c r="O19" s="763">
        <v>0.55444209411916268</v>
      </c>
      <c r="P19" s="763">
        <v>0.10501116504944896</v>
      </c>
      <c r="Q19" s="763">
        <v>0.12941267348029867</v>
      </c>
      <c r="R19" s="763">
        <v>0.11107064491741474</v>
      </c>
      <c r="S19" s="763">
        <v>0.079730728420368935</v>
      </c>
      <c r="T19" s="763">
        <v>0.020287713804597828</v>
      </c>
      <c r="U19" s="763">
        <v>4.4980208708168342E-05</v>
      </c>
      <c r="V19" s="763">
        <v>0.50534643859778738</v>
      </c>
      <c r="W19" s="763">
        <v>0.11754062103061411</v>
      </c>
      <c r="X19" s="763">
        <v>0.14720417444432718</v>
      </c>
      <c r="Y19" s="763">
        <v>0.11398382307976132</v>
      </c>
      <c r="Z19" s="763">
        <v>0.082455187284887335</v>
      </c>
      <c r="AA19" s="763">
        <v>0.033101822633738343</v>
      </c>
      <c r="AB19" s="763">
        <v>0.00036793292888455219</v>
      </c>
      <c r="AC19" s="763">
        <v>0.040818866245610048</v>
      </c>
      <c r="AD19" s="763">
        <v>0.081413487218298941</v>
      </c>
      <c r="AE19" s="763">
        <v>0.11764929364685876</v>
      </c>
      <c r="AF19" s="763">
        <v>0.00566055187424348</v>
      </c>
      <c r="AG19" s="763">
        <v>0.011542326317231811</v>
      </c>
      <c r="AH19" s="763">
        <v>0.017243698691111971</v>
      </c>
      <c r="AI19" s="763">
        <v>0.0032021202368100474</v>
      </c>
      <c r="AJ19" s="763">
        <v>0.2263746969871504</v>
      </c>
      <c r="AK19" s="763">
        <v>0.26529533587161025</v>
      </c>
      <c r="AL19" s="763">
        <v>0.28744815374405364</v>
      </c>
      <c r="AM19" s="763">
        <v>0.30103085915163019</v>
      </c>
      <c r="AN19" s="763">
        <v>0.35278230872580058</v>
      </c>
      <c r="AO19" s="763">
        <v>0.13682267274837509</v>
      </c>
      <c r="AP19" s="763">
        <v>0.16729565977982544</v>
      </c>
      <c r="AQ19" s="763">
        <v>0.059028462277251718</v>
      </c>
      <c r="AR19" s="764">
        <v>0.038955325472474073</v>
      </c>
      <c r="AS19" s="394"/>
      <c r="AT19" s="397"/>
      <c r="AU19" s="398"/>
      <c r="AV19" s="398"/>
    </row>
    <row r="20" spans="1:48">
      <c r="A20" s="396">
        <v>304</v>
      </c>
      <c r="B20" s="761" t="s">
        <v>191</v>
      </c>
      <c r="C20" s="762">
        <v>25894</v>
      </c>
      <c r="D20" s="762">
        <v>22348</v>
      </c>
      <c r="E20" s="762">
        <v>15881</v>
      </c>
      <c r="F20" s="762">
        <v>3213</v>
      </c>
      <c r="G20" s="762">
        <v>3272</v>
      </c>
      <c r="H20" s="762">
        <v>3171</v>
      </c>
      <c r="I20" s="762">
        <v>3174</v>
      </c>
      <c r="J20" s="762">
        <v>3051</v>
      </c>
      <c r="K20" s="763">
        <v>0.11562524136865684</v>
      </c>
      <c r="L20" s="763">
        <v>0.18526876757613175</v>
      </c>
      <c r="M20" s="763">
        <v>0.13890812921100679</v>
      </c>
      <c r="N20" s="763">
        <v>0.29451616153550381</v>
      </c>
      <c r="O20" s="763">
        <v>0.36141711473898464</v>
      </c>
      <c r="P20" s="763">
        <v>0.15659585556739763</v>
      </c>
      <c r="Q20" s="763">
        <v>0.09338592631109037</v>
      </c>
      <c r="R20" s="763">
        <v>0.09629105271755016</v>
      </c>
      <c r="S20" s="763">
        <v>0.15873446988578857</v>
      </c>
      <c r="T20" s="763">
        <v>0.11703891011801104</v>
      </c>
      <c r="U20" s="763">
        <v>0.016536670661177533</v>
      </c>
      <c r="V20" s="763">
        <v>0.43317528908956915</v>
      </c>
      <c r="W20" s="763">
        <v>0.14687112803417679</v>
      </c>
      <c r="X20" s="763">
        <v>0.083554683087509782</v>
      </c>
      <c r="Y20" s="763">
        <v>0.085819514527843963</v>
      </c>
      <c r="Z20" s="763">
        <v>0.13591594102484739</v>
      </c>
      <c r="AA20" s="763">
        <v>0.10015368998834057</v>
      </c>
      <c r="AB20" s="763">
        <v>0.014509754247712359</v>
      </c>
      <c r="AC20" s="763">
        <v>0.14475866111044514</v>
      </c>
      <c r="AD20" s="763">
        <v>0.27949905045641654</v>
      </c>
      <c r="AE20" s="763">
        <v>0.39823781306251094</v>
      </c>
      <c r="AF20" s="763">
        <v>0.030095060729545712</v>
      </c>
      <c r="AG20" s="763">
        <v>0.060351618639583444</v>
      </c>
      <c r="AH20" s="763">
        <v>0.087083407150002429</v>
      </c>
      <c r="AI20" s="763">
        <v>0.0022507399128730587</v>
      </c>
      <c r="AJ20" s="763">
        <v>0.3214141224699395</v>
      </c>
      <c r="AK20" s="763">
        <v>0.35739767831259905</v>
      </c>
      <c r="AL20" s="763">
        <v>0.3968577182719093</v>
      </c>
      <c r="AM20" s="763">
        <v>0.41779729810531724</v>
      </c>
      <c r="AN20" s="763">
        <v>0.49758743752628914</v>
      </c>
      <c r="AO20" s="763">
        <v>0.19930217209423767</v>
      </c>
      <c r="AP20" s="763">
        <v>0.23311580233551782</v>
      </c>
      <c r="AQ20" s="763">
        <v>0.075037191305142414</v>
      </c>
      <c r="AR20" s="764">
        <v>0.0459370077793705</v>
      </c>
      <c r="AS20" s="394"/>
      <c r="AT20" s="397"/>
      <c r="AU20" s="398"/>
      <c r="AV20" s="398"/>
    </row>
    <row r="21" spans="1:48">
      <c r="A21" s="396">
        <v>305</v>
      </c>
      <c r="B21" s="761" t="s">
        <v>194</v>
      </c>
      <c r="C21" s="762">
        <v>27370</v>
      </c>
      <c r="D21" s="762">
        <v>23393</v>
      </c>
      <c r="E21" s="762">
        <v>18060</v>
      </c>
      <c r="F21" s="762">
        <v>4023</v>
      </c>
      <c r="G21" s="762">
        <v>3806</v>
      </c>
      <c r="H21" s="762">
        <v>3580</v>
      </c>
      <c r="I21" s="762">
        <v>3317</v>
      </c>
      <c r="J21" s="762">
        <v>3334</v>
      </c>
      <c r="K21" s="763">
        <v>0.10971867007672634</v>
      </c>
      <c r="L21" s="763">
        <v>0.15301288878759456</v>
      </c>
      <c r="M21" s="763">
        <v>0.11179401993355484</v>
      </c>
      <c r="N21" s="763">
        <v>0.21804024555862508</v>
      </c>
      <c r="O21" s="763">
        <v>0.69425572291259674</v>
      </c>
      <c r="P21" s="763">
        <v>0.036240000038524095</v>
      </c>
      <c r="Q21" s="763">
        <v>0.067711566408612825</v>
      </c>
      <c r="R21" s="763">
        <v>0.045892353058410072</v>
      </c>
      <c r="S21" s="763">
        <v>0.051926384708829994</v>
      </c>
      <c r="T21" s="763">
        <v>0.092718160003769409</v>
      </c>
      <c r="U21" s="763">
        <v>0.011255812869256841</v>
      </c>
      <c r="V21" s="763">
        <v>0.66068375957955416</v>
      </c>
      <c r="W21" s="763">
        <v>0.03789668583297616</v>
      </c>
      <c r="X21" s="763">
        <v>0.070976409510364782</v>
      </c>
      <c r="Y21" s="763">
        <v>0.056241421001870254</v>
      </c>
      <c r="Z21" s="763">
        <v>0.068600840745748182</v>
      </c>
      <c r="AA21" s="763">
        <v>0.0961826412865128</v>
      </c>
      <c r="AB21" s="763">
        <v>0.009418242042973736</v>
      </c>
      <c r="AC21" s="763">
        <v>0.032986973223118339</v>
      </c>
      <c r="AD21" s="763">
        <v>0.06443777321140727</v>
      </c>
      <c r="AE21" s="763">
        <v>0.09349618749455571</v>
      </c>
      <c r="AF21" s="763">
        <v>0.0041455828915645965</v>
      </c>
      <c r="AG21" s="763">
        <v>0.0085935257986149757</v>
      </c>
      <c r="AH21" s="763">
        <v>0.013521844642692113</v>
      </c>
      <c r="AI21" s="763">
        <v>0.0037863049628528156</v>
      </c>
      <c r="AJ21" s="763">
        <v>0.24082537850407668</v>
      </c>
      <c r="AK21" s="763">
        <v>0.24969638185833729</v>
      </c>
      <c r="AL21" s="763">
        <v>0.23637877546109651</v>
      </c>
      <c r="AM21" s="763">
        <v>0.24497530747056515</v>
      </c>
      <c r="AN21" s="763">
        <v>0.32484410114109508</v>
      </c>
      <c r="AO21" s="763">
        <v>0.11250254253265771</v>
      </c>
      <c r="AP21" s="763">
        <v>0.14517192463565753</v>
      </c>
      <c r="AQ21" s="763">
        <v>0.0456867381593461</v>
      </c>
      <c r="AR21" s="764">
        <v>0.021228531527639996</v>
      </c>
      <c r="AS21" s="394"/>
      <c r="AT21" s="397"/>
      <c r="AU21" s="398"/>
      <c r="AV21" s="398"/>
    </row>
    <row r="22" spans="1:48">
      <c r="A22" s="396">
        <v>306</v>
      </c>
      <c r="B22" s="761" t="s">
        <v>206</v>
      </c>
      <c r="C22" s="762">
        <v>32409</v>
      </c>
      <c r="D22" s="762">
        <v>27851</v>
      </c>
      <c r="E22" s="762">
        <v>18632</v>
      </c>
      <c r="F22" s="762">
        <v>3896</v>
      </c>
      <c r="G22" s="762">
        <v>3772</v>
      </c>
      <c r="H22" s="762">
        <v>3531</v>
      </c>
      <c r="I22" s="762">
        <v>3765</v>
      </c>
      <c r="J22" s="762">
        <v>3668</v>
      </c>
      <c r="K22" s="763">
        <v>0.24147613317288411</v>
      </c>
      <c r="L22" s="763">
        <v>0.29649536115784497</v>
      </c>
      <c r="M22" s="763">
        <v>0.22600901674538434</v>
      </c>
      <c r="N22" s="763">
        <v>0.37827697365563329</v>
      </c>
      <c r="O22" s="763">
        <v>0.37326583601558549</v>
      </c>
      <c r="P22" s="763">
        <v>0.14843644277281132</v>
      </c>
      <c r="Q22" s="763">
        <v>0.1986704213954997</v>
      </c>
      <c r="R22" s="763">
        <v>0.11564079604899032</v>
      </c>
      <c r="S22" s="763">
        <v>0.11649212751006041</v>
      </c>
      <c r="T22" s="763">
        <v>0.041442974701104252</v>
      </c>
      <c r="U22" s="763">
        <v>0.0060514015559484336</v>
      </c>
      <c r="V22" s="763">
        <v>0.34927077288076319</v>
      </c>
      <c r="W22" s="763">
        <v>0.13021030900011882</v>
      </c>
      <c r="X22" s="763">
        <v>0.19033957556912051</v>
      </c>
      <c r="Y22" s="763">
        <v>0.12156868294984303</v>
      </c>
      <c r="Z22" s="763">
        <v>0.13219950996491436</v>
      </c>
      <c r="AA22" s="763">
        <v>0.06916213440562953</v>
      </c>
      <c r="AB22" s="763">
        <v>0.0072490152296104489</v>
      </c>
      <c r="AC22" s="763">
        <v>0.082366785001717222</v>
      </c>
      <c r="AD22" s="763">
        <v>0.15835377790646249</v>
      </c>
      <c r="AE22" s="763">
        <v>0.22273612758765979</v>
      </c>
      <c r="AF22" s="763">
        <v>0.01507334646616121</v>
      </c>
      <c r="AG22" s="763">
        <v>0.028282990658932888</v>
      </c>
      <c r="AH22" s="763">
        <v>0.041390207604867973</v>
      </c>
      <c r="AI22" s="763">
        <v>0.006622309020254547</v>
      </c>
      <c r="AJ22" s="763">
        <v>0.30434297364981644</v>
      </c>
      <c r="AK22" s="763">
        <v>0.35953179771020366</v>
      </c>
      <c r="AL22" s="763">
        <v>0.35344667505746785</v>
      </c>
      <c r="AM22" s="763">
        <v>0.39803522634346727</v>
      </c>
      <c r="AN22" s="763">
        <v>0.46449179076803471</v>
      </c>
      <c r="AO22" s="763">
        <v>0.21013033161862629</v>
      </c>
      <c r="AP22" s="763">
        <v>0.22423292355943672</v>
      </c>
      <c r="AQ22" s="763">
        <v>0.064719113978952122</v>
      </c>
      <c r="AR22" s="764">
        <v>0.042281273796791724</v>
      </c>
      <c r="AS22" s="394"/>
      <c r="AT22" s="397"/>
      <c r="AU22" s="398"/>
      <c r="AV22" s="398"/>
    </row>
    <row r="23" spans="1:48">
      <c r="A23" s="396">
        <v>307</v>
      </c>
      <c r="B23" s="761" t="s">
        <v>218</v>
      </c>
      <c r="C23" s="762">
        <v>30201</v>
      </c>
      <c r="D23" s="762">
        <v>26058</v>
      </c>
      <c r="E23" s="762">
        <v>16347</v>
      </c>
      <c r="F23" s="762">
        <v>3544</v>
      </c>
      <c r="G23" s="762">
        <v>3328</v>
      </c>
      <c r="H23" s="762">
        <v>3250</v>
      </c>
      <c r="I23" s="762">
        <v>3215</v>
      </c>
      <c r="J23" s="762">
        <v>3010</v>
      </c>
      <c r="K23" s="763">
        <v>0.166418330518857</v>
      </c>
      <c r="L23" s="763">
        <v>0.22938489099359669</v>
      </c>
      <c r="M23" s="763">
        <v>0.17048999816480093</v>
      </c>
      <c r="N23" s="763">
        <v>0.30717768400022327</v>
      </c>
      <c r="O23" s="763">
        <v>0.40894786378710418</v>
      </c>
      <c r="P23" s="763">
        <v>0.18115244989033655</v>
      </c>
      <c r="Q23" s="763">
        <v>0.14532718851807713</v>
      </c>
      <c r="R23" s="763">
        <v>0.10894536140496952</v>
      </c>
      <c r="S23" s="763">
        <v>0.080880387718076541</v>
      </c>
      <c r="T23" s="763">
        <v>0.063888754035582321</v>
      </c>
      <c r="U23" s="763">
        <v>0.010857994645853726</v>
      </c>
      <c r="V23" s="763">
        <v>0.38631873594460187</v>
      </c>
      <c r="W23" s="763">
        <v>0.1966561867548493</v>
      </c>
      <c r="X23" s="763">
        <v>0.137722688390643</v>
      </c>
      <c r="Y23" s="763">
        <v>0.1085373104254936</v>
      </c>
      <c r="Z23" s="763">
        <v>0.088775295982716412</v>
      </c>
      <c r="AA23" s="763">
        <v>0.066569541710066862</v>
      </c>
      <c r="AB23" s="763">
        <v>0.015420240791628771</v>
      </c>
      <c r="AC23" s="763">
        <v>0.12720322806626971</v>
      </c>
      <c r="AD23" s="763">
        <v>0.24245228602316496</v>
      </c>
      <c r="AE23" s="763">
        <v>0.3526915389563352</v>
      </c>
      <c r="AF23" s="763">
        <v>0.029051383866788818</v>
      </c>
      <c r="AG23" s="763">
        <v>0.054058846493988746</v>
      </c>
      <c r="AH23" s="763">
        <v>0.081752865853374615</v>
      </c>
      <c r="AI23" s="763">
        <v>0.0030181639043907133</v>
      </c>
      <c r="AJ23" s="763">
        <v>0.297211530437227</v>
      </c>
      <c r="AK23" s="763">
        <v>0.32160251397885015</v>
      </c>
      <c r="AL23" s="763">
        <v>0.345229035701661</v>
      </c>
      <c r="AM23" s="763">
        <v>0.38456821287927651</v>
      </c>
      <c r="AN23" s="763">
        <v>0.47189552728631257</v>
      </c>
      <c r="AO23" s="763">
        <v>0.19851301987044748</v>
      </c>
      <c r="AP23" s="763">
        <v>0.21517868850386357</v>
      </c>
      <c r="AQ23" s="763">
        <v>0.069817554733260012</v>
      </c>
      <c r="AR23" s="764">
        <v>0.049839814625771063</v>
      </c>
      <c r="AS23" s="394"/>
      <c r="AT23" s="397"/>
      <c r="AU23" s="398"/>
      <c r="AV23" s="398"/>
    </row>
    <row r="24" spans="1:48">
      <c r="A24" s="396">
        <v>308</v>
      </c>
      <c r="B24" s="761" t="s">
        <v>221</v>
      </c>
      <c r="C24" s="762">
        <v>31275</v>
      </c>
      <c r="D24" s="762">
        <v>26986</v>
      </c>
      <c r="E24" s="762">
        <v>19214</v>
      </c>
      <c r="F24" s="762">
        <v>4034</v>
      </c>
      <c r="G24" s="762">
        <v>3891</v>
      </c>
      <c r="H24" s="762">
        <v>3835</v>
      </c>
      <c r="I24" s="762">
        <v>3741</v>
      </c>
      <c r="J24" s="762">
        <v>3713</v>
      </c>
      <c r="K24" s="763">
        <v>0.181806554756195</v>
      </c>
      <c r="L24" s="763">
        <v>0.28059606391396935</v>
      </c>
      <c r="M24" s="763">
        <v>0.1877276985531382</v>
      </c>
      <c r="N24" s="763">
        <v>0.37495979730676393</v>
      </c>
      <c r="O24" s="763">
        <v>0.24758690604261291</v>
      </c>
      <c r="P24" s="763">
        <v>0.0874410691739</v>
      </c>
      <c r="Q24" s="763">
        <v>0.091399005843608938</v>
      </c>
      <c r="R24" s="763">
        <v>0.097351528297852374</v>
      </c>
      <c r="S24" s="763">
        <v>0.18608758463972716</v>
      </c>
      <c r="T24" s="763">
        <v>0.27569573797098579</v>
      </c>
      <c r="U24" s="763">
        <v>0.014438168031312797</v>
      </c>
      <c r="V24" s="763">
        <v>0.2159432875758148</v>
      </c>
      <c r="W24" s="763">
        <v>0.078889967768207739</v>
      </c>
      <c r="X24" s="763">
        <v>0.0900966052585869</v>
      </c>
      <c r="Y24" s="763">
        <v>0.10989845419946061</v>
      </c>
      <c r="Z24" s="763">
        <v>0.19750620163800398</v>
      </c>
      <c r="AA24" s="763">
        <v>0.28974542078069332</v>
      </c>
      <c r="AB24" s="763">
        <v>0.017920062779232904</v>
      </c>
      <c r="AC24" s="763">
        <v>0.097852539615770937</v>
      </c>
      <c r="AD24" s="763">
        <v>0.18930835874619606</v>
      </c>
      <c r="AE24" s="763">
        <v>0.27808997465785751</v>
      </c>
      <c r="AF24" s="763">
        <v>0.022082321977574051</v>
      </c>
      <c r="AG24" s="763">
        <v>0.041563615892914761</v>
      </c>
      <c r="AH24" s="763">
        <v>0.061089427241970182</v>
      </c>
      <c r="AI24" s="763">
        <v>0.0034329293179784061</v>
      </c>
      <c r="AJ24" s="763">
        <v>0.3396345973078676</v>
      </c>
      <c r="AK24" s="763">
        <v>0.33321656675463907</v>
      </c>
      <c r="AL24" s="763">
        <v>0.3737885635467581</v>
      </c>
      <c r="AM24" s="763">
        <v>0.41110046318815119</v>
      </c>
      <c r="AN24" s="763">
        <v>0.4905462610128003</v>
      </c>
      <c r="AO24" s="763">
        <v>0.18309205909978193</v>
      </c>
      <c r="AP24" s="763">
        <v>0.22214689808460403</v>
      </c>
      <c r="AQ24" s="763">
        <v>0.063913160333586447</v>
      </c>
      <c r="AR24" s="764">
        <v>0.042250672379586983</v>
      </c>
      <c r="AS24" s="394"/>
      <c r="AT24" s="397"/>
      <c r="AU24" s="398"/>
      <c r="AV24" s="398"/>
    </row>
    <row r="25" spans="1:48">
      <c r="A25" s="396">
        <v>309</v>
      </c>
      <c r="B25" s="761" t="s">
        <v>230</v>
      </c>
      <c r="C25" s="762">
        <v>20918</v>
      </c>
      <c r="D25" s="762">
        <v>17978</v>
      </c>
      <c r="E25" s="762">
        <v>12914</v>
      </c>
      <c r="F25" s="762">
        <v>2740</v>
      </c>
      <c r="G25" s="762">
        <v>2735</v>
      </c>
      <c r="H25" s="762">
        <v>2498</v>
      </c>
      <c r="I25" s="762">
        <v>2481</v>
      </c>
      <c r="J25" s="762">
        <v>2460</v>
      </c>
      <c r="K25" s="763">
        <v>0.17917582942919974</v>
      </c>
      <c r="L25" s="763">
        <v>0.26344205988361774</v>
      </c>
      <c r="M25" s="763">
        <v>0.22092302927055898</v>
      </c>
      <c r="N25" s="763">
        <v>0.417642261516392</v>
      </c>
      <c r="O25" s="763">
        <v>0.27479057448821304</v>
      </c>
      <c r="P25" s="763">
        <v>0.070338832822229941</v>
      </c>
      <c r="Q25" s="763">
        <v>0.09285780685827677</v>
      </c>
      <c r="R25" s="763">
        <v>0.13426458737909117</v>
      </c>
      <c r="S25" s="763">
        <v>0.20701599044323588</v>
      </c>
      <c r="T25" s="763">
        <v>0.18613623653951161</v>
      </c>
      <c r="U25" s="763">
        <v>0.034595971469441662</v>
      </c>
      <c r="V25" s="763">
        <v>0.24229622910629611</v>
      </c>
      <c r="W25" s="763">
        <v>0.073272630277211939</v>
      </c>
      <c r="X25" s="763">
        <v>0.091128118040166337</v>
      </c>
      <c r="Y25" s="763">
        <v>0.13447318028168642</v>
      </c>
      <c r="Z25" s="763">
        <v>0.21260956485106539</v>
      </c>
      <c r="AA25" s="763">
        <v>0.2081271822070396</v>
      </c>
      <c r="AB25" s="763">
        <v>0.038093095236534126</v>
      </c>
      <c r="AC25" s="763">
        <v>0.11115411613868453</v>
      </c>
      <c r="AD25" s="763">
        <v>0.21005499939183739</v>
      </c>
      <c r="AE25" s="763">
        <v>0.3025583944772326</v>
      </c>
      <c r="AF25" s="763">
        <v>0.026429385220327912</v>
      </c>
      <c r="AG25" s="763">
        <v>0.049746098960084209</v>
      </c>
      <c r="AH25" s="763">
        <v>0.071752983296159617</v>
      </c>
      <c r="AI25" s="763">
        <v>0.0031370936082556521</v>
      </c>
      <c r="AJ25" s="763">
        <v>0.28384367829106116</v>
      </c>
      <c r="AK25" s="763">
        <v>0.352247271488354</v>
      </c>
      <c r="AL25" s="763">
        <v>0.32900226921057407</v>
      </c>
      <c r="AM25" s="763">
        <v>0.37002269522561093</v>
      </c>
      <c r="AN25" s="763">
        <v>0.45948482000800417</v>
      </c>
      <c r="AO25" s="763">
        <v>0.17652643253514111</v>
      </c>
      <c r="AP25" s="763">
        <v>0.21009241763727035</v>
      </c>
      <c r="AQ25" s="763">
        <v>0.058852884123132596</v>
      </c>
      <c r="AR25" s="764">
        <v>0.044701656144481058</v>
      </c>
      <c r="AS25" s="394"/>
      <c r="AT25" s="397"/>
      <c r="AU25" s="398"/>
      <c r="AV25" s="398"/>
    </row>
    <row r="26" spans="1:48">
      <c r="A26" s="396">
        <v>310</v>
      </c>
      <c r="B26" s="761" t="s">
        <v>231</v>
      </c>
      <c r="C26" s="762">
        <v>21752</v>
      </c>
      <c r="D26" s="762">
        <v>18674</v>
      </c>
      <c r="E26" s="762">
        <v>12440</v>
      </c>
      <c r="F26" s="762">
        <v>2659</v>
      </c>
      <c r="G26" s="762">
        <v>2541</v>
      </c>
      <c r="H26" s="762">
        <v>2461</v>
      </c>
      <c r="I26" s="762">
        <v>2469</v>
      </c>
      <c r="J26" s="762">
        <v>2310</v>
      </c>
      <c r="K26" s="763">
        <v>0.094795880838543525</v>
      </c>
      <c r="L26" s="763">
        <v>0.13068398420195126</v>
      </c>
      <c r="M26" s="763">
        <v>0.1321543408360128</v>
      </c>
      <c r="N26" s="763">
        <v>0.27178540911052307</v>
      </c>
      <c r="O26" s="763">
        <v>0.686961436866838</v>
      </c>
      <c r="P26" s="763">
        <v>0.1096690229405712</v>
      </c>
      <c r="Q26" s="763">
        <v>0.12944819879391473</v>
      </c>
      <c r="R26" s="763">
        <v>0.020967125697852567</v>
      </c>
      <c r="S26" s="763">
        <v>0.02871714158178167</v>
      </c>
      <c r="T26" s="763">
        <v>0.02419110133493016</v>
      </c>
      <c r="U26" s="763">
        <v>4.5972784111805711E-05</v>
      </c>
      <c r="V26" s="763">
        <v>0.62690509717353626</v>
      </c>
      <c r="W26" s="763">
        <v>0.11875971065942448</v>
      </c>
      <c r="X26" s="763">
        <v>0.14585413977611622</v>
      </c>
      <c r="Y26" s="763">
        <v>0.038120055763148204</v>
      </c>
      <c r="Z26" s="763">
        <v>0.037873021209778875</v>
      </c>
      <c r="AA26" s="763">
        <v>0.03136225794073913</v>
      </c>
      <c r="AB26" s="763">
        <v>0.0011257174772568788</v>
      </c>
      <c r="AC26" s="763">
        <v>0.12561863020472741</v>
      </c>
      <c r="AD26" s="763">
        <v>0.24313450265606348</v>
      </c>
      <c r="AE26" s="763">
        <v>0.34966457464154582</v>
      </c>
      <c r="AF26" s="763">
        <v>0.027926364745042377</v>
      </c>
      <c r="AG26" s="763">
        <v>0.058411554537232777</v>
      </c>
      <c r="AH26" s="763">
        <v>0.085014126217720337</v>
      </c>
      <c r="AI26" s="763">
        <v>0.0018420370268842723</v>
      </c>
      <c r="AJ26" s="763">
        <v>0.28020641581749461</v>
      </c>
      <c r="AK26" s="763">
        <v>0.3021635930633701</v>
      </c>
      <c r="AL26" s="763">
        <v>0.31880526858590452</v>
      </c>
      <c r="AM26" s="763">
        <v>0.37001149245416953</v>
      </c>
      <c r="AN26" s="763">
        <v>0.44350272681139596</v>
      </c>
      <c r="AO26" s="763">
        <v>0.17966102821820185</v>
      </c>
      <c r="AP26" s="763">
        <v>0.20120044149116895</v>
      </c>
      <c r="AQ26" s="763">
        <v>0.0712675000723703</v>
      </c>
      <c r="AR26" s="764">
        <v>0.054233425527356313</v>
      </c>
      <c r="AS26" s="394"/>
      <c r="AT26" s="397"/>
      <c r="AU26" s="398"/>
      <c r="AV26" s="398"/>
    </row>
    <row r="27" spans="1:48">
      <c r="A27" s="396">
        <v>311</v>
      </c>
      <c r="B27" s="761" t="s">
        <v>233</v>
      </c>
      <c r="C27" s="762">
        <v>22309</v>
      </c>
      <c r="D27" s="762">
        <v>19064</v>
      </c>
      <c r="E27" s="762">
        <v>14559</v>
      </c>
      <c r="F27" s="762">
        <v>3047</v>
      </c>
      <c r="G27" s="762">
        <v>2939</v>
      </c>
      <c r="H27" s="762">
        <v>2825</v>
      </c>
      <c r="I27" s="762">
        <v>2892</v>
      </c>
      <c r="J27" s="762">
        <v>2856</v>
      </c>
      <c r="K27" s="763">
        <v>0.14397776682056573</v>
      </c>
      <c r="L27" s="763">
        <v>0.19999583001074336</v>
      </c>
      <c r="M27" s="763">
        <v>0.13730338622158109</v>
      </c>
      <c r="N27" s="763">
        <v>0.25151694581745254</v>
      </c>
      <c r="O27" s="763">
        <v>0.492592345567976</v>
      </c>
      <c r="P27" s="763">
        <v>0.14632602434443556</v>
      </c>
      <c r="Q27" s="763">
        <v>0.12175696957146276</v>
      </c>
      <c r="R27" s="763">
        <v>0.090852022509553376</v>
      </c>
      <c r="S27" s="763">
        <v>0.081799667386414893</v>
      </c>
      <c r="T27" s="763">
        <v>0.066493670786009734</v>
      </c>
      <c r="U27" s="763">
        <v>0.00017929983414765349</v>
      </c>
      <c r="V27" s="763">
        <v>0.4994024114794785</v>
      </c>
      <c r="W27" s="763">
        <v>0.14902820748015047</v>
      </c>
      <c r="X27" s="763">
        <v>0.11893822339556166</v>
      </c>
      <c r="Y27" s="763">
        <v>0.090830725549135141</v>
      </c>
      <c r="Z27" s="763">
        <v>0.077905644926541825</v>
      </c>
      <c r="AA27" s="763">
        <v>0.063139013667077665</v>
      </c>
      <c r="AB27" s="763">
        <v>0.00075577350205454025</v>
      </c>
      <c r="AC27" s="763">
        <v>0.049722541595353824</v>
      </c>
      <c r="AD27" s="763">
        <v>0.098559454915049943</v>
      </c>
      <c r="AE27" s="763">
        <v>0.14015199614087079</v>
      </c>
      <c r="AF27" s="763">
        <v>0.0071813901147555871</v>
      </c>
      <c r="AG27" s="763">
        <v>0.012362525341889493</v>
      </c>
      <c r="AH27" s="763">
        <v>0.017053434306488549</v>
      </c>
      <c r="AI27" s="763">
        <v>0.004539298627170953</v>
      </c>
      <c r="AJ27" s="763">
        <v>0.29485510150267819</v>
      </c>
      <c r="AK27" s="763">
        <v>0.28788729302119959</v>
      </c>
      <c r="AL27" s="763">
        <v>0.27748786969167527</v>
      </c>
      <c r="AM27" s="763">
        <v>0.284606656582903</v>
      </c>
      <c r="AN27" s="763">
        <v>0.37515093938407851</v>
      </c>
      <c r="AO27" s="763">
        <v>0.14264190389240752</v>
      </c>
      <c r="AP27" s="763">
        <v>0.17031713630590367</v>
      </c>
      <c r="AQ27" s="763">
        <v>0.055591455655031229</v>
      </c>
      <c r="AR27" s="764">
        <v>0.041575727370451517</v>
      </c>
      <c r="AS27" s="394"/>
      <c r="AT27" s="397"/>
      <c r="AU27" s="398"/>
      <c r="AV27" s="398"/>
    </row>
    <row r="28" spans="1:48">
      <c r="A28" s="396">
        <v>312</v>
      </c>
      <c r="B28" s="761" t="s">
        <v>236</v>
      </c>
      <c r="C28" s="762">
        <v>27930</v>
      </c>
      <c r="D28" s="762">
        <v>23966</v>
      </c>
      <c r="E28" s="762">
        <v>17062</v>
      </c>
      <c r="F28" s="762">
        <v>3684</v>
      </c>
      <c r="G28" s="762">
        <v>3434</v>
      </c>
      <c r="H28" s="762">
        <v>3374</v>
      </c>
      <c r="I28" s="762">
        <v>3343</v>
      </c>
      <c r="J28" s="762">
        <v>3227</v>
      </c>
      <c r="K28" s="763">
        <v>0.14654493376297884</v>
      </c>
      <c r="L28" s="763">
        <v>0.19783432055434658</v>
      </c>
      <c r="M28" s="763">
        <v>0.15584339467823238</v>
      </c>
      <c r="N28" s="763">
        <v>0.29870951576378096</v>
      </c>
      <c r="O28" s="763">
        <v>0.40384530575299615</v>
      </c>
      <c r="P28" s="763">
        <v>0.19651301105929223</v>
      </c>
      <c r="Q28" s="763">
        <v>0.19314969481087341</v>
      </c>
      <c r="R28" s="763">
        <v>0.12907114086931798</v>
      </c>
      <c r="S28" s="763">
        <v>0.063699087026197143</v>
      </c>
      <c r="T28" s="763">
        <v>0.013650152890918539</v>
      </c>
      <c r="U28" s="763">
        <v>7.1607590404582951E-05</v>
      </c>
      <c r="V28" s="763">
        <v>0.40221999412865489</v>
      </c>
      <c r="W28" s="763">
        <v>0.20197860762531364</v>
      </c>
      <c r="X28" s="763">
        <v>0.18168950401830583</v>
      </c>
      <c r="Y28" s="763">
        <v>0.13233514334274257</v>
      </c>
      <c r="Z28" s="763">
        <v>0.062178197298478129</v>
      </c>
      <c r="AA28" s="763">
        <v>0.019128740745988596</v>
      </c>
      <c r="AB28" s="763">
        <v>0.00046981284051658993</v>
      </c>
      <c r="AC28" s="763">
        <v>0.1100004311397699</v>
      </c>
      <c r="AD28" s="763">
        <v>0.20498428818595166</v>
      </c>
      <c r="AE28" s="763">
        <v>0.28878462084155287</v>
      </c>
      <c r="AF28" s="763">
        <v>0.020187962208005363</v>
      </c>
      <c r="AG28" s="763">
        <v>0.033683338418830137</v>
      </c>
      <c r="AH28" s="763">
        <v>0.049728584477596122</v>
      </c>
      <c r="AI28" s="763">
        <v>0.00264546424300403</v>
      </c>
      <c r="AJ28" s="763">
        <v>0.31051518786217247</v>
      </c>
      <c r="AK28" s="763">
        <v>0.32867648768213015</v>
      </c>
      <c r="AL28" s="763">
        <v>0.355215927514331</v>
      </c>
      <c r="AM28" s="763">
        <v>0.39280756802861028</v>
      </c>
      <c r="AN28" s="763">
        <v>0.45949618786745322</v>
      </c>
      <c r="AO28" s="763">
        <v>0.17440287373327543</v>
      </c>
      <c r="AP28" s="763">
        <v>0.212557780697226</v>
      </c>
      <c r="AQ28" s="763">
        <v>0.061617599068604985</v>
      </c>
      <c r="AR28" s="764">
        <v>0.046308998167081963</v>
      </c>
      <c r="AS28" s="394"/>
      <c r="AT28" s="397"/>
      <c r="AU28" s="398"/>
      <c r="AV28" s="398"/>
    </row>
    <row r="29" spans="1:48">
      <c r="A29" s="396">
        <v>313</v>
      </c>
      <c r="B29" s="761" t="s">
        <v>237</v>
      </c>
      <c r="C29" s="762">
        <v>23441</v>
      </c>
      <c r="D29" s="762">
        <v>20118</v>
      </c>
      <c r="E29" s="762">
        <v>14821</v>
      </c>
      <c r="F29" s="762">
        <v>3252</v>
      </c>
      <c r="G29" s="762">
        <v>2994</v>
      </c>
      <c r="H29" s="762">
        <v>2923</v>
      </c>
      <c r="I29" s="762">
        <v>2838</v>
      </c>
      <c r="J29" s="762">
        <v>2814</v>
      </c>
      <c r="K29" s="763">
        <v>0.16219444562945259</v>
      </c>
      <c r="L29" s="763">
        <v>0.219460696392459</v>
      </c>
      <c r="M29" s="763">
        <v>0.18952837190472963</v>
      </c>
      <c r="N29" s="763">
        <v>0.31624497376304039</v>
      </c>
      <c r="O29" s="763">
        <v>0.42945564099098793</v>
      </c>
      <c r="P29" s="763">
        <v>0.21747841542258206</v>
      </c>
      <c r="Q29" s="763">
        <v>0.12700314138103777</v>
      </c>
      <c r="R29" s="763">
        <v>0.12645665538041756</v>
      </c>
      <c r="S29" s="763">
        <v>0.036820092726491158</v>
      </c>
      <c r="T29" s="763">
        <v>0.062486510612457073</v>
      </c>
      <c r="U29" s="763">
        <v>0.00029954348602663348</v>
      </c>
      <c r="V29" s="763">
        <v>0.39707753813736862</v>
      </c>
      <c r="W29" s="763">
        <v>0.21685466706269238</v>
      </c>
      <c r="X29" s="763">
        <v>0.13882570582099987</v>
      </c>
      <c r="Y29" s="763">
        <v>0.12645303592813034</v>
      </c>
      <c r="Z29" s="763">
        <v>0.048078940414264186</v>
      </c>
      <c r="AA29" s="763">
        <v>0.067443927030456527</v>
      </c>
      <c r="AB29" s="763">
        <v>0.0052661856060881133</v>
      </c>
      <c r="AC29" s="763">
        <v>0.13950098787413853</v>
      </c>
      <c r="AD29" s="763">
        <v>0.2712937693729327</v>
      </c>
      <c r="AE29" s="763">
        <v>0.37931509133031638</v>
      </c>
      <c r="AF29" s="763">
        <v>0.024705991848360774</v>
      </c>
      <c r="AG29" s="763">
        <v>0.045764123938069785</v>
      </c>
      <c r="AH29" s="763">
        <v>0.06599458581724138</v>
      </c>
      <c r="AI29" s="763">
        <v>0.0024649421728521123</v>
      </c>
      <c r="AJ29" s="763">
        <v>0.30929645942728695</v>
      </c>
      <c r="AK29" s="763">
        <v>0.32638656623119017</v>
      </c>
      <c r="AL29" s="763">
        <v>0.33542110715667933</v>
      </c>
      <c r="AM29" s="763">
        <v>0.3795919235150097</v>
      </c>
      <c r="AN29" s="763">
        <v>0.44109159611166027</v>
      </c>
      <c r="AO29" s="763">
        <v>0.16093611259781906</v>
      </c>
      <c r="AP29" s="763">
        <v>0.20386504361884705</v>
      </c>
      <c r="AQ29" s="763">
        <v>0.066730349599362679</v>
      </c>
      <c r="AR29" s="764">
        <v>0.046924908033833035</v>
      </c>
      <c r="AS29" s="394"/>
      <c r="AT29" s="397"/>
      <c r="AU29" s="398"/>
      <c r="AV29" s="398"/>
    </row>
    <row r="30" spans="1:48">
      <c r="A30" s="396">
        <v>314</v>
      </c>
      <c r="B30" s="761" t="s">
        <v>653</v>
      </c>
      <c r="C30" s="762">
        <v>13480</v>
      </c>
      <c r="D30" s="762">
        <v>11542</v>
      </c>
      <c r="E30" s="762">
        <v>9190</v>
      </c>
      <c r="F30" s="762">
        <v>1987</v>
      </c>
      <c r="G30" s="762">
        <v>1885</v>
      </c>
      <c r="H30" s="762">
        <v>1786</v>
      </c>
      <c r="I30" s="762">
        <v>1812</v>
      </c>
      <c r="J30" s="762">
        <v>1720</v>
      </c>
      <c r="K30" s="763">
        <v>0.10222551928783384</v>
      </c>
      <c r="L30" s="763">
        <v>0.14259150845242774</v>
      </c>
      <c r="M30" s="763">
        <v>0.089336235038084855</v>
      </c>
      <c r="N30" s="763">
        <v>0.17281152731015084</v>
      </c>
      <c r="O30" s="763">
        <v>0.82977175941568837</v>
      </c>
      <c r="P30" s="763">
        <v>0.095923585207297435</v>
      </c>
      <c r="Q30" s="763">
        <v>0.037700808667950947</v>
      </c>
      <c r="R30" s="763">
        <v>0.018781363636253563</v>
      </c>
      <c r="S30" s="763">
        <v>0.016635539452631597</v>
      </c>
      <c r="T30" s="763">
        <v>0.0011869436201780413</v>
      </c>
      <c r="U30" s="763">
        <v>0</v>
      </c>
      <c r="V30" s="763">
        <v>0.81787017520691385</v>
      </c>
      <c r="W30" s="763">
        <v>0.092753599296505715</v>
      </c>
      <c r="X30" s="763">
        <v>0.042786568852499249</v>
      </c>
      <c r="Y30" s="763">
        <v>0.025691734798733965</v>
      </c>
      <c r="Z30" s="763">
        <v>0.015128565668626311</v>
      </c>
      <c r="AA30" s="763">
        <v>0.0052252865358068589</v>
      </c>
      <c r="AB30" s="763">
        <v>0.00054406964091403723</v>
      </c>
      <c r="AC30" s="763">
        <v>0.075805657162402451</v>
      </c>
      <c r="AD30" s="763">
        <v>0.14429234630081197</v>
      </c>
      <c r="AE30" s="763">
        <v>0.20302697560320979</v>
      </c>
      <c r="AF30" s="763">
        <v>0.01835243923546153</v>
      </c>
      <c r="AG30" s="763">
        <v>0.031138261054637982</v>
      </c>
      <c r="AH30" s="763">
        <v>0.045829334525838941</v>
      </c>
      <c r="AI30" s="763">
        <v>0.0011776606221508069</v>
      </c>
      <c r="AJ30" s="763">
        <v>0.2620924067394399</v>
      </c>
      <c r="AK30" s="763">
        <v>0.25880334613349854</v>
      </c>
      <c r="AL30" s="763">
        <v>0.2562649767780103</v>
      </c>
      <c r="AM30" s="763">
        <v>0.30203754865508536</v>
      </c>
      <c r="AN30" s="763">
        <v>0.35432421316844243</v>
      </c>
      <c r="AO30" s="763">
        <v>0.12387366779865877</v>
      </c>
      <c r="AP30" s="763">
        <v>0.16033346194948842</v>
      </c>
      <c r="AQ30" s="763">
        <v>0.044144684871400379</v>
      </c>
      <c r="AR30" s="764">
        <v>0.031948022634309146</v>
      </c>
      <c r="AS30" s="394"/>
      <c r="AT30" s="397"/>
      <c r="AU30" s="398"/>
      <c r="AV30" s="398"/>
    </row>
    <row r="31" spans="1:48">
      <c r="A31" s="396">
        <v>315</v>
      </c>
      <c r="B31" s="761" t="s">
        <v>258</v>
      </c>
      <c r="C31" s="762">
        <v>16426</v>
      </c>
      <c r="D31" s="762">
        <v>14040</v>
      </c>
      <c r="E31" s="762">
        <v>8287</v>
      </c>
      <c r="F31" s="762">
        <v>1885</v>
      </c>
      <c r="G31" s="762">
        <v>1769</v>
      </c>
      <c r="H31" s="762">
        <v>1574</v>
      </c>
      <c r="I31" s="762">
        <v>1534</v>
      </c>
      <c r="J31" s="762">
        <v>1525</v>
      </c>
      <c r="K31" s="763">
        <v>0.16382564227444296</v>
      </c>
      <c r="L31" s="763">
        <v>0.21083528055651526</v>
      </c>
      <c r="M31" s="763">
        <v>0.18860866417280095</v>
      </c>
      <c r="N31" s="763">
        <v>0.30799382165949274</v>
      </c>
      <c r="O31" s="763">
        <v>0.57267722758074791</v>
      </c>
      <c r="P31" s="763">
        <v>0.10729061543823894</v>
      </c>
      <c r="Q31" s="763">
        <v>0.1458184555771862</v>
      </c>
      <c r="R31" s="763">
        <v>0.082434521152103035</v>
      </c>
      <c r="S31" s="763">
        <v>0.057246923350965734</v>
      </c>
      <c r="T31" s="763">
        <v>0.024535402320620878</v>
      </c>
      <c r="U31" s="763">
        <v>0.00999685458013718</v>
      </c>
      <c r="V31" s="763">
        <v>0.46804073056390516</v>
      </c>
      <c r="W31" s="763">
        <v>0.13098878431518401</v>
      </c>
      <c r="X31" s="763">
        <v>0.15880895694313</v>
      </c>
      <c r="Y31" s="763">
        <v>0.096947836459707809</v>
      </c>
      <c r="Z31" s="763">
        <v>0.081238802457771764</v>
      </c>
      <c r="AA31" s="763">
        <v>0.049250938345823878</v>
      </c>
      <c r="AB31" s="763">
        <v>0.014723950914477318</v>
      </c>
      <c r="AC31" s="763">
        <v>0.086957852760993548</v>
      </c>
      <c r="AD31" s="763">
        <v>0.16989292306731221</v>
      </c>
      <c r="AE31" s="763">
        <v>0.24814884612436486</v>
      </c>
      <c r="AF31" s="763">
        <v>0.016961166790249838</v>
      </c>
      <c r="AG31" s="763">
        <v>0.034996457500662055</v>
      </c>
      <c r="AH31" s="763">
        <v>0.05093441660369577</v>
      </c>
      <c r="AI31" s="763">
        <v>0.002567172450304322</v>
      </c>
      <c r="AJ31" s="763">
        <v>0.29100037368749004</v>
      </c>
      <c r="AK31" s="763">
        <v>0.3551283243462901</v>
      </c>
      <c r="AL31" s="763">
        <v>0.35371843388459573</v>
      </c>
      <c r="AM31" s="763">
        <v>0.40253615417692395</v>
      </c>
      <c r="AN31" s="763">
        <v>0.48357484525494576</v>
      </c>
      <c r="AO31" s="763">
        <v>0.21673290883713348</v>
      </c>
      <c r="AP31" s="763">
        <v>0.22738326336157813</v>
      </c>
      <c r="AQ31" s="763">
        <v>0.053338040396814418</v>
      </c>
      <c r="AR31" s="764">
        <v>0.031516364649242325</v>
      </c>
      <c r="AS31" s="394"/>
      <c r="AT31" s="397"/>
      <c r="AU31" s="398"/>
      <c r="AV31" s="398"/>
    </row>
    <row r="32" spans="1:48">
      <c r="A32" s="396">
        <v>316</v>
      </c>
      <c r="B32" s="761" t="s">
        <v>262</v>
      </c>
      <c r="C32" s="762">
        <v>33803</v>
      </c>
      <c r="D32" s="762">
        <v>29146</v>
      </c>
      <c r="E32" s="762">
        <v>22413</v>
      </c>
      <c r="F32" s="762">
        <v>4813</v>
      </c>
      <c r="G32" s="762">
        <v>4672</v>
      </c>
      <c r="H32" s="762">
        <v>4467</v>
      </c>
      <c r="I32" s="762">
        <v>4357</v>
      </c>
      <c r="J32" s="762">
        <v>4104</v>
      </c>
      <c r="K32" s="763">
        <v>0.18314942460728337</v>
      </c>
      <c r="L32" s="763">
        <v>0.29639136592056819</v>
      </c>
      <c r="M32" s="763">
        <v>0.21563378396466337</v>
      </c>
      <c r="N32" s="763">
        <v>0.49941530255352357</v>
      </c>
      <c r="O32" s="763">
        <v>0.075121440881015661</v>
      </c>
      <c r="P32" s="763">
        <v>0.27353269885376669</v>
      </c>
      <c r="Q32" s="763">
        <v>0.26553259575486338</v>
      </c>
      <c r="R32" s="763">
        <v>0.18863043718061814</v>
      </c>
      <c r="S32" s="763">
        <v>0.10898728428195875</v>
      </c>
      <c r="T32" s="763">
        <v>0.087332948129580437</v>
      </c>
      <c r="U32" s="763">
        <v>0.00086259491819700633</v>
      </c>
      <c r="V32" s="763">
        <v>0.075802222628373092</v>
      </c>
      <c r="W32" s="763">
        <v>0.25556876237964948</v>
      </c>
      <c r="X32" s="763">
        <v>0.26229091347069133</v>
      </c>
      <c r="Y32" s="763">
        <v>0.19223960922814387</v>
      </c>
      <c r="Z32" s="763">
        <v>0.11858886637225406</v>
      </c>
      <c r="AA32" s="763">
        <v>0.0905956931462739</v>
      </c>
      <c r="AB32" s="763">
        <v>0.0049139327746142185</v>
      </c>
      <c r="AC32" s="763">
        <v>0.14379980895254488</v>
      </c>
      <c r="AD32" s="763">
        <v>0.28052710237497097</v>
      </c>
      <c r="AE32" s="763">
        <v>0.40705763143502927</v>
      </c>
      <c r="AF32" s="763">
        <v>0.029299840952485834</v>
      </c>
      <c r="AG32" s="763">
        <v>0.058806072912959084</v>
      </c>
      <c r="AH32" s="763">
        <v>0.08474936982735734</v>
      </c>
      <c r="AI32" s="763">
        <v>0.003109481304704093</v>
      </c>
      <c r="AJ32" s="763">
        <v>0.2802465191323778</v>
      </c>
      <c r="AK32" s="763">
        <v>0.27827951097264353</v>
      </c>
      <c r="AL32" s="763">
        <v>0.27804444014752028</v>
      </c>
      <c r="AM32" s="763">
        <v>0.32958426780626848</v>
      </c>
      <c r="AN32" s="763">
        <v>0.40345275128765651</v>
      </c>
      <c r="AO32" s="763">
        <v>0.16035397797513956</v>
      </c>
      <c r="AP32" s="763">
        <v>0.1805653918404741</v>
      </c>
      <c r="AQ32" s="763">
        <v>0.08741997580159129</v>
      </c>
      <c r="AR32" s="764">
        <v>0.0493181971620926</v>
      </c>
      <c r="AS32" s="394"/>
      <c r="AT32" s="397"/>
      <c r="AU32" s="398"/>
      <c r="AV32" s="398"/>
    </row>
    <row r="33" spans="1:48">
      <c r="A33" s="396">
        <v>317</v>
      </c>
      <c r="B33" s="761" t="s">
        <v>279</v>
      </c>
      <c r="C33" s="762">
        <v>29742</v>
      </c>
      <c r="D33" s="762">
        <v>25472</v>
      </c>
      <c r="E33" s="762">
        <v>19354</v>
      </c>
      <c r="F33" s="762">
        <v>3974</v>
      </c>
      <c r="G33" s="762">
        <v>3958</v>
      </c>
      <c r="H33" s="762">
        <v>3826</v>
      </c>
      <c r="I33" s="762">
        <v>3810</v>
      </c>
      <c r="J33" s="762">
        <v>3786</v>
      </c>
      <c r="K33" s="763">
        <v>0.10691950776679443</v>
      </c>
      <c r="L33" s="763">
        <v>0.14892455085249087</v>
      </c>
      <c r="M33" s="763">
        <v>0.15666012193861739</v>
      </c>
      <c r="N33" s="763">
        <v>0.25480592818747422</v>
      </c>
      <c r="O33" s="763">
        <v>0.52662731461125645</v>
      </c>
      <c r="P33" s="763">
        <v>0.1613451232311558</v>
      </c>
      <c r="Q33" s="763">
        <v>0.18157910331973842</v>
      </c>
      <c r="R33" s="763">
        <v>0.054995932007212089</v>
      </c>
      <c r="S33" s="763">
        <v>0.059779177236593407</v>
      </c>
      <c r="T33" s="763">
        <v>0.015471614673729268</v>
      </c>
      <c r="U33" s="763">
        <v>0.00020173492031470632</v>
      </c>
      <c r="V33" s="763">
        <v>0.51574639601410133</v>
      </c>
      <c r="W33" s="763">
        <v>0.16227070314395112</v>
      </c>
      <c r="X33" s="763">
        <v>0.17109522124429272</v>
      </c>
      <c r="Y33" s="763">
        <v>0.064023101675879518</v>
      </c>
      <c r="Z33" s="763">
        <v>0.061226582108026506</v>
      </c>
      <c r="AA33" s="763">
        <v>0.025017711459677086</v>
      </c>
      <c r="AB33" s="763">
        <v>0.00062028435407173311</v>
      </c>
      <c r="AC33" s="763">
        <v>0.13814349970744746</v>
      </c>
      <c r="AD33" s="763">
        <v>0.26585111933323036</v>
      </c>
      <c r="AE33" s="763">
        <v>0.38596662527507453</v>
      </c>
      <c r="AF33" s="763">
        <v>0.022496886579997231</v>
      </c>
      <c r="AG33" s="763">
        <v>0.041267736679213844</v>
      </c>
      <c r="AH33" s="763">
        <v>0.066157637189333721</v>
      </c>
      <c r="AI33" s="763">
        <v>0.0029077420903572491</v>
      </c>
      <c r="AJ33" s="763">
        <v>0.27819287626232458</v>
      </c>
      <c r="AK33" s="763">
        <v>0.26140211554583132</v>
      </c>
      <c r="AL33" s="763">
        <v>0.29280182113867731</v>
      </c>
      <c r="AM33" s="763">
        <v>0.33311650545776123</v>
      </c>
      <c r="AN33" s="763">
        <v>0.40643445568886505</v>
      </c>
      <c r="AO33" s="763">
        <v>0.15154325989734424</v>
      </c>
      <c r="AP33" s="763">
        <v>0.17899830614058129</v>
      </c>
      <c r="AQ33" s="763">
        <v>0.079298652216120188</v>
      </c>
      <c r="AR33" s="764">
        <v>0.047331620313016881</v>
      </c>
      <c r="AS33" s="394"/>
      <c r="AT33" s="397"/>
      <c r="AU33" s="398"/>
      <c r="AV33" s="398"/>
    </row>
    <row r="34" spans="1:48">
      <c r="A34" s="396">
        <v>318</v>
      </c>
      <c r="B34" s="761" t="s">
        <v>281</v>
      </c>
      <c r="C34" s="762">
        <v>16802</v>
      </c>
      <c r="D34" s="762">
        <v>14388</v>
      </c>
      <c r="E34" s="762">
        <v>9024</v>
      </c>
      <c r="F34" s="762">
        <v>2007</v>
      </c>
      <c r="G34" s="762">
        <v>1869</v>
      </c>
      <c r="H34" s="762">
        <v>1776</v>
      </c>
      <c r="I34" s="762">
        <v>1725</v>
      </c>
      <c r="J34" s="762">
        <v>1647</v>
      </c>
      <c r="K34" s="763">
        <v>0.0883228187120581</v>
      </c>
      <c r="L34" s="763">
        <v>0.11347967205325941</v>
      </c>
      <c r="M34" s="763">
        <v>0.10837765957446815</v>
      </c>
      <c r="N34" s="763">
        <v>0.19101565282059882</v>
      </c>
      <c r="O34" s="763">
        <v>0.83595505335461984</v>
      </c>
      <c r="P34" s="763">
        <v>0.056872191190393606</v>
      </c>
      <c r="Q34" s="763">
        <v>0.057081652637229849</v>
      </c>
      <c r="R34" s="763">
        <v>0.026618807667382918</v>
      </c>
      <c r="S34" s="763">
        <v>0.019061679667230727</v>
      </c>
      <c r="T34" s="763">
        <v>0.0042914064691859872</v>
      </c>
      <c r="U34" s="763">
        <v>0.00011920901395711077</v>
      </c>
      <c r="V34" s="763">
        <v>0.78772575797561639</v>
      </c>
      <c r="W34" s="763">
        <v>0.06384690893380271</v>
      </c>
      <c r="X34" s="763">
        <v>0.061313177510201072</v>
      </c>
      <c r="Y34" s="763">
        <v>0.03968051364323863</v>
      </c>
      <c r="Z34" s="763">
        <v>0.020946824473157242</v>
      </c>
      <c r="AA34" s="763">
        <v>0.025821923846962812</v>
      </c>
      <c r="AB34" s="763">
        <v>0.000664893617021277</v>
      </c>
      <c r="AC34" s="763">
        <v>0.0557436154617651</v>
      </c>
      <c r="AD34" s="763">
        <v>0.10574832635462808</v>
      </c>
      <c r="AE34" s="763">
        <v>0.15178149974408772</v>
      </c>
      <c r="AF34" s="763">
        <v>0.01530614544858583</v>
      </c>
      <c r="AG34" s="763">
        <v>0.028127593582011095</v>
      </c>
      <c r="AH34" s="763">
        <v>0.038702133913778886</v>
      </c>
      <c r="AI34" s="763">
        <v>0.001088374830018903</v>
      </c>
      <c r="AJ34" s="763">
        <v>0.24168156576440583</v>
      </c>
      <c r="AK34" s="763">
        <v>0.22543737940346692</v>
      </c>
      <c r="AL34" s="763">
        <v>0.2197803361318442</v>
      </c>
      <c r="AM34" s="763">
        <v>0.28127164281409089</v>
      </c>
      <c r="AN34" s="763">
        <v>0.37434959955992086</v>
      </c>
      <c r="AO34" s="763">
        <v>0.12094743513869306</v>
      </c>
      <c r="AP34" s="763">
        <v>0.14986590942053463</v>
      </c>
      <c r="AQ34" s="763">
        <v>0.040121402175813226</v>
      </c>
      <c r="AR34" s="764">
        <v>0.029508098185124232</v>
      </c>
      <c r="AS34" s="394"/>
      <c r="AT34" s="397"/>
      <c r="AU34" s="398"/>
      <c r="AV34" s="398"/>
    </row>
    <row r="35" spans="1:48">
      <c r="A35" s="396">
        <v>319</v>
      </c>
      <c r="B35" s="761" t="s">
        <v>306</v>
      </c>
      <c r="C35" s="762">
        <v>17729</v>
      </c>
      <c r="D35" s="762">
        <v>15211</v>
      </c>
      <c r="E35" s="762">
        <v>15764</v>
      </c>
      <c r="F35" s="762">
        <v>3424</v>
      </c>
      <c r="G35" s="762">
        <v>3316</v>
      </c>
      <c r="H35" s="762">
        <v>3126</v>
      </c>
      <c r="I35" s="762">
        <v>3015</v>
      </c>
      <c r="J35" s="762">
        <v>2883</v>
      </c>
      <c r="K35" s="763">
        <v>0.13886852050313048</v>
      </c>
      <c r="L35" s="763">
        <v>0.16682155506967355</v>
      </c>
      <c r="M35" s="763">
        <v>0.1103780766302969</v>
      </c>
      <c r="N35" s="763">
        <v>0.18018654048195989</v>
      </c>
      <c r="O35" s="763">
        <v>0.70958203648806517</v>
      </c>
      <c r="P35" s="763">
        <v>0.061206899472101943</v>
      </c>
      <c r="Q35" s="763">
        <v>0.13148531315972564</v>
      </c>
      <c r="R35" s="763">
        <v>0.034013636443085256</v>
      </c>
      <c r="S35" s="763">
        <v>0.026517616979678395</v>
      </c>
      <c r="T35" s="763">
        <v>0.036404417587789478</v>
      </c>
      <c r="U35" s="763">
        <v>0.00079007986955417753</v>
      </c>
      <c r="V35" s="763">
        <v>0.66975386957624972</v>
      </c>
      <c r="W35" s="763">
        <v>0.080309566099974625</v>
      </c>
      <c r="X35" s="763">
        <v>0.1322633849276833</v>
      </c>
      <c r="Y35" s="763">
        <v>0.04370718091854859</v>
      </c>
      <c r="Z35" s="763">
        <v>0.0364120781527531</v>
      </c>
      <c r="AA35" s="763">
        <v>0.03609489977163155</v>
      </c>
      <c r="AB35" s="763">
        <v>0.001459020553159097</v>
      </c>
      <c r="AC35" s="763">
        <v>0.068889379987762983</v>
      </c>
      <c r="AD35" s="763">
        <v>0.13087475541287388</v>
      </c>
      <c r="AE35" s="763">
        <v>0.18746479918956588</v>
      </c>
      <c r="AF35" s="763">
        <v>0.0076502089306451021</v>
      </c>
      <c r="AG35" s="763">
        <v>0.015762297045558572</v>
      </c>
      <c r="AH35" s="763">
        <v>0.024280901234814044</v>
      </c>
      <c r="AI35" s="763">
        <v>0.0026019171268225243</v>
      </c>
      <c r="AJ35" s="763">
        <v>0.30688641523941373</v>
      </c>
      <c r="AK35" s="763">
        <v>0.21010050219042886</v>
      </c>
      <c r="AL35" s="763">
        <v>0.19830801893970526</v>
      </c>
      <c r="AM35" s="763">
        <v>0.21806116767290809</v>
      </c>
      <c r="AN35" s="763">
        <v>0.27784436131493534</v>
      </c>
      <c r="AO35" s="763">
        <v>0.08921119466858192</v>
      </c>
      <c r="AP35" s="763">
        <v>0.12290375791462792</v>
      </c>
      <c r="AQ35" s="763">
        <v>0.0456386958968471</v>
      </c>
      <c r="AR35" s="764">
        <v>0.019610295216482814</v>
      </c>
      <c r="AS35" s="394"/>
      <c r="AT35" s="397"/>
      <c r="AU35" s="398"/>
      <c r="AV35" s="398"/>
    </row>
    <row r="36" spans="1:48">
      <c r="A36" s="396">
        <v>320</v>
      </c>
      <c r="B36" s="761" t="s">
        <v>316</v>
      </c>
      <c r="C36" s="762">
        <v>24072</v>
      </c>
      <c r="D36" s="762">
        <v>20555</v>
      </c>
      <c r="E36" s="762">
        <v>13809</v>
      </c>
      <c r="F36" s="762">
        <v>2903</v>
      </c>
      <c r="G36" s="762">
        <v>2854</v>
      </c>
      <c r="H36" s="762">
        <v>2746</v>
      </c>
      <c r="I36" s="762">
        <v>2642</v>
      </c>
      <c r="J36" s="762">
        <v>2664</v>
      </c>
      <c r="K36" s="763">
        <v>0.16458956463941504</v>
      </c>
      <c r="L36" s="763">
        <v>0.24771191219455013</v>
      </c>
      <c r="M36" s="763">
        <v>0.19226591353465119</v>
      </c>
      <c r="N36" s="763">
        <v>0.36887542401516088</v>
      </c>
      <c r="O36" s="763">
        <v>0.23050706911833535</v>
      </c>
      <c r="P36" s="763">
        <v>0.24109903181707246</v>
      </c>
      <c r="Q36" s="763">
        <v>0.17465267466648102</v>
      </c>
      <c r="R36" s="763">
        <v>0.19081926594646281</v>
      </c>
      <c r="S36" s="763">
        <v>0.0750244826849722</v>
      </c>
      <c r="T36" s="763">
        <v>0.07189647243240968</v>
      </c>
      <c r="U36" s="763">
        <v>0.016001003334266517</v>
      </c>
      <c r="V36" s="763">
        <v>0.204144115600006</v>
      </c>
      <c r="W36" s="763">
        <v>0.22807481971241092</v>
      </c>
      <c r="X36" s="763">
        <v>0.17521252376123789</v>
      </c>
      <c r="Y36" s="763">
        <v>0.19259107760556948</v>
      </c>
      <c r="Z36" s="763">
        <v>0.087635447163775373</v>
      </c>
      <c r="AA36" s="763">
        <v>0.086413684285142733</v>
      </c>
      <c r="AB36" s="763">
        <v>0.025928331871857523</v>
      </c>
      <c r="AC36" s="763">
        <v>0.0828365585684001</v>
      </c>
      <c r="AD36" s="763">
        <v>0.17104729227105456</v>
      </c>
      <c r="AE36" s="763">
        <v>0.25848038652463573</v>
      </c>
      <c r="AF36" s="763">
        <v>0.015603856776695383</v>
      </c>
      <c r="AG36" s="763">
        <v>0.033163399536019315</v>
      </c>
      <c r="AH36" s="763">
        <v>0.048841152068394685</v>
      </c>
      <c r="AI36" s="763">
        <v>0.0028309872013239155</v>
      </c>
      <c r="AJ36" s="763">
        <v>0.27560028552500743</v>
      </c>
      <c r="AK36" s="763">
        <v>0.29910008978783459</v>
      </c>
      <c r="AL36" s="763">
        <v>0.30976269609203994</v>
      </c>
      <c r="AM36" s="763">
        <v>0.34163880821426906</v>
      </c>
      <c r="AN36" s="763">
        <v>0.462186245909734</v>
      </c>
      <c r="AO36" s="763">
        <v>0.20284858498982666</v>
      </c>
      <c r="AP36" s="763">
        <v>0.20231109371617437</v>
      </c>
      <c r="AQ36" s="763">
        <v>0.062162584786424321</v>
      </c>
      <c r="AR36" s="764">
        <v>0.044341639171827665</v>
      </c>
      <c r="AS36" s="394"/>
      <c r="AT36" s="397"/>
      <c r="AU36" s="398"/>
      <c r="AV36" s="398"/>
    </row>
    <row r="37" spans="1:48">
      <c r="A37" s="396">
        <v>330</v>
      </c>
      <c r="B37" s="761" t="s">
        <v>182</v>
      </c>
      <c r="C37" s="762">
        <v>111313</v>
      </c>
      <c r="D37" s="762">
        <v>96281</v>
      </c>
      <c r="E37" s="762">
        <v>70152</v>
      </c>
      <c r="F37" s="762">
        <v>14764</v>
      </c>
      <c r="G37" s="762">
        <v>14206</v>
      </c>
      <c r="H37" s="762">
        <v>13926</v>
      </c>
      <c r="I37" s="762">
        <v>13692</v>
      </c>
      <c r="J37" s="762">
        <v>13564</v>
      </c>
      <c r="K37" s="763">
        <v>0.30280380548543295</v>
      </c>
      <c r="L37" s="763">
        <v>0.38257239802047144</v>
      </c>
      <c r="M37" s="763">
        <v>0.29031246436309727</v>
      </c>
      <c r="N37" s="763">
        <v>0.46683158095231614</v>
      </c>
      <c r="O37" s="763">
        <v>0.22854529161823051</v>
      </c>
      <c r="P37" s="763">
        <v>0.084931232752582381</v>
      </c>
      <c r="Q37" s="763">
        <v>0.10369951895791575</v>
      </c>
      <c r="R37" s="763">
        <v>0.16511888540402586</v>
      </c>
      <c r="S37" s="763">
        <v>0.1459236785619219</v>
      </c>
      <c r="T37" s="763">
        <v>0.21155224662251548</v>
      </c>
      <c r="U37" s="763">
        <v>0.060229146082808126</v>
      </c>
      <c r="V37" s="763">
        <v>0.24142608896850856</v>
      </c>
      <c r="W37" s="763">
        <v>0.0831455084543902</v>
      </c>
      <c r="X37" s="763">
        <v>0.10762216786862329</v>
      </c>
      <c r="Y37" s="763">
        <v>0.17563283043653052</v>
      </c>
      <c r="Z37" s="763">
        <v>0.14093010607649187</v>
      </c>
      <c r="AA37" s="763">
        <v>0.2019632406931188</v>
      </c>
      <c r="AB37" s="763">
        <v>0.049280057502336723</v>
      </c>
      <c r="AC37" s="763">
        <v>0.083209715870485007</v>
      </c>
      <c r="AD37" s="763">
        <v>0.16099429389370457</v>
      </c>
      <c r="AE37" s="763">
        <v>0.23886948550978299</v>
      </c>
      <c r="AF37" s="763">
        <v>0.017221884790934658</v>
      </c>
      <c r="AG37" s="763">
        <v>0.032025905663584521</v>
      </c>
      <c r="AH37" s="763">
        <v>0.049062123070313074</v>
      </c>
      <c r="AI37" s="763">
        <v>0.0044580200760673374</v>
      </c>
      <c r="AJ37" s="763">
        <v>0.350035114377399</v>
      </c>
      <c r="AK37" s="763">
        <v>0.36387701964123742</v>
      </c>
      <c r="AL37" s="763">
        <v>0.37237799200961619</v>
      </c>
      <c r="AM37" s="763">
        <v>0.4182548033098975</v>
      </c>
      <c r="AN37" s="763">
        <v>0.50142391909248418</v>
      </c>
      <c r="AO37" s="763">
        <v>0.20612176216785577</v>
      </c>
      <c r="AP37" s="763">
        <v>0.23240635330999748</v>
      </c>
      <c r="AQ37" s="763">
        <v>0.059911626239077968</v>
      </c>
      <c r="AR37" s="764">
        <v>0.039681029111940838</v>
      </c>
      <c r="AS37" s="394"/>
      <c r="AT37" s="397"/>
      <c r="AU37" s="398"/>
      <c r="AV37" s="398"/>
    </row>
    <row r="38" spans="1:48">
      <c r="A38" s="396">
        <v>331</v>
      </c>
      <c r="B38" s="761" t="s">
        <v>205</v>
      </c>
      <c r="C38" s="762">
        <v>30971</v>
      </c>
      <c r="D38" s="762">
        <v>26722</v>
      </c>
      <c r="E38" s="762">
        <v>19185</v>
      </c>
      <c r="F38" s="762">
        <v>4144</v>
      </c>
      <c r="G38" s="762">
        <v>3956</v>
      </c>
      <c r="H38" s="762">
        <v>3709</v>
      </c>
      <c r="I38" s="762">
        <v>3707</v>
      </c>
      <c r="J38" s="762">
        <v>3669</v>
      </c>
      <c r="K38" s="763">
        <v>0.18359110135287854</v>
      </c>
      <c r="L38" s="763">
        <v>0.25454506763539753</v>
      </c>
      <c r="M38" s="763">
        <v>0.20239770654156883</v>
      </c>
      <c r="N38" s="763">
        <v>0.32690481496915547</v>
      </c>
      <c r="O38" s="763">
        <v>0.39450626615140144</v>
      </c>
      <c r="P38" s="763">
        <v>0.11200806585190931</v>
      </c>
      <c r="Q38" s="763">
        <v>0.07175568160915409</v>
      </c>
      <c r="R38" s="763">
        <v>0.11899747112803054</v>
      </c>
      <c r="S38" s="763">
        <v>0.12071299500137059</v>
      </c>
      <c r="T38" s="763">
        <v>0.08877451451332144</v>
      </c>
      <c r="U38" s="763">
        <v>0.093245005744812579</v>
      </c>
      <c r="V38" s="763">
        <v>0.41268177859827487</v>
      </c>
      <c r="W38" s="763">
        <v>0.11321503693820907</v>
      </c>
      <c r="X38" s="763">
        <v>0.070756215981518836</v>
      </c>
      <c r="Y38" s="763">
        <v>0.12002835747932304</v>
      </c>
      <c r="Z38" s="763">
        <v>0.10804651243813598</v>
      </c>
      <c r="AA38" s="763">
        <v>0.08815628565312722</v>
      </c>
      <c r="AB38" s="763">
        <v>0.08711581291141085</v>
      </c>
      <c r="AC38" s="763">
        <v>0.070055985825116768</v>
      </c>
      <c r="AD38" s="763">
        <v>0.13369413604795519</v>
      </c>
      <c r="AE38" s="763">
        <v>0.193376954271467</v>
      </c>
      <c r="AF38" s="763">
        <v>0.016195856533328234</v>
      </c>
      <c r="AG38" s="763">
        <v>0.029523204328818019</v>
      </c>
      <c r="AH38" s="763">
        <v>0.044520384116555081</v>
      </c>
      <c r="AI38" s="763">
        <v>0.005968645561419148</v>
      </c>
      <c r="AJ38" s="763">
        <v>0.33964161234537138</v>
      </c>
      <c r="AK38" s="763">
        <v>0.37786664563220712</v>
      </c>
      <c r="AL38" s="763">
        <v>0.39391878695653521</v>
      </c>
      <c r="AM38" s="763">
        <v>0.42678609062762884</v>
      </c>
      <c r="AN38" s="763">
        <v>0.51398798268461554</v>
      </c>
      <c r="AO38" s="763">
        <v>0.22022559576227424</v>
      </c>
      <c r="AP38" s="763">
        <v>0.24201568243998908</v>
      </c>
      <c r="AQ38" s="763">
        <v>0.068457425884622877</v>
      </c>
      <c r="AR38" s="764">
        <v>0.046035754890577041</v>
      </c>
      <c r="AS38" s="394"/>
      <c r="AT38" s="397"/>
      <c r="AU38" s="398"/>
      <c r="AV38" s="398"/>
    </row>
    <row r="39" spans="1:48">
      <c r="A39" s="396">
        <v>332</v>
      </c>
      <c r="B39" s="761" t="s">
        <v>216</v>
      </c>
      <c r="C39" s="762">
        <v>26970</v>
      </c>
      <c r="D39" s="762">
        <v>23293</v>
      </c>
      <c r="E39" s="762">
        <v>17239</v>
      </c>
      <c r="F39" s="762">
        <v>3628</v>
      </c>
      <c r="G39" s="762">
        <v>3408</v>
      </c>
      <c r="H39" s="762">
        <v>3455</v>
      </c>
      <c r="I39" s="762">
        <v>3449</v>
      </c>
      <c r="J39" s="762">
        <v>3299</v>
      </c>
      <c r="K39" s="763">
        <v>0.17745643307378572</v>
      </c>
      <c r="L39" s="763">
        <v>0.23902169691890779</v>
      </c>
      <c r="M39" s="763">
        <v>0.17657636753872039</v>
      </c>
      <c r="N39" s="763">
        <v>0.29792950591422274</v>
      </c>
      <c r="O39" s="763">
        <v>0.394064039270155</v>
      </c>
      <c r="P39" s="763">
        <v>0.11611698144031907</v>
      </c>
      <c r="Q39" s="763">
        <v>0.18340037343194007</v>
      </c>
      <c r="R39" s="763">
        <v>0.089545361242797009</v>
      </c>
      <c r="S39" s="763">
        <v>0.097864507302289391</v>
      </c>
      <c r="T39" s="763">
        <v>0.092864096659150422</v>
      </c>
      <c r="U39" s="763">
        <v>0.026144640653349024</v>
      </c>
      <c r="V39" s="763">
        <v>0.42348467932727968</v>
      </c>
      <c r="W39" s="763">
        <v>0.1154677297649805</v>
      </c>
      <c r="X39" s="763">
        <v>0.16959356119114743</v>
      </c>
      <c r="Y39" s="763">
        <v>0.093420236636677215</v>
      </c>
      <c r="Z39" s="763">
        <v>0.091101627916551339</v>
      </c>
      <c r="AA39" s="763">
        <v>0.083780076979519114</v>
      </c>
      <c r="AB39" s="763">
        <v>0.02315208818384475</v>
      </c>
      <c r="AC39" s="763">
        <v>0.0203180704243274</v>
      </c>
      <c r="AD39" s="763">
        <v>0.042620318176655514</v>
      </c>
      <c r="AE39" s="763">
        <v>0.064948873322913173</v>
      </c>
      <c r="AF39" s="763">
        <v>0.0055197183515236677</v>
      </c>
      <c r="AG39" s="763">
        <v>0.0098214902478655081</v>
      </c>
      <c r="AH39" s="763">
        <v>0.014061351652459694</v>
      </c>
      <c r="AI39" s="763">
        <v>0.0073850368150173125</v>
      </c>
      <c r="AJ39" s="763">
        <v>0.3511962208658857</v>
      </c>
      <c r="AK39" s="763">
        <v>0.39740432475693</v>
      </c>
      <c r="AL39" s="763">
        <v>0.41858048828802752</v>
      </c>
      <c r="AM39" s="763">
        <v>0.4304638107859</v>
      </c>
      <c r="AN39" s="763">
        <v>0.50983656806220934</v>
      </c>
      <c r="AO39" s="763">
        <v>0.17776722944202403</v>
      </c>
      <c r="AP39" s="763">
        <v>0.23966132352805691</v>
      </c>
      <c r="AQ39" s="763">
        <v>0.042306266221727847</v>
      </c>
      <c r="AR39" s="764">
        <v>0.031292229434231218</v>
      </c>
      <c r="AS39" s="394"/>
      <c r="AT39" s="397"/>
      <c r="AU39" s="398"/>
      <c r="AV39" s="398"/>
    </row>
    <row r="40" spans="1:48">
      <c r="A40" s="396">
        <v>333</v>
      </c>
      <c r="B40" s="761" t="s">
        <v>286</v>
      </c>
      <c r="C40" s="762">
        <v>33811</v>
      </c>
      <c r="D40" s="762">
        <v>29113</v>
      </c>
      <c r="E40" s="762">
        <v>20860</v>
      </c>
      <c r="F40" s="762">
        <v>4678</v>
      </c>
      <c r="G40" s="762">
        <v>4259</v>
      </c>
      <c r="H40" s="762">
        <v>4170</v>
      </c>
      <c r="I40" s="762">
        <v>4013</v>
      </c>
      <c r="J40" s="762">
        <v>3740</v>
      </c>
      <c r="K40" s="763">
        <v>0.22540001774570409</v>
      </c>
      <c r="L40" s="763">
        <v>0.31798019666829375</v>
      </c>
      <c r="M40" s="763">
        <v>0.23859060402684573</v>
      </c>
      <c r="N40" s="763">
        <v>0.39213249316304505</v>
      </c>
      <c r="O40" s="763">
        <v>0.18831306247473487</v>
      </c>
      <c r="P40" s="763">
        <v>0.11626883864722336</v>
      </c>
      <c r="Q40" s="763">
        <v>0.16528265240101861</v>
      </c>
      <c r="R40" s="763">
        <v>0.17555061242472084</v>
      </c>
      <c r="S40" s="763">
        <v>0.13681765065711748</v>
      </c>
      <c r="T40" s="763">
        <v>0.18567463460468511</v>
      </c>
      <c r="U40" s="763">
        <v>0.032092548790499817</v>
      </c>
      <c r="V40" s="763">
        <v>0.17876592082914303</v>
      </c>
      <c r="W40" s="763">
        <v>0.11760870478918059</v>
      </c>
      <c r="X40" s="763">
        <v>0.16199578203768147</v>
      </c>
      <c r="Y40" s="763">
        <v>0.17964406625089474</v>
      </c>
      <c r="Z40" s="763">
        <v>0.13642331360283819</v>
      </c>
      <c r="AA40" s="763">
        <v>0.19360275790473627</v>
      </c>
      <c r="AB40" s="763">
        <v>0.03195945458552605</v>
      </c>
      <c r="AC40" s="763">
        <v>0.067945449459114557</v>
      </c>
      <c r="AD40" s="763">
        <v>0.1285448730122723</v>
      </c>
      <c r="AE40" s="763">
        <v>0.18678611244356144</v>
      </c>
      <c r="AF40" s="763">
        <v>0.012067133758539973</v>
      </c>
      <c r="AG40" s="763">
        <v>0.023297964305331605</v>
      </c>
      <c r="AH40" s="763">
        <v>0.037557142900248211</v>
      </c>
      <c r="AI40" s="763">
        <v>0.0080672620289155977</v>
      </c>
      <c r="AJ40" s="763">
        <v>0.37855665264805444</v>
      </c>
      <c r="AK40" s="763">
        <v>0.3982849957798465</v>
      </c>
      <c r="AL40" s="763">
        <v>0.41837343515120357</v>
      </c>
      <c r="AM40" s="763">
        <v>0.44518108095394371</v>
      </c>
      <c r="AN40" s="763">
        <v>0.52311957992311842</v>
      </c>
      <c r="AO40" s="763">
        <v>0.20620642709160106</v>
      </c>
      <c r="AP40" s="763">
        <v>0.24890137389556974</v>
      </c>
      <c r="AQ40" s="763">
        <v>0.058847612194845043</v>
      </c>
      <c r="AR40" s="764">
        <v>0.040107564777544007</v>
      </c>
      <c r="AS40" s="394"/>
      <c r="AT40" s="397"/>
      <c r="AU40" s="398"/>
      <c r="AV40" s="398"/>
    </row>
    <row r="41" spans="1:48">
      <c r="A41" s="396">
        <v>334</v>
      </c>
      <c r="B41" s="761" t="s">
        <v>291</v>
      </c>
      <c r="C41" s="762">
        <v>19050</v>
      </c>
      <c r="D41" s="762">
        <v>16335</v>
      </c>
      <c r="E41" s="762">
        <v>15913</v>
      </c>
      <c r="F41" s="762">
        <v>3258</v>
      </c>
      <c r="G41" s="762">
        <v>3346</v>
      </c>
      <c r="H41" s="762">
        <v>3180</v>
      </c>
      <c r="I41" s="762">
        <v>3131</v>
      </c>
      <c r="J41" s="762">
        <v>2998</v>
      </c>
      <c r="K41" s="763">
        <v>0.17921259842519685</v>
      </c>
      <c r="L41" s="763">
        <v>0.21156645550147982</v>
      </c>
      <c r="M41" s="763">
        <v>0.17834474957581861</v>
      </c>
      <c r="N41" s="763">
        <v>0.27873551535209234</v>
      </c>
      <c r="O41" s="763">
        <v>0.6845336879873245</v>
      </c>
      <c r="P41" s="763">
        <v>0.047877863592573233</v>
      </c>
      <c r="Q41" s="763">
        <v>0.040701040184891311</v>
      </c>
      <c r="R41" s="763">
        <v>0.02650899877125016</v>
      </c>
      <c r="S41" s="763">
        <v>0.052528778806709052</v>
      </c>
      <c r="T41" s="763">
        <v>0.11689067366443193</v>
      </c>
      <c r="U41" s="763">
        <v>0.030958956992819954</v>
      </c>
      <c r="V41" s="763">
        <v>0.59007659429461</v>
      </c>
      <c r="W41" s="763">
        <v>0.060228717877128225</v>
      </c>
      <c r="X41" s="763">
        <v>0.043380211930915</v>
      </c>
      <c r="Y41" s="763">
        <v>0.033447738364543268</v>
      </c>
      <c r="Z41" s="763">
        <v>0.0836655667287626</v>
      </c>
      <c r="AA41" s="763">
        <v>0.1457651615669294</v>
      </c>
      <c r="AB41" s="763">
        <v>0.043436009237111342</v>
      </c>
      <c r="AC41" s="763">
        <v>0.023091846189108041</v>
      </c>
      <c r="AD41" s="763">
        <v>0.049038075163517846</v>
      </c>
      <c r="AE41" s="763">
        <v>0.067941483817105824</v>
      </c>
      <c r="AF41" s="763">
        <v>0.002791856502322828</v>
      </c>
      <c r="AG41" s="763">
        <v>0.0050063881845658752</v>
      </c>
      <c r="AH41" s="763">
        <v>0.0076019551931000122</v>
      </c>
      <c r="AI41" s="763">
        <v>0.0060360729929325166</v>
      </c>
      <c r="AJ41" s="763">
        <v>0.29046906549226759</v>
      </c>
      <c r="AK41" s="763">
        <v>0.32986451419686313</v>
      </c>
      <c r="AL41" s="763">
        <v>0.34559151328767562</v>
      </c>
      <c r="AM41" s="763">
        <v>0.36467476178629626</v>
      </c>
      <c r="AN41" s="763">
        <v>0.45229843377431317</v>
      </c>
      <c r="AO41" s="763">
        <v>0.16604686782831</v>
      </c>
      <c r="AP41" s="763">
        <v>0.20610235449450681</v>
      </c>
      <c r="AQ41" s="763">
        <v>0.037904934185218508</v>
      </c>
      <c r="AR41" s="764">
        <v>0.022188888809482624</v>
      </c>
      <c r="AS41" s="394"/>
      <c r="AT41" s="397"/>
      <c r="AU41" s="398"/>
      <c r="AV41" s="398"/>
    </row>
    <row r="42" spans="1:48">
      <c r="A42" s="396">
        <v>335</v>
      </c>
      <c r="B42" s="761" t="s">
        <v>315</v>
      </c>
      <c r="C42" s="762">
        <v>26717</v>
      </c>
      <c r="D42" s="762">
        <v>22903</v>
      </c>
      <c r="E42" s="762">
        <v>17847</v>
      </c>
      <c r="F42" s="762">
        <v>3806</v>
      </c>
      <c r="G42" s="762">
        <v>3593</v>
      </c>
      <c r="H42" s="762">
        <v>3639</v>
      </c>
      <c r="I42" s="762">
        <v>3457</v>
      </c>
      <c r="J42" s="762">
        <v>3352</v>
      </c>
      <c r="K42" s="763">
        <v>0.28768200022457613</v>
      </c>
      <c r="L42" s="763">
        <v>0.35327691317247961</v>
      </c>
      <c r="M42" s="763">
        <v>0.23785510169776433</v>
      </c>
      <c r="N42" s="763">
        <v>0.40053379072540146</v>
      </c>
      <c r="O42" s="763">
        <v>0.28486141828788042</v>
      </c>
      <c r="P42" s="763">
        <v>0.083895040023425155</v>
      </c>
      <c r="Q42" s="763">
        <v>0.085610089606578246</v>
      </c>
      <c r="R42" s="763">
        <v>0.13964246875017247</v>
      </c>
      <c r="S42" s="763">
        <v>0.13551304115817356</v>
      </c>
      <c r="T42" s="763">
        <v>0.19216823541091987</v>
      </c>
      <c r="U42" s="763">
        <v>0.0783097067628502</v>
      </c>
      <c r="V42" s="763">
        <v>0.33650131935956507</v>
      </c>
      <c r="W42" s="763">
        <v>0.08513510287813221</v>
      </c>
      <c r="X42" s="763">
        <v>0.0803670250130241</v>
      </c>
      <c r="Y42" s="763">
        <v>0.12943070945218454</v>
      </c>
      <c r="Z42" s="763">
        <v>0.12036460659226184</v>
      </c>
      <c r="AA42" s="763">
        <v>0.17863204344124364</v>
      </c>
      <c r="AB42" s="763">
        <v>0.069569193263588569</v>
      </c>
      <c r="AC42" s="763">
        <v>0.054791485045769507</v>
      </c>
      <c r="AD42" s="763">
        <v>0.1031840401758667</v>
      </c>
      <c r="AE42" s="763">
        <v>0.14586437827481133</v>
      </c>
      <c r="AF42" s="763">
        <v>0.00836757590382214</v>
      </c>
      <c r="AG42" s="763">
        <v>0.014041455440447268</v>
      </c>
      <c r="AH42" s="763">
        <v>0.023982687091307426</v>
      </c>
      <c r="AI42" s="763">
        <v>0.0080232280276853578</v>
      </c>
      <c r="AJ42" s="763">
        <v>0.35722406139927976</v>
      </c>
      <c r="AK42" s="763">
        <v>0.36190393764150536</v>
      </c>
      <c r="AL42" s="763">
        <v>0.35997127660609507</v>
      </c>
      <c r="AM42" s="763">
        <v>0.447406922358735</v>
      </c>
      <c r="AN42" s="763">
        <v>0.48342305030657245</v>
      </c>
      <c r="AO42" s="763">
        <v>0.22363902922616302</v>
      </c>
      <c r="AP42" s="763">
        <v>0.23580315432458135</v>
      </c>
      <c r="AQ42" s="763">
        <v>0.047109230918353916</v>
      </c>
      <c r="AR42" s="764">
        <v>0.032698694025349945</v>
      </c>
      <c r="AS42" s="394"/>
      <c r="AT42" s="397"/>
      <c r="AU42" s="398"/>
      <c r="AV42" s="398"/>
    </row>
    <row r="43" spans="1:48">
      <c r="A43" s="396">
        <v>336</v>
      </c>
      <c r="B43" s="761" t="s">
        <v>328</v>
      </c>
      <c r="C43" s="762">
        <v>24377</v>
      </c>
      <c r="D43" s="762">
        <v>20995</v>
      </c>
      <c r="E43" s="762">
        <v>15952</v>
      </c>
      <c r="F43" s="762">
        <v>3406</v>
      </c>
      <c r="G43" s="762">
        <v>3348</v>
      </c>
      <c r="H43" s="762">
        <v>3155</v>
      </c>
      <c r="I43" s="762">
        <v>3086</v>
      </c>
      <c r="J43" s="762">
        <v>2957</v>
      </c>
      <c r="K43" s="763">
        <v>0.297001271690528</v>
      </c>
      <c r="L43" s="763">
        <v>0.36044772520877688</v>
      </c>
      <c r="M43" s="763">
        <v>0.25620611835506529</v>
      </c>
      <c r="N43" s="763">
        <v>0.41412706460873572</v>
      </c>
      <c r="O43" s="763">
        <v>0.20109896248103035</v>
      </c>
      <c r="P43" s="763">
        <v>0.092508724592149108</v>
      </c>
      <c r="Q43" s="763">
        <v>0.054903281156546156</v>
      </c>
      <c r="R43" s="763">
        <v>0.1539356701840062</v>
      </c>
      <c r="S43" s="763">
        <v>0.17679487448738079</v>
      </c>
      <c r="T43" s="763">
        <v>0.23481711903507144</v>
      </c>
      <c r="U43" s="763">
        <v>0.08594136806381597</v>
      </c>
      <c r="V43" s="763">
        <v>0.24500050264042411</v>
      </c>
      <c r="W43" s="763">
        <v>0.10357793368781319</v>
      </c>
      <c r="X43" s="763">
        <v>0.058178357268862071</v>
      </c>
      <c r="Y43" s="763">
        <v>0.14082507999650143</v>
      </c>
      <c r="Z43" s="763">
        <v>0.16300494064299342</v>
      </c>
      <c r="AA43" s="763">
        <v>0.21357496896124387</v>
      </c>
      <c r="AB43" s="763">
        <v>0.075838216802161851</v>
      </c>
      <c r="AC43" s="763">
        <v>0.064831483328170139</v>
      </c>
      <c r="AD43" s="763">
        <v>0.12214285557343284</v>
      </c>
      <c r="AE43" s="763">
        <v>0.17755221961288781</v>
      </c>
      <c r="AF43" s="763">
        <v>0.021298315811746665</v>
      </c>
      <c r="AG43" s="763">
        <v>0.037960143767891655</v>
      </c>
      <c r="AH43" s="763">
        <v>0.05476149862174072</v>
      </c>
      <c r="AI43" s="763">
        <v>0.0067594482370099684</v>
      </c>
      <c r="AJ43" s="763">
        <v>0.3459433355180781</v>
      </c>
      <c r="AK43" s="763">
        <v>0.36983564513550876</v>
      </c>
      <c r="AL43" s="763">
        <v>0.33894371440106369</v>
      </c>
      <c r="AM43" s="763">
        <v>0.39652052545986477</v>
      </c>
      <c r="AN43" s="763">
        <v>0.46401812022529748</v>
      </c>
      <c r="AO43" s="763">
        <v>0.17861987123787662</v>
      </c>
      <c r="AP43" s="763">
        <v>0.21792482519526318</v>
      </c>
      <c r="AQ43" s="763">
        <v>0.070159527774798364</v>
      </c>
      <c r="AR43" s="764">
        <v>0.049939306754679551</v>
      </c>
      <c r="AS43" s="394"/>
      <c r="AT43" s="397"/>
      <c r="AU43" s="398"/>
      <c r="AV43" s="398"/>
    </row>
    <row r="44" spans="1:48">
      <c r="A44" s="396">
        <v>340</v>
      </c>
      <c r="B44" s="761" t="s">
        <v>246</v>
      </c>
      <c r="C44" s="762">
        <v>12908</v>
      </c>
      <c r="D44" s="762">
        <v>11041</v>
      </c>
      <c r="E44" s="762">
        <v>5531</v>
      </c>
      <c r="F44" s="762">
        <v>1177</v>
      </c>
      <c r="G44" s="762">
        <v>1092</v>
      </c>
      <c r="H44" s="762">
        <v>1176</v>
      </c>
      <c r="I44" s="762">
        <v>1086</v>
      </c>
      <c r="J44" s="762">
        <v>1000</v>
      </c>
      <c r="K44" s="763">
        <v>0.33754260923458329</v>
      </c>
      <c r="L44" s="763">
        <v>0.39396704364110929</v>
      </c>
      <c r="M44" s="763">
        <v>0.38437895498101615</v>
      </c>
      <c r="N44" s="763">
        <v>0.5429741213172643</v>
      </c>
      <c r="O44" s="763">
        <v>0.25058258390154076</v>
      </c>
      <c r="P44" s="763">
        <v>0.05613935571620584</v>
      </c>
      <c r="Q44" s="763">
        <v>0.096137598899392</v>
      </c>
      <c r="R44" s="763">
        <v>0.034872838701590025</v>
      </c>
      <c r="S44" s="763">
        <v>0.08507962363702784</v>
      </c>
      <c r="T44" s="763">
        <v>0.2216758798219115</v>
      </c>
      <c r="U44" s="763">
        <v>0.25551211932233209</v>
      </c>
      <c r="V44" s="763">
        <v>0.17244738670083945</v>
      </c>
      <c r="W44" s="763">
        <v>0.045066127913041404</v>
      </c>
      <c r="X44" s="763">
        <v>0.085456509830789992</v>
      </c>
      <c r="Y44" s="763">
        <v>0.037057978343428187</v>
      </c>
      <c r="Z44" s="763">
        <v>0.10645056549404988</v>
      </c>
      <c r="AA44" s="763">
        <v>0.26585345815461414</v>
      </c>
      <c r="AB44" s="763">
        <v>0.28766797356323648</v>
      </c>
      <c r="AC44" s="763">
        <v>0.011310981297160861</v>
      </c>
      <c r="AD44" s="763">
        <v>0.02051452504253928</v>
      </c>
      <c r="AE44" s="763">
        <v>0.028541884871339733</v>
      </c>
      <c r="AF44" s="763">
        <v>0.0052745043068554579</v>
      </c>
      <c r="AG44" s="763">
        <v>0.007281128564160068</v>
      </c>
      <c r="AH44" s="763">
        <v>0.010199446956301683</v>
      </c>
      <c r="AI44" s="763">
        <v>0.007576694859810525</v>
      </c>
      <c r="AJ44" s="763">
        <v>0.34737773573510361</v>
      </c>
      <c r="AK44" s="763">
        <v>0.40854740382519095</v>
      </c>
      <c r="AL44" s="763">
        <v>0.440296529714338</v>
      </c>
      <c r="AM44" s="763">
        <v>0.46659338067697292</v>
      </c>
      <c r="AN44" s="763">
        <v>0.570195373394556</v>
      </c>
      <c r="AO44" s="763">
        <v>0.19711205379604116</v>
      </c>
      <c r="AP44" s="763">
        <v>0.25835703494258683</v>
      </c>
      <c r="AQ44" s="763">
        <v>0.038737766779985985</v>
      </c>
      <c r="AR44" s="764">
        <v>0.041955899621782831</v>
      </c>
      <c r="AS44" s="394"/>
      <c r="AT44" s="397"/>
      <c r="AU44" s="398"/>
      <c r="AV44" s="398"/>
    </row>
    <row r="45" spans="1:48">
      <c r="A45" s="396">
        <v>341</v>
      </c>
      <c r="B45" s="761" t="s">
        <v>254</v>
      </c>
      <c r="C45" s="762">
        <v>37659</v>
      </c>
      <c r="D45" s="762">
        <v>32083</v>
      </c>
      <c r="E45" s="762">
        <v>25080</v>
      </c>
      <c r="F45" s="762">
        <v>5350</v>
      </c>
      <c r="G45" s="762">
        <v>5053</v>
      </c>
      <c r="H45" s="762">
        <v>4962</v>
      </c>
      <c r="I45" s="762">
        <v>4958</v>
      </c>
      <c r="J45" s="762">
        <v>4757</v>
      </c>
      <c r="K45" s="763">
        <v>0.27918956955840574</v>
      </c>
      <c r="L45" s="763">
        <v>0.3503339153942111</v>
      </c>
      <c r="M45" s="763">
        <v>0.27340510366826154</v>
      </c>
      <c r="N45" s="763">
        <v>0.43729568287964576</v>
      </c>
      <c r="O45" s="763">
        <v>0.25667225276611755</v>
      </c>
      <c r="P45" s="763">
        <v>0.047424423309605133</v>
      </c>
      <c r="Q45" s="763">
        <v>0.078039783616425565</v>
      </c>
      <c r="R45" s="763">
        <v>0.082661467793666607</v>
      </c>
      <c r="S45" s="763">
        <v>0.076170656105868428</v>
      </c>
      <c r="T45" s="763">
        <v>0.28280651998162076</v>
      </c>
      <c r="U45" s="763">
        <v>0.17622489642669609</v>
      </c>
      <c r="V45" s="763">
        <v>0.298353035580231</v>
      </c>
      <c r="W45" s="763">
        <v>0.049374102786300014</v>
      </c>
      <c r="X45" s="763">
        <v>0.082640934685966255</v>
      </c>
      <c r="Y45" s="763">
        <v>0.077573670725450017</v>
      </c>
      <c r="Z45" s="763">
        <v>0.073895416700464733</v>
      </c>
      <c r="AA45" s="763">
        <v>0.25653204179952394</v>
      </c>
      <c r="AB45" s="763">
        <v>0.16163079772206373</v>
      </c>
      <c r="AC45" s="763">
        <v>0.046901431662423242</v>
      </c>
      <c r="AD45" s="763">
        <v>0.084410942485728155</v>
      </c>
      <c r="AE45" s="763">
        <v>0.1181944797805372</v>
      </c>
      <c r="AF45" s="763">
        <v>0.011016810923312793</v>
      </c>
      <c r="AG45" s="763">
        <v>0.020694380233660083</v>
      </c>
      <c r="AH45" s="763">
        <v>0.030282832678203364</v>
      </c>
      <c r="AI45" s="763">
        <v>0.00867149336593014</v>
      </c>
      <c r="AJ45" s="763">
        <v>0.38533851133966163</v>
      </c>
      <c r="AK45" s="763">
        <v>0.35210596706363051</v>
      </c>
      <c r="AL45" s="763">
        <v>0.35658176745153908</v>
      </c>
      <c r="AM45" s="763">
        <v>0.39486563307778189</v>
      </c>
      <c r="AN45" s="763">
        <v>0.50587842078810252</v>
      </c>
      <c r="AO45" s="763">
        <v>0.16857696564531616</v>
      </c>
      <c r="AP45" s="763">
        <v>0.21949121151035331</v>
      </c>
      <c r="AQ45" s="763">
        <v>0.052558647593821881</v>
      </c>
      <c r="AR45" s="764">
        <v>0.040465284035126857</v>
      </c>
      <c r="AS45" s="394"/>
      <c r="AT45" s="397"/>
      <c r="AU45" s="398"/>
      <c r="AV45" s="398"/>
    </row>
    <row r="46" spans="1:48">
      <c r="A46" s="396">
        <v>342</v>
      </c>
      <c r="B46" s="761" t="s">
        <v>298</v>
      </c>
      <c r="C46" s="762">
        <v>14659</v>
      </c>
      <c r="D46" s="762">
        <v>12651</v>
      </c>
      <c r="E46" s="762">
        <v>9747</v>
      </c>
      <c r="F46" s="762">
        <v>2120</v>
      </c>
      <c r="G46" s="762">
        <v>1980</v>
      </c>
      <c r="H46" s="762">
        <v>1989</v>
      </c>
      <c r="I46" s="762">
        <v>1860</v>
      </c>
      <c r="J46" s="762">
        <v>1798</v>
      </c>
      <c r="K46" s="763">
        <v>0.1932601132410123</v>
      </c>
      <c r="L46" s="763">
        <v>0.26975098435558442</v>
      </c>
      <c r="M46" s="763">
        <v>0.19246947778803736</v>
      </c>
      <c r="N46" s="763">
        <v>0.32603887402789367</v>
      </c>
      <c r="O46" s="763">
        <v>0.39614991168887059</v>
      </c>
      <c r="P46" s="763">
        <v>0.098942323967323637</v>
      </c>
      <c r="Q46" s="763">
        <v>0.079078558282100087</v>
      </c>
      <c r="R46" s="763">
        <v>0.094082168128814175</v>
      </c>
      <c r="S46" s="763">
        <v>0.064344809157433874</v>
      </c>
      <c r="T46" s="763">
        <v>0.17834624290030143</v>
      </c>
      <c r="U46" s="763">
        <v>0.089055985875156146</v>
      </c>
      <c r="V46" s="763">
        <v>0.42327061709668096</v>
      </c>
      <c r="W46" s="763">
        <v>0.10099354594551938</v>
      </c>
      <c r="X46" s="763">
        <v>0.073073950695254408</v>
      </c>
      <c r="Y46" s="763">
        <v>0.092787496866855931</v>
      </c>
      <c r="Z46" s="763">
        <v>0.055000045701847522</v>
      </c>
      <c r="AA46" s="763">
        <v>0.16740690982520237</v>
      </c>
      <c r="AB46" s="763">
        <v>0.087467433868639616</v>
      </c>
      <c r="AC46" s="763">
        <v>0.010541534638036627</v>
      </c>
      <c r="AD46" s="763">
        <v>0.017882693337594468</v>
      </c>
      <c r="AE46" s="763">
        <v>0.0249867217993594</v>
      </c>
      <c r="AF46" s="763">
        <v>0.0027706618873455033</v>
      </c>
      <c r="AG46" s="763">
        <v>0.00502849219729946</v>
      </c>
      <c r="AH46" s="763">
        <v>0.0080044188130313759</v>
      </c>
      <c r="AI46" s="763">
        <v>0.0097377474122452186</v>
      </c>
      <c r="AJ46" s="763">
        <v>0.32680032909612872</v>
      </c>
      <c r="AK46" s="763">
        <v>0.33311920768586212</v>
      </c>
      <c r="AL46" s="763">
        <v>0.361996488696998</v>
      </c>
      <c r="AM46" s="763">
        <v>0.41093834324225026</v>
      </c>
      <c r="AN46" s="763">
        <v>0.46496391869717718</v>
      </c>
      <c r="AO46" s="763">
        <v>0.15165949205193682</v>
      </c>
      <c r="AP46" s="763">
        <v>0.21276882483947684</v>
      </c>
      <c r="AQ46" s="763">
        <v>0.036840806515863932</v>
      </c>
      <c r="AR46" s="764">
        <v>0.032529180938289173</v>
      </c>
      <c r="AS46" s="394"/>
      <c r="AT46" s="397"/>
      <c r="AU46" s="398"/>
      <c r="AV46" s="398"/>
    </row>
    <row r="47" spans="1:48">
      <c r="A47" s="396">
        <v>343</v>
      </c>
      <c r="B47" s="761" t="s">
        <v>287</v>
      </c>
      <c r="C47" s="762">
        <v>21056</v>
      </c>
      <c r="D47" s="762">
        <v>18163</v>
      </c>
      <c r="E47" s="762">
        <v>14350</v>
      </c>
      <c r="F47" s="762">
        <v>3022</v>
      </c>
      <c r="G47" s="762">
        <v>2937</v>
      </c>
      <c r="H47" s="762">
        <v>2878</v>
      </c>
      <c r="I47" s="762">
        <v>2761</v>
      </c>
      <c r="J47" s="762">
        <v>2752</v>
      </c>
      <c r="K47" s="763">
        <v>0.18617021276595744</v>
      </c>
      <c r="L47" s="763">
        <v>0.23966462234910477</v>
      </c>
      <c r="M47" s="763">
        <v>0.1772125435540069</v>
      </c>
      <c r="N47" s="763">
        <v>0.27243616761259865</v>
      </c>
      <c r="O47" s="763">
        <v>0.58015344099792654</v>
      </c>
      <c r="P47" s="763">
        <v>0.1060685446519046</v>
      </c>
      <c r="Q47" s="763">
        <v>0.043364648813239218</v>
      </c>
      <c r="R47" s="763">
        <v>0.0704919868741956</v>
      </c>
      <c r="S47" s="763">
        <v>0.0387100104250005</v>
      </c>
      <c r="T47" s="763">
        <v>0.10915317762749106</v>
      </c>
      <c r="U47" s="763">
        <v>0.052058190610242451</v>
      </c>
      <c r="V47" s="763">
        <v>0.59686910641197644</v>
      </c>
      <c r="W47" s="763">
        <v>0.11060532222563743</v>
      </c>
      <c r="X47" s="763">
        <v>0.044605205376981143</v>
      </c>
      <c r="Y47" s="763">
        <v>0.059732072272386416</v>
      </c>
      <c r="Z47" s="763">
        <v>0.035127890582983337</v>
      </c>
      <c r="AA47" s="763">
        <v>0.099394688031861925</v>
      </c>
      <c r="AB47" s="763">
        <v>0.053665715098173368</v>
      </c>
      <c r="AC47" s="763">
        <v>0.014130991827968609</v>
      </c>
      <c r="AD47" s="763">
        <v>0.026441813923601752</v>
      </c>
      <c r="AE47" s="763">
        <v>0.035874182422157917</v>
      </c>
      <c r="AF47" s="763">
        <v>0.0044677839483071883</v>
      </c>
      <c r="AG47" s="763">
        <v>0.0096341007401352634</v>
      </c>
      <c r="AH47" s="763">
        <v>0.0128456492046644</v>
      </c>
      <c r="AI47" s="763">
        <v>0.00851417491347892</v>
      </c>
      <c r="AJ47" s="763">
        <v>0.32102181589724776</v>
      </c>
      <c r="AK47" s="763">
        <v>0.35597844507249232</v>
      </c>
      <c r="AL47" s="763">
        <v>0.3177814319479848</v>
      </c>
      <c r="AM47" s="763">
        <v>0.34431171454908827</v>
      </c>
      <c r="AN47" s="763">
        <v>0.43880096647543582</v>
      </c>
      <c r="AO47" s="763">
        <v>0.1530591389089119</v>
      </c>
      <c r="AP47" s="763">
        <v>0.19970698865208925</v>
      </c>
      <c r="AQ47" s="763">
        <v>0.041702589652487285</v>
      </c>
      <c r="AR47" s="764">
        <v>0.03518338209081328</v>
      </c>
      <c r="AS47" s="394"/>
      <c r="AT47" s="397"/>
      <c r="AU47" s="398"/>
      <c r="AV47" s="398"/>
    </row>
    <row r="48" spans="1:48">
      <c r="A48" s="396">
        <v>344</v>
      </c>
      <c r="B48" s="761" t="s">
        <v>326</v>
      </c>
      <c r="C48" s="762">
        <v>25778</v>
      </c>
      <c r="D48" s="762">
        <v>22245</v>
      </c>
      <c r="E48" s="762">
        <v>18175</v>
      </c>
      <c r="F48" s="762">
        <v>3755</v>
      </c>
      <c r="G48" s="762">
        <v>3796</v>
      </c>
      <c r="H48" s="762">
        <v>3623</v>
      </c>
      <c r="I48" s="762">
        <v>3533</v>
      </c>
      <c r="J48" s="762">
        <v>3468</v>
      </c>
      <c r="K48" s="763">
        <v>0.22856699511211109</v>
      </c>
      <c r="L48" s="763">
        <v>0.28504815228264613</v>
      </c>
      <c r="M48" s="763">
        <v>0.20121045392022</v>
      </c>
      <c r="N48" s="763">
        <v>0.30427851122045457</v>
      </c>
      <c r="O48" s="763">
        <v>0.50076698926081131</v>
      </c>
      <c r="P48" s="763">
        <v>0.070078793656536312</v>
      </c>
      <c r="Q48" s="763">
        <v>0.053435926786864575</v>
      </c>
      <c r="R48" s="763">
        <v>0.06964271298448</v>
      </c>
      <c r="S48" s="763">
        <v>0.06401199689676991</v>
      </c>
      <c r="T48" s="763">
        <v>0.11001497221248759</v>
      </c>
      <c r="U48" s="763">
        <v>0.1320486082020503</v>
      </c>
      <c r="V48" s="763">
        <v>0.54688768137307053</v>
      </c>
      <c r="W48" s="763">
        <v>0.069217060973028807</v>
      </c>
      <c r="X48" s="763">
        <v>0.052627737684537691</v>
      </c>
      <c r="Y48" s="763">
        <v>0.06626557964618969</v>
      </c>
      <c r="Z48" s="763">
        <v>0.06045671924526403</v>
      </c>
      <c r="AA48" s="763">
        <v>0.092340602860855783</v>
      </c>
      <c r="AB48" s="763">
        <v>0.11220461821705362</v>
      </c>
      <c r="AC48" s="763">
        <v>0.0076537431472669644</v>
      </c>
      <c r="AD48" s="763">
        <v>0.015566692976868296</v>
      </c>
      <c r="AE48" s="763">
        <v>0.022446278657047243</v>
      </c>
      <c r="AF48" s="763">
        <v>0.0019261776429905563</v>
      </c>
      <c r="AG48" s="763">
        <v>0.0044585044860470935</v>
      </c>
      <c r="AH48" s="763">
        <v>0.006660107809963</v>
      </c>
      <c r="AI48" s="763">
        <v>0.010944164272075271</v>
      </c>
      <c r="AJ48" s="763">
        <v>0.29785387530538493</v>
      </c>
      <c r="AK48" s="763">
        <v>0.36154268005941625</v>
      </c>
      <c r="AL48" s="763">
        <v>0.35972343858008227</v>
      </c>
      <c r="AM48" s="763">
        <v>0.39059808876940089</v>
      </c>
      <c r="AN48" s="763">
        <v>0.45939133610106014</v>
      </c>
      <c r="AO48" s="763">
        <v>0.17186521515619937</v>
      </c>
      <c r="AP48" s="763">
        <v>0.21684178318090544</v>
      </c>
      <c r="AQ48" s="763">
        <v>0.039374660563271005</v>
      </c>
      <c r="AR48" s="764">
        <v>0.025701637387275846</v>
      </c>
      <c r="AS48" s="394"/>
      <c r="AT48" s="397"/>
      <c r="AU48" s="398"/>
      <c r="AV48" s="398"/>
    </row>
    <row r="49" spans="1:48">
      <c r="A49" s="396">
        <v>350</v>
      </c>
      <c r="B49" s="761" t="s">
        <v>187</v>
      </c>
      <c r="C49" s="762">
        <v>28150</v>
      </c>
      <c r="D49" s="762">
        <v>24276</v>
      </c>
      <c r="E49" s="762">
        <v>18524</v>
      </c>
      <c r="F49" s="762">
        <v>3976</v>
      </c>
      <c r="G49" s="762">
        <v>3821</v>
      </c>
      <c r="H49" s="762">
        <v>3688</v>
      </c>
      <c r="I49" s="762">
        <v>3555</v>
      </c>
      <c r="J49" s="762">
        <v>3484</v>
      </c>
      <c r="K49" s="763">
        <v>0.20763765541740678</v>
      </c>
      <c r="L49" s="763">
        <v>0.27946852347037832</v>
      </c>
      <c r="M49" s="763">
        <v>0.20211617361261069</v>
      </c>
      <c r="N49" s="763">
        <v>0.33116535310568879</v>
      </c>
      <c r="O49" s="763">
        <v>0.36501024770618717</v>
      </c>
      <c r="P49" s="763">
        <v>0.13847377154111667</v>
      </c>
      <c r="Q49" s="763">
        <v>0.18898110861201636</v>
      </c>
      <c r="R49" s="763">
        <v>0.0936707265976964</v>
      </c>
      <c r="S49" s="763">
        <v>0.075161191908125438</v>
      </c>
      <c r="T49" s="763">
        <v>0.084178479110216836</v>
      </c>
      <c r="U49" s="763">
        <v>0.054524474524641132</v>
      </c>
      <c r="V49" s="763">
        <v>0.38826580065298688</v>
      </c>
      <c r="W49" s="763">
        <v>0.13329158219945569</v>
      </c>
      <c r="X49" s="763">
        <v>0.18287181596318217</v>
      </c>
      <c r="Y49" s="763">
        <v>0.085057028999172765</v>
      </c>
      <c r="Z49" s="763">
        <v>0.073448474934027147</v>
      </c>
      <c r="AA49" s="763">
        <v>0.08387452267020222</v>
      </c>
      <c r="AB49" s="763">
        <v>0.053190774580973196</v>
      </c>
      <c r="AC49" s="763">
        <v>0.061405196660033641</v>
      </c>
      <c r="AD49" s="763">
        <v>0.11492606381296516</v>
      </c>
      <c r="AE49" s="763">
        <v>0.16943559107231837</v>
      </c>
      <c r="AF49" s="763">
        <v>0.015826859559061348</v>
      </c>
      <c r="AG49" s="763">
        <v>0.027461962640120661</v>
      </c>
      <c r="AH49" s="763">
        <v>0.041325563119826367</v>
      </c>
      <c r="AI49" s="763">
        <v>0.0076077578027730309</v>
      </c>
      <c r="AJ49" s="763">
        <v>0.35670063051132783</v>
      </c>
      <c r="AK49" s="763">
        <v>0.36122179722010983</v>
      </c>
      <c r="AL49" s="763">
        <v>0.34394697347171116</v>
      </c>
      <c r="AM49" s="763">
        <v>0.39594130766929009</v>
      </c>
      <c r="AN49" s="763">
        <v>0.43435134582758395</v>
      </c>
      <c r="AO49" s="763">
        <v>0.17025429595190325</v>
      </c>
      <c r="AP49" s="763">
        <v>0.21294764774783384</v>
      </c>
      <c r="AQ49" s="763">
        <v>0.054087618475424974</v>
      </c>
      <c r="AR49" s="764">
        <v>0.0383964348218475</v>
      </c>
      <c r="AS49" s="394"/>
      <c r="AT49" s="397"/>
      <c r="AU49" s="398"/>
      <c r="AV49" s="398"/>
    </row>
    <row r="50" spans="1:48">
      <c r="A50" s="396">
        <v>351</v>
      </c>
      <c r="B50" s="761" t="s">
        <v>196</v>
      </c>
      <c r="C50" s="762">
        <v>16586</v>
      </c>
      <c r="D50" s="762">
        <v>14317</v>
      </c>
      <c r="E50" s="762">
        <v>11242</v>
      </c>
      <c r="F50" s="762">
        <v>2333</v>
      </c>
      <c r="G50" s="762">
        <v>2293</v>
      </c>
      <c r="H50" s="762">
        <v>2224</v>
      </c>
      <c r="I50" s="762">
        <v>2240</v>
      </c>
      <c r="J50" s="762">
        <v>2152</v>
      </c>
      <c r="K50" s="763">
        <v>0.17695646931146752</v>
      </c>
      <c r="L50" s="763">
        <v>0.21973284873305993</v>
      </c>
      <c r="M50" s="763">
        <v>0.16954278598114228</v>
      </c>
      <c r="N50" s="763">
        <v>0.27227860289515543</v>
      </c>
      <c r="O50" s="763">
        <v>0.52576727605278917</v>
      </c>
      <c r="P50" s="763">
        <v>0.11846146144756163</v>
      </c>
      <c r="Q50" s="763">
        <v>0.10157588150190851</v>
      </c>
      <c r="R50" s="763">
        <v>0.1274610386379888</v>
      </c>
      <c r="S50" s="763">
        <v>0.046366514838816153</v>
      </c>
      <c r="T50" s="763">
        <v>0.051785448869223073</v>
      </c>
      <c r="U50" s="763">
        <v>0.028582378651712537</v>
      </c>
      <c r="V50" s="763">
        <v>0.53336910023975859</v>
      </c>
      <c r="W50" s="763">
        <v>0.11719895993574546</v>
      </c>
      <c r="X50" s="763">
        <v>0.10325452600585931</v>
      </c>
      <c r="Y50" s="763">
        <v>0.12134989617747856</v>
      </c>
      <c r="Z50" s="763">
        <v>0.045126091701501961</v>
      </c>
      <c r="AA50" s="763">
        <v>0.050705878329388276</v>
      </c>
      <c r="AB50" s="763">
        <v>0.028995547610268218</v>
      </c>
      <c r="AC50" s="763">
        <v>0.035638288153563964</v>
      </c>
      <c r="AD50" s="763">
        <v>0.070052436677056129</v>
      </c>
      <c r="AE50" s="763">
        <v>0.10393246997295821</v>
      </c>
      <c r="AF50" s="763">
        <v>0.00829285748393664</v>
      </c>
      <c r="AG50" s="763">
        <v>0.015774252415835393</v>
      </c>
      <c r="AH50" s="763">
        <v>0.024322842405592238</v>
      </c>
      <c r="AI50" s="763">
        <v>0.0073681302101318309</v>
      </c>
      <c r="AJ50" s="763">
        <v>0.32560289104572832</v>
      </c>
      <c r="AK50" s="763">
        <v>0.3569338559318635</v>
      </c>
      <c r="AL50" s="763">
        <v>0.35520361233458031</v>
      </c>
      <c r="AM50" s="763">
        <v>0.3571270229569285</v>
      </c>
      <c r="AN50" s="763">
        <v>0.43663613773022386</v>
      </c>
      <c r="AO50" s="763">
        <v>0.17129130523469141</v>
      </c>
      <c r="AP50" s="763">
        <v>0.20944061225355903</v>
      </c>
      <c r="AQ50" s="763">
        <v>0.042821494466201752</v>
      </c>
      <c r="AR50" s="764">
        <v>0.030901573274606853</v>
      </c>
      <c r="AS50" s="394"/>
      <c r="AT50" s="397"/>
      <c r="AU50" s="398"/>
      <c r="AV50" s="398"/>
    </row>
    <row r="51" spans="1:48">
      <c r="A51" s="396">
        <v>352</v>
      </c>
      <c r="B51" s="761" t="s">
        <v>256</v>
      </c>
      <c r="C51" s="762">
        <v>49963</v>
      </c>
      <c r="D51" s="762">
        <v>42866</v>
      </c>
      <c r="E51" s="762">
        <v>29484</v>
      </c>
      <c r="F51" s="762">
        <v>6295</v>
      </c>
      <c r="G51" s="762">
        <v>6199</v>
      </c>
      <c r="H51" s="762">
        <v>6090</v>
      </c>
      <c r="I51" s="762">
        <v>5582</v>
      </c>
      <c r="J51" s="762">
        <v>5318</v>
      </c>
      <c r="K51" s="763">
        <v>0.29808057962892537</v>
      </c>
      <c r="L51" s="763">
        <v>0.39319088893326309</v>
      </c>
      <c r="M51" s="763">
        <v>0.31067697734364397</v>
      </c>
      <c r="N51" s="763">
        <v>0.48411879200565061</v>
      </c>
      <c r="O51" s="763">
        <v>0.15669633134176988</v>
      </c>
      <c r="P51" s="763">
        <v>0.070241286634764408</v>
      </c>
      <c r="Q51" s="763">
        <v>0.10636815343477413</v>
      </c>
      <c r="R51" s="763">
        <v>0.10929611744871826</v>
      </c>
      <c r="S51" s="763">
        <v>0.14447833286136436</v>
      </c>
      <c r="T51" s="763">
        <v>0.2605524221214347</v>
      </c>
      <c r="U51" s="763">
        <v>0.15236735615717428</v>
      </c>
      <c r="V51" s="763">
        <v>0.15145525585422129</v>
      </c>
      <c r="W51" s="763">
        <v>0.0730262517067145</v>
      </c>
      <c r="X51" s="763">
        <v>0.11015681587618678</v>
      </c>
      <c r="Y51" s="763">
        <v>0.11107644582700056</v>
      </c>
      <c r="Z51" s="763">
        <v>0.14331834630596546</v>
      </c>
      <c r="AA51" s="763">
        <v>0.26166458784010194</v>
      </c>
      <c r="AB51" s="763">
        <v>0.14930229658980948</v>
      </c>
      <c r="AC51" s="763">
        <v>0.092010015693955838</v>
      </c>
      <c r="AD51" s="763">
        <v>0.17409863014865051</v>
      </c>
      <c r="AE51" s="763">
        <v>0.24982432483313724</v>
      </c>
      <c r="AF51" s="763">
        <v>0.026933710380788116</v>
      </c>
      <c r="AG51" s="763">
        <v>0.049205292017485108</v>
      </c>
      <c r="AH51" s="763">
        <v>0.0732340253386564</v>
      </c>
      <c r="AI51" s="763">
        <v>0.0060434680567251148</v>
      </c>
      <c r="AJ51" s="763">
        <v>0.36314386930336839</v>
      </c>
      <c r="AK51" s="763">
        <v>0.40361586328513971</v>
      </c>
      <c r="AL51" s="763">
        <v>0.3990478737348952</v>
      </c>
      <c r="AM51" s="763">
        <v>0.43672086762955448</v>
      </c>
      <c r="AN51" s="763">
        <v>0.50623628347821614</v>
      </c>
      <c r="AO51" s="763">
        <v>0.21753620657380465</v>
      </c>
      <c r="AP51" s="763">
        <v>0.24657366448414392</v>
      </c>
      <c r="AQ51" s="763">
        <v>0.07139454283677335</v>
      </c>
      <c r="AR51" s="764">
        <v>0.046649389974172735</v>
      </c>
      <c r="AS51" s="394"/>
      <c r="AT51" s="397"/>
      <c r="AU51" s="398"/>
      <c r="AV51" s="398"/>
    </row>
    <row r="52" spans="1:48">
      <c r="A52" s="396">
        <v>353</v>
      </c>
      <c r="B52" s="761" t="s">
        <v>273</v>
      </c>
      <c r="C52" s="762">
        <v>24285</v>
      </c>
      <c r="D52" s="762">
        <v>20956</v>
      </c>
      <c r="E52" s="762">
        <v>16212</v>
      </c>
      <c r="F52" s="762">
        <v>3480</v>
      </c>
      <c r="G52" s="762">
        <v>3313</v>
      </c>
      <c r="H52" s="762">
        <v>3228</v>
      </c>
      <c r="I52" s="762">
        <v>3139</v>
      </c>
      <c r="J52" s="762">
        <v>3052</v>
      </c>
      <c r="K52" s="763">
        <v>0.21540045295449861</v>
      </c>
      <c r="L52" s="763">
        <v>0.292926677452005</v>
      </c>
      <c r="M52" s="763">
        <v>0.21305206020231932</v>
      </c>
      <c r="N52" s="763">
        <v>0.36001614562939771</v>
      </c>
      <c r="O52" s="763">
        <v>0.32805383689592066</v>
      </c>
      <c r="P52" s="763">
        <v>0.10251422156572088</v>
      </c>
      <c r="Q52" s="763">
        <v>0.13482732670307376</v>
      </c>
      <c r="R52" s="763">
        <v>0.14305268321490069</v>
      </c>
      <c r="S52" s="763">
        <v>0.10351611807561732</v>
      </c>
      <c r="T52" s="763">
        <v>0.13869456547625464</v>
      </c>
      <c r="U52" s="763">
        <v>0.049341248068512047</v>
      </c>
      <c r="V52" s="763">
        <v>0.359229820208847</v>
      </c>
      <c r="W52" s="763">
        <v>0.10182950342719789</v>
      </c>
      <c r="X52" s="763">
        <v>0.12650590758008259</v>
      </c>
      <c r="Y52" s="763">
        <v>0.13765825835442677</v>
      </c>
      <c r="Z52" s="763">
        <v>0.084267244694666676</v>
      </c>
      <c r="AA52" s="763">
        <v>0.14169186704751122</v>
      </c>
      <c r="AB52" s="763">
        <v>0.0488173986872679</v>
      </c>
      <c r="AC52" s="763">
        <v>0.069854001710678362</v>
      </c>
      <c r="AD52" s="763">
        <v>0.13571873911265972</v>
      </c>
      <c r="AE52" s="763">
        <v>0.19366455040888583</v>
      </c>
      <c r="AF52" s="763">
        <v>0.01226537825037115</v>
      </c>
      <c r="AG52" s="763">
        <v>0.023553983518448413</v>
      </c>
      <c r="AH52" s="763">
        <v>0.034275900509501266</v>
      </c>
      <c r="AI52" s="763">
        <v>0.0075921398039147528</v>
      </c>
      <c r="AJ52" s="763">
        <v>0.3853308448696508</v>
      </c>
      <c r="AK52" s="763">
        <v>0.35840931406612964</v>
      </c>
      <c r="AL52" s="763">
        <v>0.37098841798335624</v>
      </c>
      <c r="AM52" s="763">
        <v>0.41407831317488714</v>
      </c>
      <c r="AN52" s="763">
        <v>0.51806476880122665</v>
      </c>
      <c r="AO52" s="763">
        <v>0.17793913412806284</v>
      </c>
      <c r="AP52" s="763">
        <v>0.22737270984149732</v>
      </c>
      <c r="AQ52" s="763">
        <v>0.056972569819066059</v>
      </c>
      <c r="AR52" s="764">
        <v>0.037323713338419988</v>
      </c>
      <c r="AS52" s="394"/>
      <c r="AT52" s="397"/>
      <c r="AU52" s="398"/>
      <c r="AV52" s="398"/>
    </row>
    <row r="53" spans="1:48">
      <c r="A53" s="396">
        <v>354</v>
      </c>
      <c r="B53" s="761" t="s">
        <v>282</v>
      </c>
      <c r="C53" s="762">
        <v>21138</v>
      </c>
      <c r="D53" s="762">
        <v>18218</v>
      </c>
      <c r="E53" s="762">
        <v>13120</v>
      </c>
      <c r="F53" s="762">
        <v>2766</v>
      </c>
      <c r="G53" s="762">
        <v>2751</v>
      </c>
      <c r="H53" s="762">
        <v>2557</v>
      </c>
      <c r="I53" s="762">
        <v>2585</v>
      </c>
      <c r="J53" s="762">
        <v>2461</v>
      </c>
      <c r="K53" s="763">
        <v>0.22182798751064434</v>
      </c>
      <c r="L53" s="763">
        <v>0.28547393071330351</v>
      </c>
      <c r="M53" s="763">
        <v>0.2272103658536585</v>
      </c>
      <c r="N53" s="763">
        <v>0.38026571886211541</v>
      </c>
      <c r="O53" s="763">
        <v>0.30826508933256597</v>
      </c>
      <c r="P53" s="763">
        <v>0.10167226839015929</v>
      </c>
      <c r="Q53" s="763">
        <v>0.16731722657085454</v>
      </c>
      <c r="R53" s="763">
        <v>0.11756183995462778</v>
      </c>
      <c r="S53" s="763">
        <v>0.08226139718526862</v>
      </c>
      <c r="T53" s="763">
        <v>0.187362034614169</v>
      </c>
      <c r="U53" s="763">
        <v>0.03556014395235476</v>
      </c>
      <c r="V53" s="763">
        <v>0.30157887884492218</v>
      </c>
      <c r="W53" s="763">
        <v>0.088777749183042584</v>
      </c>
      <c r="X53" s="763">
        <v>0.17722886373429475</v>
      </c>
      <c r="Y53" s="763">
        <v>0.11811241069296007</v>
      </c>
      <c r="Z53" s="763">
        <v>0.091799508140636477</v>
      </c>
      <c r="AA53" s="763">
        <v>0.18795845838952718</v>
      </c>
      <c r="AB53" s="763">
        <v>0.034544131014616473</v>
      </c>
      <c r="AC53" s="763">
        <v>0.0529812458029455</v>
      </c>
      <c r="AD53" s="763">
        <v>0.10351048468482747</v>
      </c>
      <c r="AE53" s="763">
        <v>0.1507771684616033</v>
      </c>
      <c r="AF53" s="763">
        <v>0.012752786647973016</v>
      </c>
      <c r="AG53" s="763">
        <v>0.02199147207830416</v>
      </c>
      <c r="AH53" s="763">
        <v>0.032156336587438876</v>
      </c>
      <c r="AI53" s="763">
        <v>0.0094272280300009489</v>
      </c>
      <c r="AJ53" s="763">
        <v>0.38038396581049627</v>
      </c>
      <c r="AK53" s="763">
        <v>0.4132308731986572</v>
      </c>
      <c r="AL53" s="763">
        <v>0.40620903756579885</v>
      </c>
      <c r="AM53" s="763">
        <v>0.44892615332719077</v>
      </c>
      <c r="AN53" s="763">
        <v>0.47871562402518708</v>
      </c>
      <c r="AO53" s="763">
        <v>0.19912126848577308</v>
      </c>
      <c r="AP53" s="763">
        <v>0.24380111215277706</v>
      </c>
      <c r="AQ53" s="763">
        <v>0.059423241330872</v>
      </c>
      <c r="AR53" s="764">
        <v>0.042857219748770894</v>
      </c>
      <c r="AS53" s="394"/>
      <c r="AT53" s="397"/>
      <c r="AU53" s="398"/>
      <c r="AV53" s="398"/>
    </row>
    <row r="54" spans="1:48">
      <c r="A54" s="396">
        <v>355</v>
      </c>
      <c r="B54" s="761" t="s">
        <v>285</v>
      </c>
      <c r="C54" s="762">
        <v>21618</v>
      </c>
      <c r="D54" s="762">
        <v>18601</v>
      </c>
      <c r="E54" s="762">
        <v>11694</v>
      </c>
      <c r="F54" s="762">
        <v>2472</v>
      </c>
      <c r="G54" s="762">
        <v>2430</v>
      </c>
      <c r="H54" s="762">
        <v>2266</v>
      </c>
      <c r="I54" s="762">
        <v>2307</v>
      </c>
      <c r="J54" s="762">
        <v>2219</v>
      </c>
      <c r="K54" s="763">
        <v>0.2532149134980109</v>
      </c>
      <c r="L54" s="763">
        <v>0.33422190464136264</v>
      </c>
      <c r="M54" s="763">
        <v>0.26996750470326658</v>
      </c>
      <c r="N54" s="763">
        <v>0.41552864105464832</v>
      </c>
      <c r="O54" s="763">
        <v>0.31343732084690967</v>
      </c>
      <c r="P54" s="763">
        <v>0.089607030013114625</v>
      </c>
      <c r="Q54" s="763">
        <v>0.095420792224943971</v>
      </c>
      <c r="R54" s="763">
        <v>0.10203014966602769</v>
      </c>
      <c r="S54" s="763">
        <v>0.095498927300737377</v>
      </c>
      <c r="T54" s="763">
        <v>0.17353240854167715</v>
      </c>
      <c r="U54" s="763">
        <v>0.13047337140658957</v>
      </c>
      <c r="V54" s="763">
        <v>0.316267799909204</v>
      </c>
      <c r="W54" s="763">
        <v>0.095059096474215718</v>
      </c>
      <c r="X54" s="763">
        <v>0.096033197453082059</v>
      </c>
      <c r="Y54" s="763">
        <v>0.09489712551759176</v>
      </c>
      <c r="Z54" s="763">
        <v>0.097738378734053888</v>
      </c>
      <c r="AA54" s="763">
        <v>0.16970033272640758</v>
      </c>
      <c r="AB54" s="763">
        <v>0.1303040691854451</v>
      </c>
      <c r="AC54" s="763">
        <v>0.043506318201789823</v>
      </c>
      <c r="AD54" s="763">
        <v>0.08173832157524949</v>
      </c>
      <c r="AE54" s="763">
        <v>0.11636671346602361</v>
      </c>
      <c r="AF54" s="763">
        <v>0.012597315711712144</v>
      </c>
      <c r="AG54" s="763">
        <v>0.022963608822484591</v>
      </c>
      <c r="AH54" s="763">
        <v>0.034019369861315728</v>
      </c>
      <c r="AI54" s="763">
        <v>0.00764177061520675</v>
      </c>
      <c r="AJ54" s="763">
        <v>0.33356016827436774</v>
      </c>
      <c r="AK54" s="763">
        <v>0.34705849615506085</v>
      </c>
      <c r="AL54" s="763">
        <v>0.35997153669224391</v>
      </c>
      <c r="AM54" s="763">
        <v>0.39652659176747407</v>
      </c>
      <c r="AN54" s="763">
        <v>0.4464337848999882</v>
      </c>
      <c r="AO54" s="763">
        <v>0.17593904702069849</v>
      </c>
      <c r="AP54" s="763">
        <v>0.21518074641368473</v>
      </c>
      <c r="AQ54" s="763">
        <v>0.055243793624688335</v>
      </c>
      <c r="AR54" s="764">
        <v>0.040322462851544331</v>
      </c>
      <c r="AS54" s="394"/>
      <c r="AT54" s="397"/>
      <c r="AU54" s="398"/>
      <c r="AV54" s="398"/>
    </row>
    <row r="55" spans="1:48">
      <c r="A55" s="396">
        <v>356</v>
      </c>
      <c r="B55" s="761" t="s">
        <v>300</v>
      </c>
      <c r="C55" s="762">
        <v>24583</v>
      </c>
      <c r="D55" s="762">
        <v>21064</v>
      </c>
      <c r="E55" s="762">
        <v>14915</v>
      </c>
      <c r="F55" s="762">
        <v>3234</v>
      </c>
      <c r="G55" s="762">
        <v>3123</v>
      </c>
      <c r="H55" s="762">
        <v>2962</v>
      </c>
      <c r="I55" s="762">
        <v>2848</v>
      </c>
      <c r="J55" s="762">
        <v>2748</v>
      </c>
      <c r="K55" s="763">
        <v>0.13635439124598303</v>
      </c>
      <c r="L55" s="763">
        <v>0.18594753685221446</v>
      </c>
      <c r="M55" s="763">
        <v>0.14622862889708355</v>
      </c>
      <c r="N55" s="763">
        <v>0.24451844843182427</v>
      </c>
      <c r="O55" s="763">
        <v>0.65691723126942592</v>
      </c>
      <c r="P55" s="763">
        <v>0.083187568644998572</v>
      </c>
      <c r="Q55" s="763">
        <v>0.10828636471153653</v>
      </c>
      <c r="R55" s="763">
        <v>0.041207338404588525</v>
      </c>
      <c r="S55" s="763">
        <v>0.010779807183826219</v>
      </c>
      <c r="T55" s="763">
        <v>0.052922751494935513</v>
      </c>
      <c r="U55" s="763">
        <v>0.046698938290688677</v>
      </c>
      <c r="V55" s="763">
        <v>0.65080710025852306</v>
      </c>
      <c r="W55" s="763">
        <v>0.0799250318829238</v>
      </c>
      <c r="X55" s="763">
        <v>0.10821678717954523</v>
      </c>
      <c r="Y55" s="763">
        <v>0.039759252609389131</v>
      </c>
      <c r="Z55" s="763">
        <v>0.018706239270456681</v>
      </c>
      <c r="AA55" s="763">
        <v>0.05779803226587675</v>
      </c>
      <c r="AB55" s="763">
        <v>0.044787556533285353</v>
      </c>
      <c r="AC55" s="763">
        <v>0.021069425758672728</v>
      </c>
      <c r="AD55" s="763">
        <v>0.041748392920703731</v>
      </c>
      <c r="AE55" s="763">
        <v>0.060702397711823806</v>
      </c>
      <c r="AF55" s="763">
        <v>0.0040479374649301549</v>
      </c>
      <c r="AG55" s="763">
        <v>0.0077077287992436405</v>
      </c>
      <c r="AH55" s="763">
        <v>0.011766064633595931</v>
      </c>
      <c r="AI55" s="763">
        <v>0.0064727465869259667</v>
      </c>
      <c r="AJ55" s="763">
        <v>0.308205369160285</v>
      </c>
      <c r="AK55" s="763">
        <v>0.33676214314586156</v>
      </c>
      <c r="AL55" s="763">
        <v>0.32440323886725969</v>
      </c>
      <c r="AM55" s="763">
        <v>0.35860360941053238</v>
      </c>
      <c r="AN55" s="763">
        <v>0.43304556997189841</v>
      </c>
      <c r="AO55" s="763">
        <v>0.15780919760224565</v>
      </c>
      <c r="AP55" s="763">
        <v>0.20042818530201992</v>
      </c>
      <c r="AQ55" s="763">
        <v>0.042183622828784108</v>
      </c>
      <c r="AR55" s="764">
        <v>0.02414399600811578</v>
      </c>
      <c r="AS55" s="394"/>
      <c r="AT55" s="397"/>
      <c r="AU55" s="398"/>
      <c r="AV55" s="398"/>
    </row>
    <row r="56" spans="1:48">
      <c r="A56" s="396">
        <v>357</v>
      </c>
      <c r="B56" s="761" t="s">
        <v>308</v>
      </c>
      <c r="C56" s="762">
        <v>20863</v>
      </c>
      <c r="D56" s="762">
        <v>17986</v>
      </c>
      <c r="E56" s="762">
        <v>13794</v>
      </c>
      <c r="F56" s="762">
        <v>2953</v>
      </c>
      <c r="G56" s="762">
        <v>2868</v>
      </c>
      <c r="H56" s="762">
        <v>2736</v>
      </c>
      <c r="I56" s="762">
        <v>2612</v>
      </c>
      <c r="J56" s="762">
        <v>2625</v>
      </c>
      <c r="K56" s="763">
        <v>0.23083928485836169</v>
      </c>
      <c r="L56" s="763">
        <v>0.28351607260130934</v>
      </c>
      <c r="M56" s="763">
        <v>0.18892272002319857</v>
      </c>
      <c r="N56" s="763">
        <v>0.32852574844647964</v>
      </c>
      <c r="O56" s="763">
        <v>0.32313250641832608</v>
      </c>
      <c r="P56" s="763">
        <v>0.13510872629492929</v>
      </c>
      <c r="Q56" s="763">
        <v>0.14082614311927114</v>
      </c>
      <c r="R56" s="763">
        <v>0.19281729225560917</v>
      </c>
      <c r="S56" s="763">
        <v>0.0689800114088077</v>
      </c>
      <c r="T56" s="763">
        <v>0.091942834774352847</v>
      </c>
      <c r="U56" s="763">
        <v>0.047192485728703625</v>
      </c>
      <c r="V56" s="763">
        <v>0.34361030187763597</v>
      </c>
      <c r="W56" s="763">
        <v>0.12622528258462123</v>
      </c>
      <c r="X56" s="763">
        <v>0.1215085339136816</v>
      </c>
      <c r="Y56" s="763">
        <v>0.19086407276483849</v>
      </c>
      <c r="Z56" s="763">
        <v>0.071140558655820987</v>
      </c>
      <c r="AA56" s="763">
        <v>0.093098277286955883</v>
      </c>
      <c r="AB56" s="763">
        <v>0.053552972916445847</v>
      </c>
      <c r="AC56" s="763">
        <v>0.028739660362127124</v>
      </c>
      <c r="AD56" s="763">
        <v>0.05514841850329158</v>
      </c>
      <c r="AE56" s="763">
        <v>0.079436544702055786</v>
      </c>
      <c r="AF56" s="763">
        <v>0.0054453327528352548</v>
      </c>
      <c r="AG56" s="763">
        <v>0.010452595351763905</v>
      </c>
      <c r="AH56" s="763">
        <v>0.017355782103551338</v>
      </c>
      <c r="AI56" s="763">
        <v>0.010168259249742604</v>
      </c>
      <c r="AJ56" s="763">
        <v>0.3694881110327356</v>
      </c>
      <c r="AK56" s="763">
        <v>0.36168531792607261</v>
      </c>
      <c r="AL56" s="763">
        <v>0.35831018001109305</v>
      </c>
      <c r="AM56" s="763">
        <v>0.38522436793384496</v>
      </c>
      <c r="AN56" s="763">
        <v>0.46088459885167105</v>
      </c>
      <c r="AO56" s="763">
        <v>0.18454681246314061</v>
      </c>
      <c r="AP56" s="763">
        <v>0.21871115289880108</v>
      </c>
      <c r="AQ56" s="763">
        <v>0.047835881704452861</v>
      </c>
      <c r="AR56" s="764">
        <v>0.035544067586035746</v>
      </c>
      <c r="AS56" s="394"/>
      <c r="AT56" s="397"/>
      <c r="AU56" s="398"/>
      <c r="AV56" s="398"/>
    </row>
    <row r="57" spans="1:48">
      <c r="A57" s="396">
        <v>358</v>
      </c>
      <c r="B57" s="761" t="s">
        <v>313</v>
      </c>
      <c r="C57" s="762">
        <v>21109</v>
      </c>
      <c r="D57" s="762">
        <v>18224</v>
      </c>
      <c r="E57" s="762">
        <v>16004</v>
      </c>
      <c r="F57" s="762">
        <v>3348</v>
      </c>
      <c r="G57" s="762">
        <v>3288</v>
      </c>
      <c r="H57" s="762">
        <v>3228</v>
      </c>
      <c r="I57" s="762">
        <v>3158</v>
      </c>
      <c r="J57" s="762">
        <v>2982</v>
      </c>
      <c r="K57" s="763">
        <v>0.10384196314368274</v>
      </c>
      <c r="L57" s="763">
        <v>0.1392906989777537</v>
      </c>
      <c r="M57" s="763">
        <v>0.10291177205698583</v>
      </c>
      <c r="N57" s="763">
        <v>0.1768108924541251</v>
      </c>
      <c r="O57" s="763">
        <v>0.72645859131645085</v>
      </c>
      <c r="P57" s="763">
        <v>0.054986151479903371</v>
      </c>
      <c r="Q57" s="763">
        <v>0.06998410925475515</v>
      </c>
      <c r="R57" s="763">
        <v>0.0409879239909038</v>
      </c>
      <c r="S57" s="763">
        <v>0.035740705198049616</v>
      </c>
      <c r="T57" s="763">
        <v>0.055889578362676065</v>
      </c>
      <c r="U57" s="763">
        <v>0.015952940397261028</v>
      </c>
      <c r="V57" s="763">
        <v>0.71990194259398876</v>
      </c>
      <c r="W57" s="763">
        <v>0.054598931873009987</v>
      </c>
      <c r="X57" s="763">
        <v>0.069812338392664416</v>
      </c>
      <c r="Y57" s="763">
        <v>0.039231785015941434</v>
      </c>
      <c r="Z57" s="763">
        <v>0.03716136932043225</v>
      </c>
      <c r="AA57" s="763">
        <v>0.062082773143314611</v>
      </c>
      <c r="AB57" s="763">
        <v>0.017210859660648611</v>
      </c>
      <c r="AC57" s="763">
        <v>0.040611328942540971</v>
      </c>
      <c r="AD57" s="763">
        <v>0.077542612214761192</v>
      </c>
      <c r="AE57" s="763">
        <v>0.1142945714385304</v>
      </c>
      <c r="AF57" s="763">
        <v>0.0058267333924783733</v>
      </c>
      <c r="AG57" s="763">
        <v>0.010083057741538738</v>
      </c>
      <c r="AH57" s="763">
        <v>0.014277630554548141</v>
      </c>
      <c r="AI57" s="763">
        <v>0.0064076783107869005</v>
      </c>
      <c r="AJ57" s="763">
        <v>0.25453972445311124</v>
      </c>
      <c r="AK57" s="763">
        <v>0.18901477918998405</v>
      </c>
      <c r="AL57" s="763">
        <v>0.19591811481901508</v>
      </c>
      <c r="AM57" s="763">
        <v>0.23323401980191463</v>
      </c>
      <c r="AN57" s="763">
        <v>0.26780021872619059</v>
      </c>
      <c r="AO57" s="763">
        <v>0.093331858926296224</v>
      </c>
      <c r="AP57" s="763">
        <v>0.1211808599258218</v>
      </c>
      <c r="AQ57" s="763">
        <v>0.042405296966058589</v>
      </c>
      <c r="AR57" s="764">
        <v>0.023182162247634704</v>
      </c>
      <c r="AS57" s="394"/>
      <c r="AT57" s="397"/>
      <c r="AU57" s="398"/>
      <c r="AV57" s="398"/>
    </row>
    <row r="58" spans="1:48">
      <c r="A58" s="396">
        <v>359</v>
      </c>
      <c r="B58" s="761" t="s">
        <v>323</v>
      </c>
      <c r="C58" s="762">
        <v>26369</v>
      </c>
      <c r="D58" s="762">
        <v>22751</v>
      </c>
      <c r="E58" s="762">
        <v>18352</v>
      </c>
      <c r="F58" s="762">
        <v>3948</v>
      </c>
      <c r="G58" s="762">
        <v>3637</v>
      </c>
      <c r="H58" s="762">
        <v>3710</v>
      </c>
      <c r="I58" s="762">
        <v>3621</v>
      </c>
      <c r="J58" s="762">
        <v>3436</v>
      </c>
      <c r="K58" s="763">
        <v>0.19894573173044106</v>
      </c>
      <c r="L58" s="763">
        <v>0.2456587491823036</v>
      </c>
      <c r="M58" s="763">
        <v>0.16804707933740187</v>
      </c>
      <c r="N58" s="763">
        <v>0.27238696133787738</v>
      </c>
      <c r="O58" s="763">
        <v>0.50190427830792139</v>
      </c>
      <c r="P58" s="763">
        <v>0.11772732111720922</v>
      </c>
      <c r="Q58" s="763">
        <v>0.099935111486913475</v>
      </c>
      <c r="R58" s="763">
        <v>0.091633111706785259</v>
      </c>
      <c r="S58" s="763">
        <v>0.057316300760465892</v>
      </c>
      <c r="T58" s="763">
        <v>0.09271587297198397</v>
      </c>
      <c r="U58" s="763">
        <v>0.038768003648720815</v>
      </c>
      <c r="V58" s="763">
        <v>0.528206427205825</v>
      </c>
      <c r="W58" s="763">
        <v>0.1207318020208971</v>
      </c>
      <c r="X58" s="763">
        <v>0.094696180099713242</v>
      </c>
      <c r="Y58" s="763">
        <v>0.0876796771032923</v>
      </c>
      <c r="Z58" s="763">
        <v>0.053563473385389138</v>
      </c>
      <c r="AA58" s="763">
        <v>0.084656333054753813</v>
      </c>
      <c r="AB58" s="763">
        <v>0.030466107130129507</v>
      </c>
      <c r="AC58" s="763">
        <v>0.014768124273867041</v>
      </c>
      <c r="AD58" s="763">
        <v>0.028562705651312296</v>
      </c>
      <c r="AE58" s="763">
        <v>0.0399191250153713</v>
      </c>
      <c r="AF58" s="763">
        <v>0.0037676638485453291</v>
      </c>
      <c r="AG58" s="763">
        <v>0.0069321121132793623</v>
      </c>
      <c r="AH58" s="763">
        <v>0.009991570813585305</v>
      </c>
      <c r="AI58" s="763">
        <v>0.0078077704763792263</v>
      </c>
      <c r="AJ58" s="763">
        <v>0.34080945269983431</v>
      </c>
      <c r="AK58" s="763">
        <v>0.31728621763521891</v>
      </c>
      <c r="AL58" s="763">
        <v>0.30098690877838274</v>
      </c>
      <c r="AM58" s="763">
        <v>0.32821513864869634</v>
      </c>
      <c r="AN58" s="763">
        <v>0.42104476260205181</v>
      </c>
      <c r="AO58" s="763">
        <v>0.13438234706902433</v>
      </c>
      <c r="AP58" s="763">
        <v>0.18553875666620551</v>
      </c>
      <c r="AQ58" s="763">
        <v>0.0445978232014866</v>
      </c>
      <c r="AR58" s="764">
        <v>0.031125124335308948</v>
      </c>
      <c r="AS58" s="394"/>
      <c r="AT58" s="397"/>
      <c r="AU58" s="398"/>
      <c r="AV58" s="398"/>
    </row>
    <row r="59" spans="1:48">
      <c r="A59" s="396">
        <v>370</v>
      </c>
      <c r="B59" s="761" t="s">
        <v>175</v>
      </c>
      <c r="C59" s="762">
        <v>20064</v>
      </c>
      <c r="D59" s="762">
        <v>17224</v>
      </c>
      <c r="E59" s="762">
        <v>11918</v>
      </c>
      <c r="F59" s="762">
        <v>2584</v>
      </c>
      <c r="G59" s="762">
        <v>2508</v>
      </c>
      <c r="H59" s="762">
        <v>2409</v>
      </c>
      <c r="I59" s="762">
        <v>2278</v>
      </c>
      <c r="J59" s="762">
        <v>2139</v>
      </c>
      <c r="K59" s="763">
        <v>0.22821969696969693</v>
      </c>
      <c r="L59" s="763">
        <v>0.3027755014799885</v>
      </c>
      <c r="M59" s="763">
        <v>0.21471723443530791</v>
      </c>
      <c r="N59" s="763">
        <v>0.3394917293235708</v>
      </c>
      <c r="O59" s="763">
        <v>0.39133371924107219</v>
      </c>
      <c r="P59" s="763">
        <v>0.11168170649732988</v>
      </c>
      <c r="Q59" s="763">
        <v>0.12027025361854253</v>
      </c>
      <c r="R59" s="763">
        <v>0.1126092794962583</v>
      </c>
      <c r="S59" s="763">
        <v>0.062418766960972941</v>
      </c>
      <c r="T59" s="763">
        <v>0.17402356503092109</v>
      </c>
      <c r="U59" s="763">
        <v>0.027662709154903178</v>
      </c>
      <c r="V59" s="763">
        <v>0.41515065413631574</v>
      </c>
      <c r="W59" s="763">
        <v>0.11834549392784077</v>
      </c>
      <c r="X59" s="763">
        <v>0.1185123694334604</v>
      </c>
      <c r="Y59" s="763">
        <v>0.10649633735540485</v>
      </c>
      <c r="Z59" s="763">
        <v>0.054399729958004989</v>
      </c>
      <c r="AA59" s="763">
        <v>0.16158397657798237</v>
      </c>
      <c r="AB59" s="763">
        <v>0.025511438610990894</v>
      </c>
      <c r="AC59" s="763">
        <v>0.014453325881828771</v>
      </c>
      <c r="AD59" s="763">
        <v>0.026505520092615018</v>
      </c>
      <c r="AE59" s="763">
        <v>0.037130348070049266</v>
      </c>
      <c r="AF59" s="763">
        <v>0.0035282500613746863</v>
      </c>
      <c r="AG59" s="763">
        <v>0.0069713345662108248</v>
      </c>
      <c r="AH59" s="763">
        <v>0.0098260356673673735</v>
      </c>
      <c r="AI59" s="763">
        <v>0.0058178158079206805</v>
      </c>
      <c r="AJ59" s="763">
        <v>0.336179607243859</v>
      </c>
      <c r="AK59" s="763">
        <v>0.32971774528126496</v>
      </c>
      <c r="AL59" s="763">
        <v>0.34563224866978187</v>
      </c>
      <c r="AM59" s="763">
        <v>0.40103209243909077</v>
      </c>
      <c r="AN59" s="763">
        <v>0.4658393264375954</v>
      </c>
      <c r="AO59" s="763">
        <v>0.19281846107618261</v>
      </c>
      <c r="AP59" s="763">
        <v>0.21679244860497479</v>
      </c>
      <c r="AQ59" s="763">
        <v>0.043912233147505968</v>
      </c>
      <c r="AR59" s="764">
        <v>0.030383367307227696</v>
      </c>
      <c r="AS59" s="394"/>
      <c r="AT59" s="397"/>
      <c r="AU59" s="398"/>
      <c r="AV59" s="398"/>
    </row>
    <row r="60" spans="1:48">
      <c r="A60" s="396">
        <v>371</v>
      </c>
      <c r="B60" s="761" t="s">
        <v>214</v>
      </c>
      <c r="C60" s="762">
        <v>25888</v>
      </c>
      <c r="D60" s="762">
        <v>22364</v>
      </c>
      <c r="E60" s="762">
        <v>16243</v>
      </c>
      <c r="F60" s="762">
        <v>3532</v>
      </c>
      <c r="G60" s="762">
        <v>3315</v>
      </c>
      <c r="H60" s="762">
        <v>3258</v>
      </c>
      <c r="I60" s="762">
        <v>3114</v>
      </c>
      <c r="J60" s="762">
        <v>3024</v>
      </c>
      <c r="K60" s="763">
        <v>0.21171971569839307</v>
      </c>
      <c r="L60" s="763">
        <v>0.28162472357455942</v>
      </c>
      <c r="M60" s="763">
        <v>0.20094810072031039</v>
      </c>
      <c r="N60" s="763">
        <v>0.33587403730491849</v>
      </c>
      <c r="O60" s="763">
        <v>0.37713640809413967</v>
      </c>
      <c r="P60" s="763">
        <v>0.14641280816076638</v>
      </c>
      <c r="Q60" s="763">
        <v>0.043302143655273947</v>
      </c>
      <c r="R60" s="763">
        <v>0.17500490644270067</v>
      </c>
      <c r="S60" s="763">
        <v>0.080811976774662425</v>
      </c>
      <c r="T60" s="763">
        <v>0.14740196136409872</v>
      </c>
      <c r="U60" s="763">
        <v>0.029929795508358153</v>
      </c>
      <c r="V60" s="763">
        <v>0.4190577486524692</v>
      </c>
      <c r="W60" s="763">
        <v>0.14280156910825664</v>
      </c>
      <c r="X60" s="763">
        <v>0.045018217292688706</v>
      </c>
      <c r="Y60" s="763">
        <v>0.16164323300689007</v>
      </c>
      <c r="Z60" s="763">
        <v>0.075517654495611652</v>
      </c>
      <c r="AA60" s="763">
        <v>0.13086787057121732</v>
      </c>
      <c r="AB60" s="763">
        <v>0.025093706872866172</v>
      </c>
      <c r="AC60" s="763">
        <v>0.025177920253567462</v>
      </c>
      <c r="AD60" s="763">
        <v>0.048839490702033708</v>
      </c>
      <c r="AE60" s="763">
        <v>0.069540943991801607</v>
      </c>
      <c r="AF60" s="763">
        <v>0.0051740508052426091</v>
      </c>
      <c r="AG60" s="763">
        <v>0.00979413079022302</v>
      </c>
      <c r="AH60" s="763">
        <v>0.016199479076176426</v>
      </c>
      <c r="AI60" s="763">
        <v>0.0067408214943957363</v>
      </c>
      <c r="AJ60" s="763">
        <v>0.32652349564569688</v>
      </c>
      <c r="AK60" s="763">
        <v>0.39025806634528082</v>
      </c>
      <c r="AL60" s="763">
        <v>0.39886814122520781</v>
      </c>
      <c r="AM60" s="763">
        <v>0.45171067633092588</v>
      </c>
      <c r="AN60" s="763">
        <v>0.51678325041882522</v>
      </c>
      <c r="AO60" s="763">
        <v>0.24241709671042394</v>
      </c>
      <c r="AP60" s="763">
        <v>0.25181670068498757</v>
      </c>
      <c r="AQ60" s="763">
        <v>0.054339301645805048</v>
      </c>
      <c r="AR60" s="764">
        <v>0.037425192318957752</v>
      </c>
      <c r="AS60" s="394"/>
      <c r="AT60" s="397"/>
      <c r="AU60" s="398"/>
      <c r="AV60" s="398"/>
    </row>
    <row r="61" spans="1:48">
      <c r="A61" s="396">
        <v>372</v>
      </c>
      <c r="B61" s="761" t="s">
        <v>283</v>
      </c>
      <c r="C61" s="762">
        <v>22942</v>
      </c>
      <c r="D61" s="762">
        <v>19905</v>
      </c>
      <c r="E61" s="762">
        <v>16801</v>
      </c>
      <c r="F61" s="762">
        <v>3638</v>
      </c>
      <c r="G61" s="762">
        <v>3444</v>
      </c>
      <c r="H61" s="762">
        <v>3347</v>
      </c>
      <c r="I61" s="762">
        <v>3231</v>
      </c>
      <c r="J61" s="762">
        <v>3141</v>
      </c>
      <c r="K61" s="763">
        <v>0.19527504140876989</v>
      </c>
      <c r="L61" s="763">
        <v>0.26762742686454655</v>
      </c>
      <c r="M61" s="763">
        <v>0.18826260341646339</v>
      </c>
      <c r="N61" s="763">
        <v>0.31947196637004693</v>
      </c>
      <c r="O61" s="763">
        <v>0.40760183441570613</v>
      </c>
      <c r="P61" s="763">
        <v>0.13725609086578028</v>
      </c>
      <c r="Q61" s="763">
        <v>0.1210106574076054</v>
      </c>
      <c r="R61" s="763">
        <v>0.083799492466763992</v>
      </c>
      <c r="S61" s="763">
        <v>0.094521594502893283</v>
      </c>
      <c r="T61" s="763">
        <v>0.070991515812675127</v>
      </c>
      <c r="U61" s="763">
        <v>0.084818814528575787</v>
      </c>
      <c r="V61" s="763">
        <v>0.43829937341574687</v>
      </c>
      <c r="W61" s="763">
        <v>0.12601045710176623</v>
      </c>
      <c r="X61" s="763">
        <v>0.12241138927709851</v>
      </c>
      <c r="Y61" s="763">
        <v>0.078027656793705824</v>
      </c>
      <c r="Z61" s="763">
        <v>0.09671241226035697</v>
      </c>
      <c r="AA61" s="763">
        <v>0.06242537319179077</v>
      </c>
      <c r="AB61" s="763">
        <v>0.076113337959534913</v>
      </c>
      <c r="AC61" s="763">
        <v>0.024721832683553623</v>
      </c>
      <c r="AD61" s="763">
        <v>0.0484163186340613</v>
      </c>
      <c r="AE61" s="763">
        <v>0.069345332691487738</v>
      </c>
      <c r="AF61" s="763">
        <v>0.0044726291228871671</v>
      </c>
      <c r="AG61" s="763">
        <v>0.0071562973550278316</v>
      </c>
      <c r="AH61" s="763">
        <v>0.0098977424121376913</v>
      </c>
      <c r="AI61" s="763">
        <v>0.0069358555478239124</v>
      </c>
      <c r="AJ61" s="763">
        <v>0.29931737619993676</v>
      </c>
      <c r="AK61" s="763">
        <v>0.37516750079087485</v>
      </c>
      <c r="AL61" s="763">
        <v>0.36716626718974127</v>
      </c>
      <c r="AM61" s="763">
        <v>0.38344225013970407</v>
      </c>
      <c r="AN61" s="763">
        <v>0.44517309266791533</v>
      </c>
      <c r="AO61" s="763">
        <v>0.19130084595760585</v>
      </c>
      <c r="AP61" s="763">
        <v>0.22149057833624877</v>
      </c>
      <c r="AQ61" s="763">
        <v>0.045471730757979757</v>
      </c>
      <c r="AR61" s="764">
        <v>0.027637782756533478</v>
      </c>
      <c r="AS61" s="394"/>
      <c r="AT61" s="397"/>
      <c r="AU61" s="398"/>
      <c r="AV61" s="398"/>
    </row>
    <row r="62" spans="1:48">
      <c r="A62" s="396">
        <v>373</v>
      </c>
      <c r="B62" s="761" t="s">
        <v>288</v>
      </c>
      <c r="C62" s="762">
        <v>44404</v>
      </c>
      <c r="D62" s="762">
        <v>38171</v>
      </c>
      <c r="E62" s="762">
        <v>28264</v>
      </c>
      <c r="F62" s="762">
        <v>5993</v>
      </c>
      <c r="G62" s="762">
        <v>5762</v>
      </c>
      <c r="H62" s="762">
        <v>5517</v>
      </c>
      <c r="I62" s="762">
        <v>5562</v>
      </c>
      <c r="J62" s="762">
        <v>5430</v>
      </c>
      <c r="K62" s="763">
        <v>0.2489190163048374</v>
      </c>
      <c r="L62" s="763">
        <v>0.31093712918305028</v>
      </c>
      <c r="M62" s="763">
        <v>0.22990376450608549</v>
      </c>
      <c r="N62" s="763">
        <v>0.34473998181249504</v>
      </c>
      <c r="O62" s="763">
        <v>0.44246135527932934</v>
      </c>
      <c r="P62" s="763">
        <v>0.062353427828223708</v>
      </c>
      <c r="Q62" s="763">
        <v>0.074402876341616755</v>
      </c>
      <c r="R62" s="763">
        <v>0.0638534576413402</v>
      </c>
      <c r="S62" s="763">
        <v>0.12310939451915952</v>
      </c>
      <c r="T62" s="763">
        <v>0.18117369733748262</v>
      </c>
      <c r="U62" s="763">
        <v>0.052645791052847904</v>
      </c>
      <c r="V62" s="763">
        <v>0.46427505234696892</v>
      </c>
      <c r="W62" s="763">
        <v>0.067556367878469664</v>
      </c>
      <c r="X62" s="763">
        <v>0.073039092549431014</v>
      </c>
      <c r="Y62" s="763">
        <v>0.065752292905926449</v>
      </c>
      <c r="Z62" s="763">
        <v>0.11239019149648743</v>
      </c>
      <c r="AA62" s="763">
        <v>0.17264700704970773</v>
      </c>
      <c r="AB62" s="763">
        <v>0.044339995773008865</v>
      </c>
      <c r="AC62" s="763">
        <v>0.049691039768723431</v>
      </c>
      <c r="AD62" s="763">
        <v>0.092466199560588047</v>
      </c>
      <c r="AE62" s="763">
        <v>0.1334298910102219</v>
      </c>
      <c r="AF62" s="763">
        <v>0.0091288160946122448</v>
      </c>
      <c r="AG62" s="763">
        <v>0.016151702895539296</v>
      </c>
      <c r="AH62" s="763">
        <v>0.025411512569570031</v>
      </c>
      <c r="AI62" s="763">
        <v>0.0040759786357803945</v>
      </c>
      <c r="AJ62" s="763">
        <v>0.32173593501751369</v>
      </c>
      <c r="AK62" s="763">
        <v>0.36056117205390942</v>
      </c>
      <c r="AL62" s="763">
        <v>0.37638474712474623</v>
      </c>
      <c r="AM62" s="763">
        <v>0.39204826882366683</v>
      </c>
      <c r="AN62" s="763">
        <v>0.47088784549488361</v>
      </c>
      <c r="AO62" s="763">
        <v>0.19854348325736546</v>
      </c>
      <c r="AP62" s="763">
        <v>0.2251826308942193</v>
      </c>
      <c r="AQ62" s="763">
        <v>0.051500276027188777</v>
      </c>
      <c r="AR62" s="764">
        <v>0.03276153097683783</v>
      </c>
      <c r="AS62" s="394"/>
      <c r="AT62" s="397"/>
      <c r="AU62" s="398"/>
      <c r="AV62" s="398"/>
    </row>
    <row r="63" spans="1:48">
      <c r="A63" s="396">
        <v>380</v>
      </c>
      <c r="B63" s="761" t="s">
        <v>190</v>
      </c>
      <c r="C63" s="762">
        <v>54758</v>
      </c>
      <c r="D63" s="762">
        <v>47282</v>
      </c>
      <c r="E63" s="762">
        <v>33618</v>
      </c>
      <c r="F63" s="762">
        <v>7169</v>
      </c>
      <c r="G63" s="762">
        <v>6803</v>
      </c>
      <c r="H63" s="762">
        <v>6775</v>
      </c>
      <c r="I63" s="762">
        <v>6564</v>
      </c>
      <c r="J63" s="762">
        <v>6307</v>
      </c>
      <c r="K63" s="763">
        <v>0.20535812118777164</v>
      </c>
      <c r="L63" s="763">
        <v>0.27358857398415215</v>
      </c>
      <c r="M63" s="763">
        <v>0.22345172229162949</v>
      </c>
      <c r="N63" s="763">
        <v>0.36242502717711528</v>
      </c>
      <c r="O63" s="763">
        <v>0.33439098501456782</v>
      </c>
      <c r="P63" s="763">
        <v>0.12885195762281823</v>
      </c>
      <c r="Q63" s="763">
        <v>0.16462701189485324</v>
      </c>
      <c r="R63" s="763">
        <v>0.13797814954727392</v>
      </c>
      <c r="S63" s="763">
        <v>0.065306936802004792</v>
      </c>
      <c r="T63" s="763">
        <v>0.13443640171144383</v>
      </c>
      <c r="U63" s="763">
        <v>0.034408557407038153</v>
      </c>
      <c r="V63" s="763">
        <v>0.314604109444824</v>
      </c>
      <c r="W63" s="763">
        <v>0.13623936352876637</v>
      </c>
      <c r="X63" s="763">
        <v>0.17479557757717937</v>
      </c>
      <c r="Y63" s="763">
        <v>0.14372635583791657</v>
      </c>
      <c r="Z63" s="763">
        <v>0.06462264323533326</v>
      </c>
      <c r="AA63" s="763">
        <v>0.13156278183222103</v>
      </c>
      <c r="AB63" s="763">
        <v>0.034449168543759477</v>
      </c>
      <c r="AC63" s="763">
        <v>0.068831912484776978</v>
      </c>
      <c r="AD63" s="763">
        <v>0.13299759367943237</v>
      </c>
      <c r="AE63" s="763">
        <v>0.19936837877218597</v>
      </c>
      <c r="AF63" s="763">
        <v>0.009349068663428212</v>
      </c>
      <c r="AG63" s="763">
        <v>0.018453680009040119</v>
      </c>
      <c r="AH63" s="763">
        <v>0.029268843689912647</v>
      </c>
      <c r="AI63" s="763">
        <v>0.0069402315484538846</v>
      </c>
      <c r="AJ63" s="763">
        <v>0.35023823728755527</v>
      </c>
      <c r="AK63" s="763">
        <v>0.38909860132246521</v>
      </c>
      <c r="AL63" s="763">
        <v>0.41149671371318142</v>
      </c>
      <c r="AM63" s="763">
        <v>0.44744523481567855</v>
      </c>
      <c r="AN63" s="763">
        <v>0.54857659111226942</v>
      </c>
      <c r="AO63" s="763">
        <v>0.24570941388452205</v>
      </c>
      <c r="AP63" s="763">
        <v>0.25636198770393909</v>
      </c>
      <c r="AQ63" s="763">
        <v>0.047918665354912918</v>
      </c>
      <c r="AR63" s="764">
        <v>0.03885723546897981</v>
      </c>
      <c r="AS63" s="394"/>
      <c r="AT63" s="397"/>
      <c r="AU63" s="398"/>
      <c r="AV63" s="398"/>
    </row>
    <row r="64" spans="1:48">
      <c r="A64" s="396">
        <v>381</v>
      </c>
      <c r="B64" s="761" t="s">
        <v>197</v>
      </c>
      <c r="C64" s="762">
        <v>19013</v>
      </c>
      <c r="D64" s="762">
        <v>16471</v>
      </c>
      <c r="E64" s="762">
        <v>14160</v>
      </c>
      <c r="F64" s="762">
        <v>3044</v>
      </c>
      <c r="G64" s="762">
        <v>2899</v>
      </c>
      <c r="H64" s="762">
        <v>2829</v>
      </c>
      <c r="I64" s="762">
        <v>2766</v>
      </c>
      <c r="J64" s="762">
        <v>2622</v>
      </c>
      <c r="K64" s="763">
        <v>0.19923210434965555</v>
      </c>
      <c r="L64" s="763">
        <v>0.25386753410402019</v>
      </c>
      <c r="M64" s="763">
        <v>0.17577683615819206</v>
      </c>
      <c r="N64" s="763">
        <v>0.27837914930044866</v>
      </c>
      <c r="O64" s="763">
        <v>0.48090606296674526</v>
      </c>
      <c r="P64" s="763">
        <v>0.12430430895813081</v>
      </c>
      <c r="Q64" s="763">
        <v>0.079501690515727239</v>
      </c>
      <c r="R64" s="763">
        <v>0.12759027862599273</v>
      </c>
      <c r="S64" s="763">
        <v>0.05439939529161595</v>
      </c>
      <c r="T64" s="763">
        <v>0.08280098483756132</v>
      </c>
      <c r="U64" s="763">
        <v>0.050497278804226685</v>
      </c>
      <c r="V64" s="763">
        <v>0.50270593805252684</v>
      </c>
      <c r="W64" s="763">
        <v>0.12678787509945422</v>
      </c>
      <c r="X64" s="763">
        <v>0.076349057987602012</v>
      </c>
      <c r="Y64" s="763">
        <v>0.12048791730794621</v>
      </c>
      <c r="Z64" s="763">
        <v>0.051697303337968514</v>
      </c>
      <c r="AA64" s="763">
        <v>0.078537728655788619</v>
      </c>
      <c r="AB64" s="763">
        <v>0.0434341795587136</v>
      </c>
      <c r="AC64" s="763">
        <v>0.028784942528213162</v>
      </c>
      <c r="AD64" s="763">
        <v>0.054101285818049766</v>
      </c>
      <c r="AE64" s="763">
        <v>0.081266458367371813</v>
      </c>
      <c r="AF64" s="763">
        <v>0.002754625745060385</v>
      </c>
      <c r="AG64" s="763">
        <v>0.005440153555591987</v>
      </c>
      <c r="AH64" s="763">
        <v>0.0091879124464025932</v>
      </c>
      <c r="AI64" s="763">
        <v>0.0059040548764768535</v>
      </c>
      <c r="AJ64" s="763">
        <v>0.332225094089771</v>
      </c>
      <c r="AK64" s="763">
        <v>0.33389727384647877</v>
      </c>
      <c r="AL64" s="763">
        <v>0.35878316444387848</v>
      </c>
      <c r="AM64" s="763">
        <v>0.39212498413905694</v>
      </c>
      <c r="AN64" s="763">
        <v>0.49755643225327861</v>
      </c>
      <c r="AO64" s="763">
        <v>0.16598640834072312</v>
      </c>
      <c r="AP64" s="763">
        <v>0.21590331627026296</v>
      </c>
      <c r="AQ64" s="763">
        <v>0.048605513773821933</v>
      </c>
      <c r="AR64" s="764">
        <v>0.031372386535047266</v>
      </c>
      <c r="AS64" s="394"/>
      <c r="AT64" s="397"/>
      <c r="AU64" s="398"/>
      <c r="AV64" s="398"/>
    </row>
    <row r="65" spans="1:48">
      <c r="A65" s="396">
        <v>382</v>
      </c>
      <c r="B65" s="761" t="s">
        <v>245</v>
      </c>
      <c r="C65" s="762">
        <v>37826</v>
      </c>
      <c r="D65" s="762">
        <v>32668</v>
      </c>
      <c r="E65" s="762">
        <v>24992</v>
      </c>
      <c r="F65" s="762">
        <v>5259</v>
      </c>
      <c r="G65" s="762">
        <v>5028</v>
      </c>
      <c r="H65" s="762">
        <v>5018</v>
      </c>
      <c r="I65" s="762">
        <v>4797</v>
      </c>
      <c r="J65" s="762">
        <v>4890</v>
      </c>
      <c r="K65" s="763">
        <v>0.19777401787130544</v>
      </c>
      <c r="L65" s="763">
        <v>0.22716979129671055</v>
      </c>
      <c r="M65" s="763">
        <v>0.22899327784891166</v>
      </c>
      <c r="N65" s="763">
        <v>0.28337874259952883</v>
      </c>
      <c r="O65" s="763">
        <v>0.5493621432387098</v>
      </c>
      <c r="P65" s="763">
        <v>0.15943960588536496</v>
      </c>
      <c r="Q65" s="763">
        <v>0.0999849975893928</v>
      </c>
      <c r="R65" s="763">
        <v>0.061757590624195523</v>
      </c>
      <c r="S65" s="763">
        <v>0.060084095162231205</v>
      </c>
      <c r="T65" s="763">
        <v>0.057130356016634729</v>
      </c>
      <c r="U65" s="763">
        <v>0.012241211483470906</v>
      </c>
      <c r="V65" s="763">
        <v>0.57575073643758279</v>
      </c>
      <c r="W65" s="763">
        <v>0.158148843043795</v>
      </c>
      <c r="X65" s="763">
        <v>0.09372394693537231</v>
      </c>
      <c r="Y65" s="763">
        <v>0.060704848417514029</v>
      </c>
      <c r="Z65" s="763">
        <v>0.050877771406818893</v>
      </c>
      <c r="AA65" s="763">
        <v>0.051826544040827253</v>
      </c>
      <c r="AB65" s="763">
        <v>0.0089673097180898043</v>
      </c>
      <c r="AC65" s="763">
        <v>0.052796492871926635</v>
      </c>
      <c r="AD65" s="763">
        <v>0.10275926244537585</v>
      </c>
      <c r="AE65" s="763">
        <v>0.14604423057220603</v>
      </c>
      <c r="AF65" s="763">
        <v>0.0056375559571748375</v>
      </c>
      <c r="AG65" s="763">
        <v>0.010759443283248385</v>
      </c>
      <c r="AH65" s="763">
        <v>0.016950440923574166</v>
      </c>
      <c r="AI65" s="763">
        <v>0.0041556147087428207</v>
      </c>
      <c r="AJ65" s="763">
        <v>0.32820764856519546</v>
      </c>
      <c r="AK65" s="763">
        <v>0.37336588073915433</v>
      </c>
      <c r="AL65" s="763">
        <v>0.37778216073363763</v>
      </c>
      <c r="AM65" s="763">
        <v>0.41263950631307922</v>
      </c>
      <c r="AN65" s="763">
        <v>0.503448842653663</v>
      </c>
      <c r="AO65" s="763">
        <v>0.20400661585781182</v>
      </c>
      <c r="AP65" s="763">
        <v>0.23343433925984391</v>
      </c>
      <c r="AQ65" s="763">
        <v>0.041664885910244129</v>
      </c>
      <c r="AR65" s="764">
        <v>0.029249711092799915</v>
      </c>
      <c r="AS65" s="394"/>
      <c r="AT65" s="397"/>
      <c r="AU65" s="398"/>
      <c r="AV65" s="398"/>
    </row>
    <row r="66" spans="1:48">
      <c r="A66" s="396">
        <v>383</v>
      </c>
      <c r="B66" s="761" t="s">
        <v>249</v>
      </c>
      <c r="C66" s="762">
        <v>70003</v>
      </c>
      <c r="D66" s="762">
        <v>60142</v>
      </c>
      <c r="E66" s="762">
        <v>42896</v>
      </c>
      <c r="F66" s="762">
        <v>9169</v>
      </c>
      <c r="G66" s="762">
        <v>8912</v>
      </c>
      <c r="H66" s="762">
        <v>8589</v>
      </c>
      <c r="I66" s="762">
        <v>8313</v>
      </c>
      <c r="J66" s="762">
        <v>7913</v>
      </c>
      <c r="K66" s="763">
        <v>0.20506264017256404</v>
      </c>
      <c r="L66" s="763">
        <v>0.28470096737408329</v>
      </c>
      <c r="M66" s="763">
        <v>0.19675494218575162</v>
      </c>
      <c r="N66" s="763">
        <v>0.33632619081133797</v>
      </c>
      <c r="O66" s="763">
        <v>0.4726608485430478</v>
      </c>
      <c r="P66" s="763">
        <v>0.071043950672698239</v>
      </c>
      <c r="Q66" s="763">
        <v>0.10239116567187057</v>
      </c>
      <c r="R66" s="763">
        <v>0.0632481748728287</v>
      </c>
      <c r="S66" s="763">
        <v>0.068465427949008922</v>
      </c>
      <c r="T66" s="763">
        <v>0.15882956310433513</v>
      </c>
      <c r="U66" s="763">
        <v>0.0633608691862107</v>
      </c>
      <c r="V66" s="763">
        <v>0.469404583288373</v>
      </c>
      <c r="W66" s="763">
        <v>0.072676440502439724</v>
      </c>
      <c r="X66" s="763">
        <v>0.10806675229475014</v>
      </c>
      <c r="Y66" s="763">
        <v>0.064522201158987408</v>
      </c>
      <c r="Z66" s="763">
        <v>0.071087207309821751</v>
      </c>
      <c r="AA66" s="763">
        <v>0.15174454935257298</v>
      </c>
      <c r="AB66" s="763">
        <v>0.062498266093055123</v>
      </c>
      <c r="AC66" s="763">
        <v>0.046481047813490953</v>
      </c>
      <c r="AD66" s="763">
        <v>0.090045891726885777</v>
      </c>
      <c r="AE66" s="763">
        <v>0.13191804254577394</v>
      </c>
      <c r="AF66" s="763">
        <v>0.010532156841106555</v>
      </c>
      <c r="AG66" s="763">
        <v>0.022283550595808711</v>
      </c>
      <c r="AH66" s="763">
        <v>0.034099455855024052</v>
      </c>
      <c r="AI66" s="763">
        <v>0.0053467303456032752</v>
      </c>
      <c r="AJ66" s="763">
        <v>0.36612716399377493</v>
      </c>
      <c r="AK66" s="763">
        <v>0.38933359560023917</v>
      </c>
      <c r="AL66" s="763">
        <v>0.39735839208247864</v>
      </c>
      <c r="AM66" s="763">
        <v>0.45095734953621996</v>
      </c>
      <c r="AN66" s="763">
        <v>0.53053900341692084</v>
      </c>
      <c r="AO66" s="763">
        <v>0.22797742757246636</v>
      </c>
      <c r="AP66" s="763">
        <v>0.25002996656634469</v>
      </c>
      <c r="AQ66" s="763">
        <v>0.04807997545878169</v>
      </c>
      <c r="AR66" s="764">
        <v>0.030902637724538159</v>
      </c>
      <c r="AS66" s="394"/>
      <c r="AT66" s="397"/>
      <c r="AU66" s="398"/>
      <c r="AV66" s="398"/>
    </row>
    <row r="67" spans="1:48">
      <c r="A67" s="396">
        <v>384</v>
      </c>
      <c r="B67" s="761" t="s">
        <v>314</v>
      </c>
      <c r="C67" s="762">
        <v>28924</v>
      </c>
      <c r="D67" s="762">
        <v>24904</v>
      </c>
      <c r="E67" s="762">
        <v>19127</v>
      </c>
      <c r="F67" s="762">
        <v>4064</v>
      </c>
      <c r="G67" s="762">
        <v>3889</v>
      </c>
      <c r="H67" s="762">
        <v>3831</v>
      </c>
      <c r="I67" s="762">
        <v>3691</v>
      </c>
      <c r="J67" s="762">
        <v>3652</v>
      </c>
      <c r="K67" s="763">
        <v>0.17549439911492187</v>
      </c>
      <c r="L67" s="763">
        <v>0.24031669249141949</v>
      </c>
      <c r="M67" s="763">
        <v>0.16123804046635642</v>
      </c>
      <c r="N67" s="763">
        <v>0.28158842838505055</v>
      </c>
      <c r="O67" s="763">
        <v>0.43940520919685577</v>
      </c>
      <c r="P67" s="763">
        <v>0.12104448239765554</v>
      </c>
      <c r="Q67" s="763">
        <v>0.13128618100345768</v>
      </c>
      <c r="R67" s="763">
        <v>0.07896175529593373</v>
      </c>
      <c r="S67" s="763">
        <v>0.092496543884848875</v>
      </c>
      <c r="T67" s="763">
        <v>0.099793253751985431</v>
      </c>
      <c r="U67" s="763">
        <v>0.037012574469262968</v>
      </c>
      <c r="V67" s="763">
        <v>0.46750413538730023</v>
      </c>
      <c r="W67" s="763">
        <v>0.11960431499166954</v>
      </c>
      <c r="X67" s="763">
        <v>0.12633289513992985</v>
      </c>
      <c r="Y67" s="763">
        <v>0.074314662031516626</v>
      </c>
      <c r="Z67" s="763">
        <v>0.084357214591026491</v>
      </c>
      <c r="AA67" s="763">
        <v>0.094302015268542733</v>
      </c>
      <c r="AB67" s="763">
        <v>0.033584762590014687</v>
      </c>
      <c r="AC67" s="763">
        <v>0.023185013699548975</v>
      </c>
      <c r="AD67" s="763">
        <v>0.043614950141078773</v>
      </c>
      <c r="AE67" s="763">
        <v>0.064576716259116318</v>
      </c>
      <c r="AF67" s="763">
        <v>0.004033525311483062</v>
      </c>
      <c r="AG67" s="763">
        <v>0.0071743980759880208</v>
      </c>
      <c r="AH67" s="763">
        <v>0.010840782719122265</v>
      </c>
      <c r="AI67" s="763">
        <v>0.0061970768814133886</v>
      </c>
      <c r="AJ67" s="763">
        <v>0.33125361082648214</v>
      </c>
      <c r="AK67" s="763">
        <v>0.36173552351677457</v>
      </c>
      <c r="AL67" s="763">
        <v>0.40012921783382283</v>
      </c>
      <c r="AM67" s="763">
        <v>0.424081965724126</v>
      </c>
      <c r="AN67" s="763">
        <v>0.48355008723158893</v>
      </c>
      <c r="AO67" s="763">
        <v>0.2055248935224625</v>
      </c>
      <c r="AP67" s="763">
        <v>0.23467979870054873</v>
      </c>
      <c r="AQ67" s="763">
        <v>0.044481624963100042</v>
      </c>
      <c r="AR67" s="764">
        <v>0.031259706184578205</v>
      </c>
      <c r="AS67" s="394"/>
      <c r="AT67" s="397"/>
      <c r="AU67" s="398"/>
      <c r="AV67" s="398"/>
    </row>
    <row r="68" spans="1:48">
      <c r="A68" s="396">
        <v>390</v>
      </c>
      <c r="B68" s="761" t="s">
        <v>223</v>
      </c>
      <c r="C68" s="762">
        <v>14964</v>
      </c>
      <c r="D68" s="762">
        <v>12867</v>
      </c>
      <c r="E68" s="762">
        <v>8927</v>
      </c>
      <c r="F68" s="762">
        <v>1887</v>
      </c>
      <c r="G68" s="762">
        <v>1858</v>
      </c>
      <c r="H68" s="762">
        <v>1803</v>
      </c>
      <c r="I68" s="762">
        <v>1704</v>
      </c>
      <c r="J68" s="762">
        <v>1675</v>
      </c>
      <c r="K68" s="763">
        <v>0.22995188452285481</v>
      </c>
      <c r="L68" s="763">
        <v>0.286191525848809</v>
      </c>
      <c r="M68" s="763">
        <v>0.20746051305029695</v>
      </c>
      <c r="N68" s="763">
        <v>0.323454763403162</v>
      </c>
      <c r="O68" s="763">
        <v>0.46891897424427809</v>
      </c>
      <c r="P68" s="763">
        <v>0.12023492239532063</v>
      </c>
      <c r="Q68" s="763">
        <v>0.11662948869117283</v>
      </c>
      <c r="R68" s="763">
        <v>0.13559582054175942</v>
      </c>
      <c r="S68" s="763">
        <v>0.037786300518812273</v>
      </c>
      <c r="T68" s="763">
        <v>0.072385389800282529</v>
      </c>
      <c r="U68" s="763">
        <v>0.048449103808374243</v>
      </c>
      <c r="V68" s="763">
        <v>0.4865278548876194</v>
      </c>
      <c r="W68" s="763">
        <v>0.12013923447800587</v>
      </c>
      <c r="X68" s="763">
        <v>0.11236495642446992</v>
      </c>
      <c r="Y68" s="763">
        <v>0.13872943715616665</v>
      </c>
      <c r="Z68" s="763">
        <v>0.033836613560156326</v>
      </c>
      <c r="AA68" s="763">
        <v>0.066659902434537968</v>
      </c>
      <c r="AB68" s="763">
        <v>0.041742001059044062</v>
      </c>
      <c r="AC68" s="763">
        <v>0.023975455405421193</v>
      </c>
      <c r="AD68" s="763">
        <v>0.044912387840301625</v>
      </c>
      <c r="AE68" s="763">
        <v>0.0613513020767686</v>
      </c>
      <c r="AF68" s="763">
        <v>0.0066635670585618433</v>
      </c>
      <c r="AG68" s="763">
        <v>0.012960598969340587</v>
      </c>
      <c r="AH68" s="763">
        <v>0.016009616366112769</v>
      </c>
      <c r="AI68" s="763">
        <v>0.0073988551497846016</v>
      </c>
      <c r="AJ68" s="763">
        <v>0.31782341395760294</v>
      </c>
      <c r="AK68" s="763">
        <v>0.32357923800832444</v>
      </c>
      <c r="AL68" s="763">
        <v>0.29160850731845817</v>
      </c>
      <c r="AM68" s="763">
        <v>0.29334897353270517</v>
      </c>
      <c r="AN68" s="763">
        <v>0.37292567351935463</v>
      </c>
      <c r="AO68" s="763">
        <v>0.16246699961793543</v>
      </c>
      <c r="AP68" s="763">
        <v>0.18178507909471495</v>
      </c>
      <c r="AQ68" s="763">
        <v>0.044178217936952</v>
      </c>
      <c r="AR68" s="764">
        <v>0.02948603384725159</v>
      </c>
      <c r="AS68" s="394"/>
      <c r="AT68" s="397"/>
      <c r="AU68" s="398"/>
      <c r="AV68" s="398"/>
    </row>
    <row r="69" spans="1:48">
      <c r="A69" s="396">
        <v>391</v>
      </c>
      <c r="B69" s="761" t="s">
        <v>261</v>
      </c>
      <c r="C69" s="762">
        <v>21761</v>
      </c>
      <c r="D69" s="762">
        <v>18690</v>
      </c>
      <c r="E69" s="762">
        <v>13308</v>
      </c>
      <c r="F69" s="762">
        <v>2834</v>
      </c>
      <c r="G69" s="762">
        <v>2714</v>
      </c>
      <c r="H69" s="762">
        <v>2641</v>
      </c>
      <c r="I69" s="762">
        <v>2598</v>
      </c>
      <c r="J69" s="762">
        <v>2521</v>
      </c>
      <c r="K69" s="763">
        <v>0.31754055420247229</v>
      </c>
      <c r="L69" s="763">
        <v>0.37242384706150555</v>
      </c>
      <c r="M69" s="763">
        <v>0.30868650435828088</v>
      </c>
      <c r="N69" s="763">
        <v>0.41410881805771682</v>
      </c>
      <c r="O69" s="763">
        <v>0.35396678343200411</v>
      </c>
      <c r="P69" s="763">
        <v>0.084240563197150342</v>
      </c>
      <c r="Q69" s="763">
        <v>0.057915664240345874</v>
      </c>
      <c r="R69" s="763">
        <v>0.094012716625500356</v>
      </c>
      <c r="S69" s="763">
        <v>0.068584358656024538</v>
      </c>
      <c r="T69" s="763">
        <v>0.23126214922450297</v>
      </c>
      <c r="U69" s="763">
        <v>0.11001776462447173</v>
      </c>
      <c r="V69" s="763">
        <v>0.34785029706643794</v>
      </c>
      <c r="W69" s="763">
        <v>0.0843031188907453</v>
      </c>
      <c r="X69" s="763">
        <v>0.058103513469616522</v>
      </c>
      <c r="Y69" s="763">
        <v>0.099194886134434321</v>
      </c>
      <c r="Z69" s="763">
        <v>0.0738407923896652</v>
      </c>
      <c r="AA69" s="763">
        <v>0.2296344219600239</v>
      </c>
      <c r="AB69" s="763">
        <v>0.10707297008907679</v>
      </c>
      <c r="AC69" s="763">
        <v>0.059734940178336207</v>
      </c>
      <c r="AD69" s="763">
        <v>0.11197477378888918</v>
      </c>
      <c r="AE69" s="763">
        <v>0.15749597903166976</v>
      </c>
      <c r="AF69" s="763">
        <v>0.013264284660623337</v>
      </c>
      <c r="AG69" s="763">
        <v>0.027749180534676739</v>
      </c>
      <c r="AH69" s="763">
        <v>0.04003529123394485</v>
      </c>
      <c r="AI69" s="763">
        <v>0.0079285204711203316</v>
      </c>
      <c r="AJ69" s="763">
        <v>0.33045077841116238</v>
      </c>
      <c r="AK69" s="763">
        <v>0.34539883755250289</v>
      </c>
      <c r="AL69" s="763">
        <v>0.30999040512381315</v>
      </c>
      <c r="AM69" s="763">
        <v>0.36604711198935574</v>
      </c>
      <c r="AN69" s="763">
        <v>0.43524064131280887</v>
      </c>
      <c r="AO69" s="763">
        <v>0.19145415703031135</v>
      </c>
      <c r="AP69" s="763">
        <v>0.20689531966106089</v>
      </c>
      <c r="AQ69" s="763">
        <v>0.059086961232261516</v>
      </c>
      <c r="AR69" s="764">
        <v>0.043161725291434923</v>
      </c>
      <c r="AS69" s="394"/>
      <c r="AT69" s="397"/>
      <c r="AU69" s="398"/>
      <c r="AV69" s="398"/>
    </row>
    <row r="70" spans="1:48">
      <c r="A70" s="396">
        <v>392</v>
      </c>
      <c r="B70" s="761" t="s">
        <v>267</v>
      </c>
      <c r="C70" s="762">
        <v>16310</v>
      </c>
      <c r="D70" s="762">
        <v>14022</v>
      </c>
      <c r="E70" s="762">
        <v>10599</v>
      </c>
      <c r="F70" s="762">
        <v>2267</v>
      </c>
      <c r="G70" s="762">
        <v>2087</v>
      </c>
      <c r="H70" s="762">
        <v>2209</v>
      </c>
      <c r="I70" s="762">
        <v>2123</v>
      </c>
      <c r="J70" s="762">
        <v>1913</v>
      </c>
      <c r="K70" s="763">
        <v>0.1841814837522992</v>
      </c>
      <c r="L70" s="763">
        <v>0.24851438560554129</v>
      </c>
      <c r="M70" s="763">
        <v>0.16256250589678273</v>
      </c>
      <c r="N70" s="763">
        <v>0.26779730672744423</v>
      </c>
      <c r="O70" s="763">
        <v>0.52090389250160962</v>
      </c>
      <c r="P70" s="763">
        <v>0.0992263805751079</v>
      </c>
      <c r="Q70" s="763">
        <v>0.081897395487013733</v>
      </c>
      <c r="R70" s="763">
        <v>0.090028553537189013</v>
      </c>
      <c r="S70" s="763">
        <v>0.11728549823203901</v>
      </c>
      <c r="T70" s="763">
        <v>0.05352028631700171</v>
      </c>
      <c r="U70" s="763">
        <v>0.037137993350039082</v>
      </c>
      <c r="V70" s="763">
        <v>0.53545231888577449</v>
      </c>
      <c r="W70" s="763">
        <v>0.09097059890941972</v>
      </c>
      <c r="X70" s="763">
        <v>0.077578213786237457</v>
      </c>
      <c r="Y70" s="763">
        <v>0.08672626222548542</v>
      </c>
      <c r="Z70" s="763">
        <v>0.12322502990444541</v>
      </c>
      <c r="AA70" s="763">
        <v>0.050982471255721286</v>
      </c>
      <c r="AB70" s="763">
        <v>0.035065105032916329</v>
      </c>
      <c r="AC70" s="763">
        <v>0.010960281131276261</v>
      </c>
      <c r="AD70" s="763">
        <v>0.020162223521824826</v>
      </c>
      <c r="AE70" s="763">
        <v>0.029568381578686159</v>
      </c>
      <c r="AF70" s="763">
        <v>0.0026433307857362896</v>
      </c>
      <c r="AG70" s="763">
        <v>0.0043420126429236632</v>
      </c>
      <c r="AH70" s="763">
        <v>0.0059482649296846712</v>
      </c>
      <c r="AI70" s="763">
        <v>0.0064694597232784427</v>
      </c>
      <c r="AJ70" s="763">
        <v>0.30555680187290035</v>
      </c>
      <c r="AK70" s="763">
        <v>0.32022580019401858</v>
      </c>
      <c r="AL70" s="763">
        <v>0.30785434666569478</v>
      </c>
      <c r="AM70" s="763">
        <v>0.33107830394696514</v>
      </c>
      <c r="AN70" s="763">
        <v>0.42567146763921915</v>
      </c>
      <c r="AO70" s="763">
        <v>0.14774292925209834</v>
      </c>
      <c r="AP70" s="763">
        <v>0.19040158469419102</v>
      </c>
      <c r="AQ70" s="763">
        <v>0.035324650104521224</v>
      </c>
      <c r="AR70" s="764">
        <v>0.031324734701528051</v>
      </c>
      <c r="AS70" s="394"/>
      <c r="AT70" s="397"/>
      <c r="AU70" s="398"/>
      <c r="AV70" s="398"/>
    </row>
    <row r="71" spans="1:48">
      <c r="A71" s="396">
        <v>393</v>
      </c>
      <c r="B71" s="761" t="s">
        <v>294</v>
      </c>
      <c r="C71" s="762">
        <v>11627</v>
      </c>
      <c r="D71" s="762">
        <v>10018</v>
      </c>
      <c r="E71" s="762">
        <v>7934</v>
      </c>
      <c r="F71" s="762">
        <v>1698</v>
      </c>
      <c r="G71" s="762">
        <v>1600</v>
      </c>
      <c r="H71" s="762">
        <v>1584</v>
      </c>
      <c r="I71" s="762">
        <v>1520</v>
      </c>
      <c r="J71" s="762">
        <v>1532</v>
      </c>
      <c r="K71" s="763">
        <v>0.27410338006364493</v>
      </c>
      <c r="L71" s="763">
        <v>0.34261437051798166</v>
      </c>
      <c r="M71" s="763">
        <v>0.22712377111167131</v>
      </c>
      <c r="N71" s="763">
        <v>0.387224567726563</v>
      </c>
      <c r="O71" s="763">
        <v>0.28896292215544578</v>
      </c>
      <c r="P71" s="763">
        <v>0.0925092280861258</v>
      </c>
      <c r="Q71" s="763">
        <v>0.075530460695617072</v>
      </c>
      <c r="R71" s="763">
        <v>0.144066200448397</v>
      </c>
      <c r="S71" s="763">
        <v>0.16810076221454726</v>
      </c>
      <c r="T71" s="763">
        <v>0.16365686936822416</v>
      </c>
      <c r="U71" s="763">
        <v>0.067173557031642891</v>
      </c>
      <c r="V71" s="763">
        <v>0.3403497078110389</v>
      </c>
      <c r="W71" s="763">
        <v>0.10641475065671328</v>
      </c>
      <c r="X71" s="763">
        <v>0.078292133572635883</v>
      </c>
      <c r="Y71" s="763">
        <v>0.1312401910014801</v>
      </c>
      <c r="Z71" s="763">
        <v>0.15749424008998089</v>
      </c>
      <c r="AA71" s="763">
        <v>0.13728915865503383</v>
      </c>
      <c r="AB71" s="763">
        <v>0.048919818213117076</v>
      </c>
      <c r="AC71" s="763">
        <v>0.0095035367958112935</v>
      </c>
      <c r="AD71" s="763">
        <v>0.019138586544456437</v>
      </c>
      <c r="AE71" s="763">
        <v>0.029424605778472581</v>
      </c>
      <c r="AF71" s="763">
        <v>0.0022873553027423421</v>
      </c>
      <c r="AG71" s="763">
        <v>0.004312327965049865</v>
      </c>
      <c r="AH71" s="763">
        <v>0.0077255182550633426</v>
      </c>
      <c r="AI71" s="763">
        <v>0.0074052505651214578</v>
      </c>
      <c r="AJ71" s="763">
        <v>0.3190050012007658</v>
      </c>
      <c r="AK71" s="763">
        <v>0.31513108116725908</v>
      </c>
      <c r="AL71" s="763">
        <v>0.31506128348916396</v>
      </c>
      <c r="AM71" s="763">
        <v>0.332000048929066</v>
      </c>
      <c r="AN71" s="763">
        <v>0.40045719085459847</v>
      </c>
      <c r="AO71" s="763">
        <v>0.15044272535597031</v>
      </c>
      <c r="AP71" s="763">
        <v>0.18828284194584577</v>
      </c>
      <c r="AQ71" s="763">
        <v>0.038240977953965735</v>
      </c>
      <c r="AR71" s="764">
        <v>0.050855605709306126</v>
      </c>
      <c r="AS71" s="394"/>
      <c r="AT71" s="397"/>
      <c r="AU71" s="398"/>
      <c r="AV71" s="398"/>
    </row>
    <row r="72" spans="1:48">
      <c r="A72" s="396">
        <v>394</v>
      </c>
      <c r="B72" s="761" t="s">
        <v>304</v>
      </c>
      <c r="C72" s="762">
        <v>21366</v>
      </c>
      <c r="D72" s="762">
        <v>18440</v>
      </c>
      <c r="E72" s="762">
        <v>14571</v>
      </c>
      <c r="F72" s="762">
        <v>3119</v>
      </c>
      <c r="G72" s="762">
        <v>3033</v>
      </c>
      <c r="H72" s="762">
        <v>2880</v>
      </c>
      <c r="I72" s="762">
        <v>2788</v>
      </c>
      <c r="J72" s="762">
        <v>2751</v>
      </c>
      <c r="K72" s="763">
        <v>0.25138069830571941</v>
      </c>
      <c r="L72" s="763">
        <v>0.29219255686458812</v>
      </c>
      <c r="M72" s="763">
        <v>0.25461533182348495</v>
      </c>
      <c r="N72" s="763">
        <v>0.35050338221138522</v>
      </c>
      <c r="O72" s="763">
        <v>0.3461086748913943</v>
      </c>
      <c r="P72" s="763">
        <v>0.11783955377414994</v>
      </c>
      <c r="Q72" s="763">
        <v>0.078864186698675121</v>
      </c>
      <c r="R72" s="763">
        <v>0.1291321103353148</v>
      </c>
      <c r="S72" s="763">
        <v>0.12751295638325658</v>
      </c>
      <c r="T72" s="763">
        <v>0.14455552991138687</v>
      </c>
      <c r="U72" s="763">
        <v>0.055986988005822393</v>
      </c>
      <c r="V72" s="763">
        <v>0.367913101898946</v>
      </c>
      <c r="W72" s="763">
        <v>0.11835481987203957</v>
      </c>
      <c r="X72" s="763">
        <v>0.077126620557001951</v>
      </c>
      <c r="Y72" s="763">
        <v>0.12787760628925454</v>
      </c>
      <c r="Z72" s="763">
        <v>0.12628274232565065</v>
      </c>
      <c r="AA72" s="763">
        <v>0.12799364251337317</v>
      </c>
      <c r="AB72" s="763">
        <v>0.054451466543734173</v>
      </c>
      <c r="AC72" s="763">
        <v>0.010072789994891322</v>
      </c>
      <c r="AD72" s="763">
        <v>0.021699867232919078</v>
      </c>
      <c r="AE72" s="763">
        <v>0.0314911984010651</v>
      </c>
      <c r="AF72" s="763">
        <v>0.0021967133518157604</v>
      </c>
      <c r="AG72" s="763">
        <v>0.0037752862048492705</v>
      </c>
      <c r="AH72" s="763">
        <v>0.0050869315359790661</v>
      </c>
      <c r="AI72" s="763">
        <v>0.0091797662740021029</v>
      </c>
      <c r="AJ72" s="763">
        <v>0.31201375169677614</v>
      </c>
      <c r="AK72" s="763">
        <v>0.3211374917862595</v>
      </c>
      <c r="AL72" s="763">
        <v>0.30949358674366378</v>
      </c>
      <c r="AM72" s="763">
        <v>0.30552269532026938</v>
      </c>
      <c r="AN72" s="763">
        <v>0.38228737634976</v>
      </c>
      <c r="AO72" s="763">
        <v>0.1488314805755985</v>
      </c>
      <c r="AP72" s="763">
        <v>0.18359567502519933</v>
      </c>
      <c r="AQ72" s="763">
        <v>0.040487982082072577</v>
      </c>
      <c r="AR72" s="764">
        <v>0.024562446549129036</v>
      </c>
      <c r="AS72" s="394"/>
      <c r="AT72" s="397"/>
      <c r="AU72" s="398"/>
      <c r="AV72" s="398"/>
    </row>
    <row r="73" spans="1:48">
      <c r="A73" s="396">
        <v>420</v>
      </c>
      <c r="B73" s="761" t="s">
        <v>239</v>
      </c>
      <c r="C73" s="762">
        <v>152</v>
      </c>
      <c r="D73" s="762">
        <v>124</v>
      </c>
      <c r="E73" s="762">
        <v>96</v>
      </c>
      <c r="F73" s="762">
        <v>17</v>
      </c>
      <c r="G73" s="762">
        <v>32</v>
      </c>
      <c r="H73" s="762">
        <v>14</v>
      </c>
      <c r="I73" s="762">
        <v>15</v>
      </c>
      <c r="J73" s="762">
        <v>18</v>
      </c>
      <c r="K73" s="763">
        <v>0.00657894736842105</v>
      </c>
      <c r="L73" s="763">
        <v>0.01360544217687075</v>
      </c>
      <c r="M73" s="763">
        <v>0.03125</v>
      </c>
      <c r="N73" s="763">
        <v>0.10869565217391304</v>
      </c>
      <c r="O73" s="763">
        <v>1</v>
      </c>
      <c r="P73" s="763">
        <v>0</v>
      </c>
      <c r="Q73" s="763">
        <v>0</v>
      </c>
      <c r="R73" s="763">
        <v>0</v>
      </c>
      <c r="S73" s="763">
        <v>0</v>
      </c>
      <c r="T73" s="763">
        <v>0</v>
      </c>
      <c r="U73" s="763">
        <v>0</v>
      </c>
      <c r="V73" s="763">
        <v>1</v>
      </c>
      <c r="W73" s="763">
        <v>0</v>
      </c>
      <c r="X73" s="763">
        <v>0</v>
      </c>
      <c r="Y73" s="763">
        <v>0</v>
      </c>
      <c r="Z73" s="763">
        <v>0</v>
      </c>
      <c r="AA73" s="763">
        <v>0</v>
      </c>
      <c r="AB73" s="763">
        <v>0</v>
      </c>
      <c r="AC73" s="763">
        <v>0</v>
      </c>
      <c r="AD73" s="763">
        <v>0</v>
      </c>
      <c r="AE73" s="763">
        <v>0.00806451612903226</v>
      </c>
      <c r="AF73" s="763">
        <v>0</v>
      </c>
      <c r="AG73" s="763">
        <v>0</v>
      </c>
      <c r="AH73" s="763">
        <v>0</v>
      </c>
      <c r="AI73" s="763">
        <v>0</v>
      </c>
      <c r="AJ73" s="763">
        <v>0.181034482758621</v>
      </c>
      <c r="AK73" s="763">
        <v>0.588235294117647</v>
      </c>
      <c r="AL73" s="763">
        <v>0.451612903225806</v>
      </c>
      <c r="AM73" s="763">
        <v>0.615384615384615</v>
      </c>
      <c r="AN73" s="763">
        <v>0.5</v>
      </c>
      <c r="AO73" s="763">
        <v>0.388888888888889</v>
      </c>
      <c r="AP73" s="763">
        <v>0.3254596324349926</v>
      </c>
      <c r="AQ73" s="763">
        <v>0.0460526315789474</v>
      </c>
      <c r="AR73" s="764">
        <v>0.041666666666666706</v>
      </c>
      <c r="AS73" s="394"/>
      <c r="AT73" s="397"/>
      <c r="AU73" s="398"/>
      <c r="AV73" s="398"/>
    </row>
    <row r="74" spans="1:48">
      <c r="A74" s="396">
        <v>800</v>
      </c>
      <c r="B74" s="761" t="s">
        <v>654</v>
      </c>
      <c r="C74" s="762">
        <v>12970</v>
      </c>
      <c r="D74" s="762">
        <v>11127</v>
      </c>
      <c r="E74" s="762">
        <v>11108</v>
      </c>
      <c r="F74" s="762">
        <v>2247</v>
      </c>
      <c r="G74" s="762">
        <v>2320</v>
      </c>
      <c r="H74" s="762">
        <v>2209</v>
      </c>
      <c r="I74" s="762">
        <v>2193</v>
      </c>
      <c r="J74" s="762">
        <v>2139</v>
      </c>
      <c r="K74" s="763">
        <v>0.13762528912875868</v>
      </c>
      <c r="L74" s="763">
        <v>0.16872021624449637</v>
      </c>
      <c r="M74" s="763">
        <v>0.11838314728123875</v>
      </c>
      <c r="N74" s="763">
        <v>0.18096798815047069</v>
      </c>
      <c r="O74" s="763">
        <v>0.8046525843174851</v>
      </c>
      <c r="P74" s="763">
        <v>0.050461702183364841</v>
      </c>
      <c r="Q74" s="763">
        <v>0.079856386102893126</v>
      </c>
      <c r="R74" s="763">
        <v>0.01519266543833615</v>
      </c>
      <c r="S74" s="763">
        <v>0.030788113426151602</v>
      </c>
      <c r="T74" s="763">
        <v>0.018122721342920659</v>
      </c>
      <c r="U74" s="763">
        <v>0.00092582718884853463</v>
      </c>
      <c r="V74" s="763">
        <v>0.81133948659962873</v>
      </c>
      <c r="W74" s="763">
        <v>0.05530568131218757</v>
      </c>
      <c r="X74" s="763">
        <v>0.067117609194290079</v>
      </c>
      <c r="Y74" s="763">
        <v>0.013962757368216464</v>
      </c>
      <c r="Z74" s="763">
        <v>0.023447097064257287</v>
      </c>
      <c r="AA74" s="763">
        <v>0.022524048498535894</v>
      </c>
      <c r="AB74" s="763">
        <v>0.0063033199628837735</v>
      </c>
      <c r="AC74" s="763">
        <v>0.018806165200070286</v>
      </c>
      <c r="AD74" s="763">
        <v>0.035205677812803662</v>
      </c>
      <c r="AE74" s="763">
        <v>0.046668042622084252</v>
      </c>
      <c r="AF74" s="763">
        <v>0.0058218691961629872</v>
      </c>
      <c r="AG74" s="763">
        <v>0.00790991154904237</v>
      </c>
      <c r="AH74" s="763">
        <v>0.010090711267332663</v>
      </c>
      <c r="AI74" s="763">
        <v>0.0035874401562338174</v>
      </c>
      <c r="AJ74" s="763">
        <v>0.283933272808212</v>
      </c>
      <c r="AK74" s="763">
        <v>0.31509803173056394</v>
      </c>
      <c r="AL74" s="763">
        <v>0.3241246994943221</v>
      </c>
      <c r="AM74" s="763">
        <v>0.33689211805366232</v>
      </c>
      <c r="AN74" s="763">
        <v>0.43218997563630718</v>
      </c>
      <c r="AO74" s="763">
        <v>0.15485456115024646</v>
      </c>
      <c r="AP74" s="763">
        <v>0.19385483828314726</v>
      </c>
      <c r="AQ74" s="763">
        <v>0.041868867824693484</v>
      </c>
      <c r="AR74" s="764">
        <v>0.025525390676339785</v>
      </c>
      <c r="AS74" s="394"/>
      <c r="AT74" s="397"/>
      <c r="AU74" s="398"/>
      <c r="AV74" s="398"/>
    </row>
    <row r="75" spans="1:48">
      <c r="A75" s="396">
        <v>801</v>
      </c>
      <c r="B75" s="761" t="s">
        <v>655</v>
      </c>
      <c r="C75" s="762">
        <v>36154</v>
      </c>
      <c r="D75" s="762">
        <v>30968</v>
      </c>
      <c r="E75" s="762">
        <v>19191</v>
      </c>
      <c r="F75" s="762">
        <v>4320</v>
      </c>
      <c r="G75" s="762">
        <v>4084</v>
      </c>
      <c r="H75" s="762">
        <v>3749</v>
      </c>
      <c r="I75" s="762">
        <v>3630</v>
      </c>
      <c r="J75" s="762">
        <v>3408</v>
      </c>
      <c r="K75" s="763">
        <v>0.22531393483431986</v>
      </c>
      <c r="L75" s="763">
        <v>0.27023086116618739</v>
      </c>
      <c r="M75" s="763">
        <v>0.21437131988953156</v>
      </c>
      <c r="N75" s="763">
        <v>0.34008603541346327</v>
      </c>
      <c r="O75" s="763">
        <v>0.41362125970337671</v>
      </c>
      <c r="P75" s="763">
        <v>0.12228703690801271</v>
      </c>
      <c r="Q75" s="763">
        <v>0.10181157510477541</v>
      </c>
      <c r="R75" s="763">
        <v>0.055521355929478967</v>
      </c>
      <c r="S75" s="763">
        <v>0.084379357102239053</v>
      </c>
      <c r="T75" s="763">
        <v>0.15659827952098018</v>
      </c>
      <c r="U75" s="763">
        <v>0.065781135731136767</v>
      </c>
      <c r="V75" s="763">
        <v>0.39991896390622522</v>
      </c>
      <c r="W75" s="763">
        <v>0.12283033143294778</v>
      </c>
      <c r="X75" s="763">
        <v>0.10193526117327908</v>
      </c>
      <c r="Y75" s="763">
        <v>0.061530546898977544</v>
      </c>
      <c r="Z75" s="763">
        <v>0.090489216176268164</v>
      </c>
      <c r="AA75" s="763">
        <v>0.15723067089875384</v>
      </c>
      <c r="AB75" s="763">
        <v>0.066065009513548434</v>
      </c>
      <c r="AC75" s="763">
        <v>0.044995304741514364</v>
      </c>
      <c r="AD75" s="763">
        <v>0.087505013772763887</v>
      </c>
      <c r="AE75" s="763">
        <v>0.12507747220613766</v>
      </c>
      <c r="AF75" s="763">
        <v>0.011051824772473313</v>
      </c>
      <c r="AG75" s="763">
        <v>0.019050233500499888</v>
      </c>
      <c r="AH75" s="763">
        <v>0.028737980913168287</v>
      </c>
      <c r="AI75" s="763">
        <v>0.0047368087984253878</v>
      </c>
      <c r="AJ75" s="763">
        <v>0.33200415165617736</v>
      </c>
      <c r="AK75" s="763">
        <v>0.35905482243244224</v>
      </c>
      <c r="AL75" s="763">
        <v>0.37236155366039719</v>
      </c>
      <c r="AM75" s="763">
        <v>0.38661297618153451</v>
      </c>
      <c r="AN75" s="763">
        <v>0.46836148314037457</v>
      </c>
      <c r="AO75" s="763">
        <v>0.2094623404308259</v>
      </c>
      <c r="AP75" s="763">
        <v>0.22611728278986831</v>
      </c>
      <c r="AQ75" s="763">
        <v>0.055351127968585913</v>
      </c>
      <c r="AR75" s="764">
        <v>0.03496883383115313</v>
      </c>
      <c r="AS75" s="394"/>
      <c r="AT75" s="397"/>
      <c r="AU75" s="398"/>
      <c r="AV75" s="398"/>
    </row>
    <row r="76" spans="1:48">
      <c r="A76" s="396">
        <v>802</v>
      </c>
      <c r="B76" s="761" t="s">
        <v>266</v>
      </c>
      <c r="C76" s="762">
        <v>16915</v>
      </c>
      <c r="D76" s="762">
        <v>14588</v>
      </c>
      <c r="E76" s="762">
        <v>11595</v>
      </c>
      <c r="F76" s="762">
        <v>2510</v>
      </c>
      <c r="G76" s="762">
        <v>2411</v>
      </c>
      <c r="H76" s="762">
        <v>2266</v>
      </c>
      <c r="I76" s="762">
        <v>2222</v>
      </c>
      <c r="J76" s="762">
        <v>2186</v>
      </c>
      <c r="K76" s="763">
        <v>0.11699674844812297</v>
      </c>
      <c r="L76" s="763">
        <v>0.15559979711255104</v>
      </c>
      <c r="M76" s="763">
        <v>0.10884001724881415</v>
      </c>
      <c r="N76" s="763">
        <v>0.20672979106048334</v>
      </c>
      <c r="O76" s="763">
        <v>0.76032316136949618</v>
      </c>
      <c r="P76" s="763">
        <v>0.043085162025023015</v>
      </c>
      <c r="Q76" s="763">
        <v>0.044350774413698682</v>
      </c>
      <c r="R76" s="763">
        <v>0.04219666825486993</v>
      </c>
      <c r="S76" s="763">
        <v>0.0032568971236175076</v>
      </c>
      <c r="T76" s="763">
        <v>0.072558458612094479</v>
      </c>
      <c r="U76" s="763">
        <v>0.034228878201200241</v>
      </c>
      <c r="V76" s="763">
        <v>0.75012489711885777</v>
      </c>
      <c r="W76" s="763">
        <v>0.046490199387849027</v>
      </c>
      <c r="X76" s="763">
        <v>0.054680551752717417</v>
      </c>
      <c r="Y76" s="763">
        <v>0.042905544112322516</v>
      </c>
      <c r="Z76" s="763">
        <v>0.011158157020268697</v>
      </c>
      <c r="AA76" s="763">
        <v>0.069610252688546426</v>
      </c>
      <c r="AB76" s="763">
        <v>0.025030397919437869</v>
      </c>
      <c r="AC76" s="763">
        <v>0.011539367510822606</v>
      </c>
      <c r="AD76" s="763">
        <v>0.0247375215480879</v>
      </c>
      <c r="AE76" s="763">
        <v>0.036422619344450041</v>
      </c>
      <c r="AF76" s="763">
        <v>0.0037107986147396333</v>
      </c>
      <c r="AG76" s="763">
        <v>0.0066451926053000682</v>
      </c>
      <c r="AH76" s="763">
        <v>0.011217752329550704</v>
      </c>
      <c r="AI76" s="763">
        <v>0.0038061901246412215</v>
      </c>
      <c r="AJ76" s="763">
        <v>0.25659566936038231</v>
      </c>
      <c r="AK76" s="763">
        <v>0.33881081040486982</v>
      </c>
      <c r="AL76" s="763">
        <v>0.346634568998648</v>
      </c>
      <c r="AM76" s="763">
        <v>0.39329956656476006</v>
      </c>
      <c r="AN76" s="763">
        <v>0.42347244993641675</v>
      </c>
      <c r="AO76" s="763">
        <v>0.15546107989237062</v>
      </c>
      <c r="AP76" s="763">
        <v>0.20604947866086451</v>
      </c>
      <c r="AQ76" s="763">
        <v>0.04487554425322636</v>
      </c>
      <c r="AR76" s="764">
        <v>0.029847466906286358</v>
      </c>
      <c r="AS76" s="394"/>
      <c r="AT76" s="397"/>
      <c r="AU76" s="398"/>
      <c r="AV76" s="398"/>
    </row>
    <row r="77" spans="1:48">
      <c r="A77" s="396">
        <v>803</v>
      </c>
      <c r="B77" s="761" t="s">
        <v>293</v>
      </c>
      <c r="C77" s="762">
        <v>23558</v>
      </c>
      <c r="D77" s="762">
        <v>20166</v>
      </c>
      <c r="E77" s="762">
        <v>13181</v>
      </c>
      <c r="F77" s="762">
        <v>2759</v>
      </c>
      <c r="G77" s="762">
        <v>2653</v>
      </c>
      <c r="H77" s="762">
        <v>2592</v>
      </c>
      <c r="I77" s="762">
        <v>2637</v>
      </c>
      <c r="J77" s="762">
        <v>2540</v>
      </c>
      <c r="K77" s="763">
        <v>0.09482978181509466</v>
      </c>
      <c r="L77" s="763">
        <v>0.12793887299749523</v>
      </c>
      <c r="M77" s="763">
        <v>0.10742735756012442</v>
      </c>
      <c r="N77" s="763">
        <v>0.19731952613397771</v>
      </c>
      <c r="O77" s="763">
        <v>0.78128864245775242</v>
      </c>
      <c r="P77" s="763">
        <v>0.11463168818024247</v>
      </c>
      <c r="Q77" s="763">
        <v>0.063425232325522163</v>
      </c>
      <c r="R77" s="763">
        <v>0.024932887355653029</v>
      </c>
      <c r="S77" s="763">
        <v>0.013510527394605785</v>
      </c>
      <c r="T77" s="763">
        <v>0.0021685738610608329</v>
      </c>
      <c r="U77" s="763">
        <v>4.2448425163426415E-05</v>
      </c>
      <c r="V77" s="763">
        <v>0.75946174504509079</v>
      </c>
      <c r="W77" s="763">
        <v>0.12254396499107754</v>
      </c>
      <c r="X77" s="763">
        <v>0.06935622125402742</v>
      </c>
      <c r="Y77" s="763">
        <v>0.020362523584102558</v>
      </c>
      <c r="Z77" s="763">
        <v>0.014287250013255117</v>
      </c>
      <c r="AA77" s="763">
        <v>0.0135299070119667</v>
      </c>
      <c r="AB77" s="763">
        <v>0.00045838810047995606</v>
      </c>
      <c r="AC77" s="763">
        <v>0.021079610138446721</v>
      </c>
      <c r="AD77" s="763">
        <v>0.039986483592909065</v>
      </c>
      <c r="AE77" s="763">
        <v>0.055000994193399211</v>
      </c>
      <c r="AF77" s="763">
        <v>0.0046697884696309949</v>
      </c>
      <c r="AG77" s="763">
        <v>0.0098272056310654433</v>
      </c>
      <c r="AH77" s="763">
        <v>0.015400397876560648</v>
      </c>
      <c r="AI77" s="763">
        <v>0.0033702755886726539</v>
      </c>
      <c r="AJ77" s="763">
        <v>0.23698203624055095</v>
      </c>
      <c r="AK77" s="763">
        <v>0.33482176097981831</v>
      </c>
      <c r="AL77" s="763">
        <v>0.378930852619554</v>
      </c>
      <c r="AM77" s="763">
        <v>0.40140796584108812</v>
      </c>
      <c r="AN77" s="763">
        <v>0.49143438656861643</v>
      </c>
      <c r="AO77" s="763">
        <v>0.18458644780540681</v>
      </c>
      <c r="AP77" s="763">
        <v>0.22231863087915443</v>
      </c>
      <c r="AQ77" s="763">
        <v>0.048444644698450459</v>
      </c>
      <c r="AR77" s="764">
        <v>0.034730964911941754</v>
      </c>
      <c r="AS77" s="394"/>
      <c r="AT77" s="397"/>
      <c r="AU77" s="398"/>
      <c r="AV77" s="398"/>
    </row>
    <row r="78" spans="1:48">
      <c r="A78" s="396">
        <v>805</v>
      </c>
      <c r="B78" s="761" t="s">
        <v>232</v>
      </c>
      <c r="C78" s="762">
        <v>7952</v>
      </c>
      <c r="D78" s="762">
        <v>6895</v>
      </c>
      <c r="E78" s="762">
        <v>5439</v>
      </c>
      <c r="F78" s="762">
        <v>1147</v>
      </c>
      <c r="G78" s="762">
        <v>1101</v>
      </c>
      <c r="H78" s="762">
        <v>1107</v>
      </c>
      <c r="I78" s="762">
        <v>1056</v>
      </c>
      <c r="J78" s="762">
        <v>1028</v>
      </c>
      <c r="K78" s="763">
        <v>0.33174044265593555</v>
      </c>
      <c r="L78" s="763">
        <v>0.40751209696022678</v>
      </c>
      <c r="M78" s="763">
        <v>0.31255745541459817</v>
      </c>
      <c r="N78" s="763">
        <v>0.43377381676869503</v>
      </c>
      <c r="O78" s="763">
        <v>0.37605517538418087</v>
      </c>
      <c r="P78" s="763">
        <v>0.016096997265987935</v>
      </c>
      <c r="Q78" s="763">
        <v>0.062889608136757383</v>
      </c>
      <c r="R78" s="763">
        <v>0.078218729922509389</v>
      </c>
      <c r="S78" s="763">
        <v>0.071028815275971366</v>
      </c>
      <c r="T78" s="763">
        <v>0.22342792865529285</v>
      </c>
      <c r="U78" s="763">
        <v>0.17228274535930019</v>
      </c>
      <c r="V78" s="763">
        <v>0.40448843047334238</v>
      </c>
      <c r="W78" s="763">
        <v>0.017655234994475816</v>
      </c>
      <c r="X78" s="763">
        <v>0.0655185524063502</v>
      </c>
      <c r="Y78" s="763">
        <v>0.072488486570632421</v>
      </c>
      <c r="Z78" s="763">
        <v>0.066980780667764347</v>
      </c>
      <c r="AA78" s="763">
        <v>0.21472547696951966</v>
      </c>
      <c r="AB78" s="763">
        <v>0.15814303791791515</v>
      </c>
      <c r="AC78" s="763">
        <v>0.0099330674789539133</v>
      </c>
      <c r="AD78" s="763">
        <v>0.018423353388056323</v>
      </c>
      <c r="AE78" s="763">
        <v>0.0287961198043312</v>
      </c>
      <c r="AF78" s="763">
        <v>0.0031317390915043897</v>
      </c>
      <c r="AG78" s="763">
        <v>0.006261628821801259</v>
      </c>
      <c r="AH78" s="763">
        <v>0.00902442035240502</v>
      </c>
      <c r="AI78" s="763">
        <v>0.012349038204999016</v>
      </c>
      <c r="AJ78" s="763">
        <v>0.31298808008188322</v>
      </c>
      <c r="AK78" s="763">
        <v>0.30539599866954137</v>
      </c>
      <c r="AL78" s="763">
        <v>0.31375987872708655</v>
      </c>
      <c r="AM78" s="763">
        <v>0.34156513232542945</v>
      </c>
      <c r="AN78" s="763">
        <v>0.45494688476543332</v>
      </c>
      <c r="AO78" s="763">
        <v>0.14729609673349331</v>
      </c>
      <c r="AP78" s="763">
        <v>0.19255025084668537</v>
      </c>
      <c r="AQ78" s="763">
        <v>0.0477867203219316</v>
      </c>
      <c r="AR78" s="764">
        <v>0.042292061235676116</v>
      </c>
      <c r="AS78" s="394"/>
      <c r="AT78" s="397"/>
      <c r="AU78" s="398"/>
      <c r="AV78" s="398"/>
    </row>
    <row r="79" spans="1:48">
      <c r="A79" s="396">
        <v>806</v>
      </c>
      <c r="B79" s="761" t="s">
        <v>259</v>
      </c>
      <c r="C79" s="762">
        <v>13508</v>
      </c>
      <c r="D79" s="762">
        <v>11648</v>
      </c>
      <c r="E79" s="762">
        <v>7916</v>
      </c>
      <c r="F79" s="762">
        <v>1717</v>
      </c>
      <c r="G79" s="762">
        <v>1635</v>
      </c>
      <c r="H79" s="762">
        <v>1558</v>
      </c>
      <c r="I79" s="762">
        <v>1528</v>
      </c>
      <c r="J79" s="762">
        <v>1478</v>
      </c>
      <c r="K79" s="763">
        <v>0.32965649985193957</v>
      </c>
      <c r="L79" s="763">
        <v>0.3918081803564854</v>
      </c>
      <c r="M79" s="763">
        <v>0.30747852450732693</v>
      </c>
      <c r="N79" s="763">
        <v>0.49250653106198866</v>
      </c>
      <c r="O79" s="763">
        <v>0.31159377154872681</v>
      </c>
      <c r="P79" s="763">
        <v>0.064856604377205737</v>
      </c>
      <c r="Q79" s="763">
        <v>0.0421768797235793</v>
      </c>
      <c r="R79" s="763">
        <v>0.041282970147982372</v>
      </c>
      <c r="S79" s="763">
        <v>0.02209927018253165</v>
      </c>
      <c r="T79" s="763">
        <v>0.17526507108474573</v>
      </c>
      <c r="U79" s="763">
        <v>0.34272543293522839</v>
      </c>
      <c r="V79" s="763">
        <v>0.29561109182535844</v>
      </c>
      <c r="W79" s="763">
        <v>0.078997658754557179</v>
      </c>
      <c r="X79" s="763">
        <v>0.045495464859624808</v>
      </c>
      <c r="Y79" s="763">
        <v>0.042368449151665058</v>
      </c>
      <c r="Z79" s="763">
        <v>0.028695183886329259</v>
      </c>
      <c r="AA79" s="763">
        <v>0.18124992035284151</v>
      </c>
      <c r="AB79" s="763">
        <v>0.32758223116962348</v>
      </c>
      <c r="AC79" s="763">
        <v>0.040287287947400822</v>
      </c>
      <c r="AD79" s="763">
        <v>0.077578324644092589</v>
      </c>
      <c r="AE79" s="763">
        <v>0.10886433731085186</v>
      </c>
      <c r="AF79" s="763">
        <v>0.007623563913057246</v>
      </c>
      <c r="AG79" s="763">
        <v>0.017005791258581711</v>
      </c>
      <c r="AH79" s="763">
        <v>0.023363098068940241</v>
      </c>
      <c r="AI79" s="763">
        <v>0.010003921782898356</v>
      </c>
      <c r="AJ79" s="763">
        <v>0.39230067840598959</v>
      </c>
      <c r="AK79" s="763">
        <v>0.36728540133415361</v>
      </c>
      <c r="AL79" s="763">
        <v>0.37325045032072396</v>
      </c>
      <c r="AM79" s="763">
        <v>0.39632880933128795</v>
      </c>
      <c r="AN79" s="763">
        <v>0.5098988186068143</v>
      </c>
      <c r="AO79" s="763">
        <v>0.21624623288079026</v>
      </c>
      <c r="AP79" s="763">
        <v>0.23334103605456841</v>
      </c>
      <c r="AQ79" s="763">
        <v>0.0551590607640194</v>
      </c>
      <c r="AR79" s="764">
        <v>0.028842464483336383</v>
      </c>
      <c r="AS79" s="394"/>
      <c r="AT79" s="397"/>
      <c r="AU79" s="398"/>
      <c r="AV79" s="398"/>
    </row>
    <row r="80" spans="1:48">
      <c r="A80" s="396">
        <v>807</v>
      </c>
      <c r="B80" s="761" t="s">
        <v>280</v>
      </c>
      <c r="C80" s="762">
        <v>11213</v>
      </c>
      <c r="D80" s="762">
        <v>9735</v>
      </c>
      <c r="E80" s="762">
        <v>8151</v>
      </c>
      <c r="F80" s="762">
        <v>1670</v>
      </c>
      <c r="G80" s="762">
        <v>1658</v>
      </c>
      <c r="H80" s="762">
        <v>1684</v>
      </c>
      <c r="I80" s="762">
        <v>1570</v>
      </c>
      <c r="J80" s="762">
        <v>1569</v>
      </c>
      <c r="K80" s="763">
        <v>0.24774814946936596</v>
      </c>
      <c r="L80" s="763">
        <v>0.3383008560272418</v>
      </c>
      <c r="M80" s="763">
        <v>0.20782726045883926</v>
      </c>
      <c r="N80" s="763">
        <v>0.33471184597200365</v>
      </c>
      <c r="O80" s="763">
        <v>0.39152005801889778</v>
      </c>
      <c r="P80" s="763">
        <v>0.11343511128948945</v>
      </c>
      <c r="Q80" s="763">
        <v>0.062916457583150287</v>
      </c>
      <c r="R80" s="763">
        <v>0.065170174969788192</v>
      </c>
      <c r="S80" s="763">
        <v>0.085197417900298181</v>
      </c>
      <c r="T80" s="763">
        <v>0.11832858027759242</v>
      </c>
      <c r="U80" s="763">
        <v>0.16343219996078379</v>
      </c>
      <c r="V80" s="763">
        <v>0.45984526311201135</v>
      </c>
      <c r="W80" s="763">
        <v>0.10645581516949948</v>
      </c>
      <c r="X80" s="763">
        <v>0.0655701511116384</v>
      </c>
      <c r="Y80" s="763">
        <v>0.057722004605222574</v>
      </c>
      <c r="Z80" s="763">
        <v>0.0739650533130232</v>
      </c>
      <c r="AA80" s="763">
        <v>0.10881287635447176</v>
      </c>
      <c r="AB80" s="763">
        <v>0.127628836334133</v>
      </c>
      <c r="AC80" s="763">
        <v>0.0063842753836796931</v>
      </c>
      <c r="AD80" s="763">
        <v>0.0094083465639584456</v>
      </c>
      <c r="AE80" s="763">
        <v>0.012233798903697125</v>
      </c>
      <c r="AF80" s="763">
        <v>0.003067405386763099</v>
      </c>
      <c r="AG80" s="763">
        <v>0.00515303905134414</v>
      </c>
      <c r="AH80" s="763">
        <v>0.006993898162497624</v>
      </c>
      <c r="AI80" s="763">
        <v>0.00826626413156598</v>
      </c>
      <c r="AJ80" s="763">
        <v>0.32566433369307191</v>
      </c>
      <c r="AK80" s="763">
        <v>0.27830427165058025</v>
      </c>
      <c r="AL80" s="763">
        <v>0.27403457120859126</v>
      </c>
      <c r="AM80" s="763">
        <v>0.29084592115096924</v>
      </c>
      <c r="AN80" s="763">
        <v>0.39255810276237235</v>
      </c>
      <c r="AO80" s="763">
        <v>0.11332555457497977</v>
      </c>
      <c r="AP80" s="763">
        <v>0.16523831481558496</v>
      </c>
      <c r="AQ80" s="763">
        <v>0.048427682854110164</v>
      </c>
      <c r="AR80" s="764">
        <v>0.034742962161739659</v>
      </c>
      <c r="AS80" s="394"/>
      <c r="AT80" s="397"/>
      <c r="AU80" s="398"/>
      <c r="AV80" s="398"/>
    </row>
    <row r="81" spans="1:48">
      <c r="A81" s="396">
        <v>808</v>
      </c>
      <c r="B81" s="761" t="s">
        <v>301</v>
      </c>
      <c r="C81" s="762">
        <v>17316</v>
      </c>
      <c r="D81" s="762">
        <v>14962</v>
      </c>
      <c r="E81" s="762">
        <v>10950</v>
      </c>
      <c r="F81" s="762">
        <v>2364</v>
      </c>
      <c r="G81" s="762">
        <v>2269</v>
      </c>
      <c r="H81" s="762">
        <v>2213</v>
      </c>
      <c r="I81" s="762">
        <v>2132</v>
      </c>
      <c r="J81" s="762">
        <v>1972</v>
      </c>
      <c r="K81" s="763">
        <v>0.21136521136521136</v>
      </c>
      <c r="L81" s="763">
        <v>0.26925846266651032</v>
      </c>
      <c r="M81" s="763">
        <v>0.19707762557077629</v>
      </c>
      <c r="N81" s="763">
        <v>0.31879065279834934</v>
      </c>
      <c r="O81" s="763">
        <v>0.51756324353280125</v>
      </c>
      <c r="P81" s="763">
        <v>0.043832667687211682</v>
      </c>
      <c r="Q81" s="763">
        <v>0.0790465226581627</v>
      </c>
      <c r="R81" s="763">
        <v>0.073359576856865782</v>
      </c>
      <c r="S81" s="763">
        <v>0.085737775694394308</v>
      </c>
      <c r="T81" s="763">
        <v>0.12471160179017747</v>
      </c>
      <c r="U81" s="763">
        <v>0.075748611780386665</v>
      </c>
      <c r="V81" s="763">
        <v>0.55303072770639339</v>
      </c>
      <c r="W81" s="763">
        <v>0.043427535944982061</v>
      </c>
      <c r="X81" s="763">
        <v>0.074641629435938578</v>
      </c>
      <c r="Y81" s="763">
        <v>0.067526470807581743</v>
      </c>
      <c r="Z81" s="763">
        <v>0.07977698000819812</v>
      </c>
      <c r="AA81" s="763">
        <v>0.11259970978839738</v>
      </c>
      <c r="AB81" s="763">
        <v>0.068996946308508778</v>
      </c>
      <c r="AC81" s="763">
        <v>0.014995314971604281</v>
      </c>
      <c r="AD81" s="763">
        <v>0.027445887844971432</v>
      </c>
      <c r="AE81" s="763">
        <v>0.03930011030519763</v>
      </c>
      <c r="AF81" s="763">
        <v>0.0025641691180371211</v>
      </c>
      <c r="AG81" s="763">
        <v>0.0044866754233478081</v>
      </c>
      <c r="AH81" s="763">
        <v>0.0056753373495736425</v>
      </c>
      <c r="AI81" s="763">
        <v>0.010718378808062012</v>
      </c>
      <c r="AJ81" s="763">
        <v>0.33950541844926613</v>
      </c>
      <c r="AK81" s="763">
        <v>0.27912595327247797</v>
      </c>
      <c r="AL81" s="763">
        <v>0.28041675578506969</v>
      </c>
      <c r="AM81" s="763">
        <v>0.34609303712677331</v>
      </c>
      <c r="AN81" s="763">
        <v>0.44600440718070089</v>
      </c>
      <c r="AO81" s="763">
        <v>0.16237906219963841</v>
      </c>
      <c r="AP81" s="763">
        <v>0.1873741602337689</v>
      </c>
      <c r="AQ81" s="763">
        <v>0.046502279681656933</v>
      </c>
      <c r="AR81" s="764">
        <v>0.028079710336029844</v>
      </c>
      <c r="AS81" s="394"/>
      <c r="AT81" s="397"/>
      <c r="AU81" s="398"/>
      <c r="AV81" s="398"/>
    </row>
    <row r="82" spans="1:48">
      <c r="A82" s="396">
        <v>810</v>
      </c>
      <c r="B82" s="761" t="s">
        <v>656</v>
      </c>
      <c r="C82" s="762">
        <v>23337</v>
      </c>
      <c r="D82" s="762">
        <v>20101</v>
      </c>
      <c r="E82" s="762">
        <v>14088</v>
      </c>
      <c r="F82" s="762">
        <v>3101</v>
      </c>
      <c r="G82" s="762">
        <v>2952</v>
      </c>
      <c r="H82" s="762">
        <v>2820</v>
      </c>
      <c r="I82" s="762">
        <v>2689</v>
      </c>
      <c r="J82" s="762">
        <v>2526</v>
      </c>
      <c r="K82" s="763">
        <v>0.26310151261944553</v>
      </c>
      <c r="L82" s="763">
        <v>0.33273745427251883</v>
      </c>
      <c r="M82" s="763">
        <v>0.24673480976717777</v>
      </c>
      <c r="N82" s="763">
        <v>0.407285246401015</v>
      </c>
      <c r="O82" s="763">
        <v>0.27993517715219407</v>
      </c>
      <c r="P82" s="763">
        <v>0.061987450961327122</v>
      </c>
      <c r="Q82" s="763">
        <v>0.0663275088167275</v>
      </c>
      <c r="R82" s="763">
        <v>0.059174574461984049</v>
      </c>
      <c r="S82" s="763">
        <v>0.070040560822380235</v>
      </c>
      <c r="T82" s="763">
        <v>0.19079902591376016</v>
      </c>
      <c r="U82" s="763">
        <v>0.27173570187162693</v>
      </c>
      <c r="V82" s="763">
        <v>0.31601801861056072</v>
      </c>
      <c r="W82" s="763">
        <v>0.064322676321860228</v>
      </c>
      <c r="X82" s="763">
        <v>0.060134250075269062</v>
      </c>
      <c r="Y82" s="763">
        <v>0.061974049604919916</v>
      </c>
      <c r="Z82" s="763">
        <v>0.066809144764530176</v>
      </c>
      <c r="AA82" s="763">
        <v>0.1814754699759156</v>
      </c>
      <c r="AB82" s="763">
        <v>0.24926639064694431</v>
      </c>
      <c r="AC82" s="763">
        <v>0.040424867680742729</v>
      </c>
      <c r="AD82" s="763">
        <v>0.073904766331455762</v>
      </c>
      <c r="AE82" s="763">
        <v>0.10393994427475985</v>
      </c>
      <c r="AF82" s="763">
        <v>0.00973930355276172</v>
      </c>
      <c r="AG82" s="763">
        <v>0.017839994856267187</v>
      </c>
      <c r="AH82" s="763">
        <v>0.026434956337855288</v>
      </c>
      <c r="AI82" s="763">
        <v>0.0092974167861552409</v>
      </c>
      <c r="AJ82" s="763">
        <v>0.36795266057110088</v>
      </c>
      <c r="AK82" s="763">
        <v>0.30518934007875</v>
      </c>
      <c r="AL82" s="763">
        <v>0.32757967745781197</v>
      </c>
      <c r="AM82" s="763">
        <v>0.37295792086673496</v>
      </c>
      <c r="AN82" s="763">
        <v>0.46543533849221191</v>
      </c>
      <c r="AO82" s="763">
        <v>0.17191228172867776</v>
      </c>
      <c r="AP82" s="763">
        <v>0.20381081829110148</v>
      </c>
      <c r="AQ82" s="763">
        <v>0.0611263869065167</v>
      </c>
      <c r="AR82" s="764">
        <v>0.030276956367972532</v>
      </c>
      <c r="AS82" s="394"/>
      <c r="AT82" s="397"/>
      <c r="AU82" s="398"/>
      <c r="AV82" s="398"/>
    </row>
    <row r="83" spans="1:48">
      <c r="A83" s="396">
        <v>811</v>
      </c>
      <c r="B83" s="761" t="s">
        <v>219</v>
      </c>
      <c r="C83" s="762">
        <v>24604</v>
      </c>
      <c r="D83" s="762">
        <v>21236</v>
      </c>
      <c r="E83" s="762">
        <v>17001</v>
      </c>
      <c r="F83" s="762">
        <v>3629</v>
      </c>
      <c r="G83" s="762">
        <v>3531</v>
      </c>
      <c r="H83" s="762">
        <v>3329</v>
      </c>
      <c r="I83" s="762">
        <v>3290</v>
      </c>
      <c r="J83" s="762">
        <v>3222</v>
      </c>
      <c r="K83" s="763">
        <v>0.15229231019346448</v>
      </c>
      <c r="L83" s="763">
        <v>0.1831667585383685</v>
      </c>
      <c r="M83" s="763">
        <v>0.14216810775836716</v>
      </c>
      <c r="N83" s="763">
        <v>0.21830996434383068</v>
      </c>
      <c r="O83" s="763">
        <v>0.74161145126230621</v>
      </c>
      <c r="P83" s="763">
        <v>0.0975133461877129</v>
      </c>
      <c r="Q83" s="763">
        <v>0.046871395168760738</v>
      </c>
      <c r="R83" s="763">
        <v>0.0386034849115897</v>
      </c>
      <c r="S83" s="763">
        <v>0.040109611881574907</v>
      </c>
      <c r="T83" s="763">
        <v>0.027067611939301881</v>
      </c>
      <c r="U83" s="763">
        <v>0.008223098648753575</v>
      </c>
      <c r="V83" s="763">
        <v>0.7403340506288163</v>
      </c>
      <c r="W83" s="763">
        <v>0.089146516333629161</v>
      </c>
      <c r="X83" s="763">
        <v>0.041068448940305605</v>
      </c>
      <c r="Y83" s="763">
        <v>0.041008788846448964</v>
      </c>
      <c r="Z83" s="763">
        <v>0.0355437250595787</v>
      </c>
      <c r="AA83" s="763">
        <v>0.0359544546988574</v>
      </c>
      <c r="AB83" s="763">
        <v>0.016944015492363847</v>
      </c>
      <c r="AC83" s="763">
        <v>0.0086786964648777314</v>
      </c>
      <c r="AD83" s="763">
        <v>0.018248602038668234</v>
      </c>
      <c r="AE83" s="763">
        <v>0.026312318608706108</v>
      </c>
      <c r="AF83" s="763">
        <v>0.0012361687154544296</v>
      </c>
      <c r="AG83" s="763">
        <v>0.00376934181085142</v>
      </c>
      <c r="AH83" s="763">
        <v>0.0056544390928478022</v>
      </c>
      <c r="AI83" s="763">
        <v>0.0069636743662557735</v>
      </c>
      <c r="AJ83" s="763">
        <v>0.29050744675618245</v>
      </c>
      <c r="AK83" s="763">
        <v>0.34500704073596056</v>
      </c>
      <c r="AL83" s="763">
        <v>0.35554234023104958</v>
      </c>
      <c r="AM83" s="763">
        <v>0.38178860054628616</v>
      </c>
      <c r="AN83" s="763">
        <v>0.46127715164731836</v>
      </c>
      <c r="AO83" s="763">
        <v>0.16580654608111406</v>
      </c>
      <c r="AP83" s="763">
        <v>0.21215672420564227</v>
      </c>
      <c r="AQ83" s="763">
        <v>0.047196945789541395</v>
      </c>
      <c r="AR83" s="764">
        <v>0.032414231419701366</v>
      </c>
      <c r="AS83" s="394"/>
      <c r="AT83" s="397"/>
      <c r="AU83" s="398"/>
      <c r="AV83" s="398"/>
    </row>
    <row r="84" spans="1:48">
      <c r="A84" s="396">
        <v>812</v>
      </c>
      <c r="B84" s="761" t="s">
        <v>264</v>
      </c>
      <c r="C84" s="762">
        <v>13668</v>
      </c>
      <c r="D84" s="762">
        <v>11702</v>
      </c>
      <c r="E84" s="762">
        <v>8467</v>
      </c>
      <c r="F84" s="762">
        <v>1877</v>
      </c>
      <c r="G84" s="762">
        <v>1774</v>
      </c>
      <c r="H84" s="762">
        <v>1770</v>
      </c>
      <c r="I84" s="762">
        <v>1652</v>
      </c>
      <c r="J84" s="762">
        <v>1394</v>
      </c>
      <c r="K84" s="763">
        <v>0.233099209833187</v>
      </c>
      <c r="L84" s="763">
        <v>0.30709019364753692</v>
      </c>
      <c r="M84" s="763">
        <v>0.19688201251919205</v>
      </c>
      <c r="N84" s="763">
        <v>0.34439504921741815</v>
      </c>
      <c r="O84" s="763">
        <v>0.37222977750443226</v>
      </c>
      <c r="P84" s="763">
        <v>0.10748022247354554</v>
      </c>
      <c r="Q84" s="763">
        <v>0.04827581271245221</v>
      </c>
      <c r="R84" s="763">
        <v>0.07163084578717735</v>
      </c>
      <c r="S84" s="763">
        <v>0.081000585258873173</v>
      </c>
      <c r="T84" s="763">
        <v>0.1376541232147572</v>
      </c>
      <c r="U84" s="763">
        <v>0.18172863304876236</v>
      </c>
      <c r="V84" s="763">
        <v>0.43380157871682962</v>
      </c>
      <c r="W84" s="763">
        <v>0.099273706787656554</v>
      </c>
      <c r="X84" s="763">
        <v>0.04032408708029752</v>
      </c>
      <c r="Y84" s="763">
        <v>0.064165669853570029</v>
      </c>
      <c r="Z84" s="763">
        <v>0.0743043116206955</v>
      </c>
      <c r="AA84" s="763">
        <v>0.12413513034002423</v>
      </c>
      <c r="AB84" s="763">
        <v>0.1639955156009269</v>
      </c>
      <c r="AC84" s="763">
        <v>0.015257098692262794</v>
      </c>
      <c r="AD84" s="763">
        <v>0.027870302120019855</v>
      </c>
      <c r="AE84" s="763">
        <v>0.038106058098378193</v>
      </c>
      <c r="AF84" s="763">
        <v>0.003084180344943733</v>
      </c>
      <c r="AG84" s="763">
        <v>0.0056891114318021931</v>
      </c>
      <c r="AH84" s="763">
        <v>0.010428681079896222</v>
      </c>
      <c r="AI84" s="763">
        <v>0.0095390792449402233</v>
      </c>
      <c r="AJ84" s="763">
        <v>0.31833838624737471</v>
      </c>
      <c r="AK84" s="763">
        <v>0.35804412394053259</v>
      </c>
      <c r="AL84" s="763">
        <v>0.35232534701173074</v>
      </c>
      <c r="AM84" s="763">
        <v>0.41772388480266115</v>
      </c>
      <c r="AN84" s="763">
        <v>0.49187793287152409</v>
      </c>
      <c r="AO84" s="763">
        <v>0.19309444011566357</v>
      </c>
      <c r="AP84" s="763">
        <v>0.22671783474290391</v>
      </c>
      <c r="AQ84" s="763">
        <v>0.064463608984118875</v>
      </c>
      <c r="AR84" s="764">
        <v>0.034879004368479113</v>
      </c>
      <c r="AS84" s="394"/>
      <c r="AT84" s="397"/>
      <c r="AU84" s="398"/>
      <c r="AV84" s="398"/>
    </row>
    <row r="85" spans="1:48">
      <c r="A85" s="396">
        <v>813</v>
      </c>
      <c r="B85" s="761" t="s">
        <v>265</v>
      </c>
      <c r="C85" s="762">
        <v>13683</v>
      </c>
      <c r="D85" s="762">
        <v>11847</v>
      </c>
      <c r="E85" s="762">
        <v>9870</v>
      </c>
      <c r="F85" s="762">
        <v>2062</v>
      </c>
      <c r="G85" s="762">
        <v>2047</v>
      </c>
      <c r="H85" s="762">
        <v>1993</v>
      </c>
      <c r="I85" s="762">
        <v>1914</v>
      </c>
      <c r="J85" s="762">
        <v>1854</v>
      </c>
      <c r="K85" s="763">
        <v>0.19118614338960752</v>
      </c>
      <c r="L85" s="763">
        <v>0.24784480583047228</v>
      </c>
      <c r="M85" s="763">
        <v>0.18571428571428558</v>
      </c>
      <c r="N85" s="763">
        <v>0.30164959618283349</v>
      </c>
      <c r="O85" s="763">
        <v>0.56552961300477134</v>
      </c>
      <c r="P85" s="763">
        <v>0.10075431597532983</v>
      </c>
      <c r="Q85" s="763">
        <v>0.11324223897511138</v>
      </c>
      <c r="R85" s="763">
        <v>0.037108754968442043</v>
      </c>
      <c r="S85" s="763">
        <v>0.04957800493980169</v>
      </c>
      <c r="T85" s="763">
        <v>0.076264026695666884</v>
      </c>
      <c r="U85" s="763">
        <v>0.057523045440876712</v>
      </c>
      <c r="V85" s="763">
        <v>0.57299631763702408</v>
      </c>
      <c r="W85" s="763">
        <v>0.09598482971746726</v>
      </c>
      <c r="X85" s="763">
        <v>0.10643154106502158</v>
      </c>
      <c r="Y85" s="763">
        <v>0.034457255248905208</v>
      </c>
      <c r="Z85" s="763">
        <v>0.052500021728444105</v>
      </c>
      <c r="AA85" s="763">
        <v>0.083806631340954924</v>
      </c>
      <c r="AB85" s="763">
        <v>0.053823403262182927</v>
      </c>
      <c r="AC85" s="763">
        <v>0.025235723290224828</v>
      </c>
      <c r="AD85" s="763">
        <v>0.048488604979145741</v>
      </c>
      <c r="AE85" s="763">
        <v>0.0680725018527738</v>
      </c>
      <c r="AF85" s="763">
        <v>0.0041540020263424486</v>
      </c>
      <c r="AG85" s="763">
        <v>0.008713272543059777</v>
      </c>
      <c r="AH85" s="763">
        <v>0.012259371833839915</v>
      </c>
      <c r="AI85" s="763">
        <v>0.0073871015532717453</v>
      </c>
      <c r="AJ85" s="763">
        <v>0.28719958800020617</v>
      </c>
      <c r="AK85" s="763">
        <v>0.36841039331715436</v>
      </c>
      <c r="AL85" s="763">
        <v>0.36615106718390261</v>
      </c>
      <c r="AM85" s="763">
        <v>0.41764729483452767</v>
      </c>
      <c r="AN85" s="763">
        <v>0.53486122703228589</v>
      </c>
      <c r="AO85" s="763">
        <v>0.21122905985327298</v>
      </c>
      <c r="AP85" s="763">
        <v>0.23638554950073831</v>
      </c>
      <c r="AQ85" s="763">
        <v>0.058629115305533247</v>
      </c>
      <c r="AR85" s="764">
        <v>0.046077316565270414</v>
      </c>
      <c r="AS85" s="394"/>
      <c r="AT85" s="397"/>
      <c r="AU85" s="398"/>
      <c r="AV85" s="398"/>
    </row>
    <row r="86" spans="1:48">
      <c r="A86" s="396">
        <v>815</v>
      </c>
      <c r="B86" s="761" t="s">
        <v>268</v>
      </c>
      <c r="C86" s="762">
        <v>42469</v>
      </c>
      <c r="D86" s="762">
        <v>36599</v>
      </c>
      <c r="E86" s="762">
        <v>31551</v>
      </c>
      <c r="F86" s="762">
        <v>6622</v>
      </c>
      <c r="G86" s="762">
        <v>6269</v>
      </c>
      <c r="H86" s="762">
        <v>6332</v>
      </c>
      <c r="I86" s="762">
        <v>6221</v>
      </c>
      <c r="J86" s="762">
        <v>6107</v>
      </c>
      <c r="K86" s="763">
        <v>0.12117073630177305</v>
      </c>
      <c r="L86" s="763">
        <v>0.16082230039749359</v>
      </c>
      <c r="M86" s="763">
        <v>0.099299546765554178</v>
      </c>
      <c r="N86" s="763">
        <v>0.16786691387401353</v>
      </c>
      <c r="O86" s="763">
        <v>0.81336037977009235</v>
      </c>
      <c r="P86" s="763">
        <v>0.071935457302433267</v>
      </c>
      <c r="Q86" s="763">
        <v>0.030954397506853814</v>
      </c>
      <c r="R86" s="763">
        <v>0.039735989881875877</v>
      </c>
      <c r="S86" s="763">
        <v>0.012282842181934117</v>
      </c>
      <c r="T86" s="763">
        <v>0.010481256039288551</v>
      </c>
      <c r="U86" s="763">
        <v>0.021249677317521785</v>
      </c>
      <c r="V86" s="763">
        <v>0.83333024809003153</v>
      </c>
      <c r="W86" s="763">
        <v>0.064690412675701012</v>
      </c>
      <c r="X86" s="763">
        <v>0.02944690458948197</v>
      </c>
      <c r="Y86" s="763">
        <v>0.030707664866027752</v>
      </c>
      <c r="Z86" s="763">
        <v>0.014165390522475155</v>
      </c>
      <c r="AA86" s="763">
        <v>0.010878941359239416</v>
      </c>
      <c r="AB86" s="763">
        <v>0.016780437897042946</v>
      </c>
      <c r="AC86" s="763">
        <v>0.010904615496873202</v>
      </c>
      <c r="AD86" s="763">
        <v>0.021194213552349</v>
      </c>
      <c r="AE86" s="763">
        <v>0.032015374915321755</v>
      </c>
      <c r="AF86" s="763">
        <v>0.002103414371315766</v>
      </c>
      <c r="AG86" s="763">
        <v>0.0036635323979864421</v>
      </c>
      <c r="AH86" s="763">
        <v>0.0057649470083900164</v>
      </c>
      <c r="AI86" s="763">
        <v>0.0039083479706409976</v>
      </c>
      <c r="AJ86" s="763">
        <v>0.30166722303044996</v>
      </c>
      <c r="AK86" s="763">
        <v>0.34366791073467323</v>
      </c>
      <c r="AL86" s="763">
        <v>0.34782155044425311</v>
      </c>
      <c r="AM86" s="763">
        <v>0.37880785517505844</v>
      </c>
      <c r="AN86" s="763">
        <v>0.456782973820889</v>
      </c>
      <c r="AO86" s="763">
        <v>0.17820966959086809</v>
      </c>
      <c r="AP86" s="763">
        <v>0.21235820695860566</v>
      </c>
      <c r="AQ86" s="763">
        <v>0.058116101729897729</v>
      </c>
      <c r="AR86" s="764">
        <v>0.0302743684822582</v>
      </c>
      <c r="AS86" s="394"/>
      <c r="AT86" s="397"/>
      <c r="AU86" s="398"/>
      <c r="AV86" s="398"/>
    </row>
    <row r="87" spans="1:48">
      <c r="A87" s="396">
        <v>816</v>
      </c>
      <c r="B87" s="761" t="s">
        <v>330</v>
      </c>
      <c r="C87" s="762">
        <v>13664</v>
      </c>
      <c r="D87" s="762">
        <v>11820</v>
      </c>
      <c r="E87" s="762">
        <v>9372</v>
      </c>
      <c r="F87" s="762">
        <v>1989</v>
      </c>
      <c r="G87" s="762">
        <v>1899</v>
      </c>
      <c r="H87" s="762">
        <v>1910</v>
      </c>
      <c r="I87" s="762">
        <v>1822</v>
      </c>
      <c r="J87" s="762">
        <v>1752</v>
      </c>
      <c r="K87" s="763">
        <v>0.10567915690866508</v>
      </c>
      <c r="L87" s="763">
        <v>0.14925860243796374</v>
      </c>
      <c r="M87" s="763">
        <v>0.0967776355100299</v>
      </c>
      <c r="N87" s="763">
        <v>0.16616564482264742</v>
      </c>
      <c r="O87" s="763">
        <v>0.75724871816160666</v>
      </c>
      <c r="P87" s="763">
        <v>0.10301630422746685</v>
      </c>
      <c r="Q87" s="763">
        <v>0.018379921904493144</v>
      </c>
      <c r="R87" s="763">
        <v>0.052540607109645789</v>
      </c>
      <c r="S87" s="763">
        <v>0.041020052440121177</v>
      </c>
      <c r="T87" s="763">
        <v>0.027794396156666214</v>
      </c>
      <c r="U87" s="763">
        <v>0</v>
      </c>
      <c r="V87" s="763">
        <v>0.78841485892939345</v>
      </c>
      <c r="W87" s="763">
        <v>0.087826312278100421</v>
      </c>
      <c r="X87" s="763">
        <v>0.016369237844225126</v>
      </c>
      <c r="Y87" s="763">
        <v>0.045231552101820068</v>
      </c>
      <c r="Z87" s="763">
        <v>0.033981709534525312</v>
      </c>
      <c r="AA87" s="763">
        <v>0.028069219293681089</v>
      </c>
      <c r="AB87" s="763">
        <v>0.00010711001825473896</v>
      </c>
      <c r="AC87" s="763">
        <v>0.021258738822923919</v>
      </c>
      <c r="AD87" s="763">
        <v>0.040332685555933986</v>
      </c>
      <c r="AE87" s="763">
        <v>0.055815608024210255</v>
      </c>
      <c r="AF87" s="763">
        <v>0.0038629703436977437</v>
      </c>
      <c r="AG87" s="763">
        <v>0.0096798482213375243</v>
      </c>
      <c r="AH87" s="763">
        <v>0.013877089838799034</v>
      </c>
      <c r="AI87" s="763">
        <v>0.0039751189040611945</v>
      </c>
      <c r="AJ87" s="763">
        <v>0.266857567520249</v>
      </c>
      <c r="AK87" s="763">
        <v>0.3104836509111833</v>
      </c>
      <c r="AL87" s="763">
        <v>0.33379742662328654</v>
      </c>
      <c r="AM87" s="763">
        <v>0.37695675868238565</v>
      </c>
      <c r="AN87" s="763">
        <v>0.46689145621619754</v>
      </c>
      <c r="AO87" s="763">
        <v>0.16400548822787919</v>
      </c>
      <c r="AP87" s="763">
        <v>0.20436308177118714</v>
      </c>
      <c r="AQ87" s="763">
        <v>0.038881639194139193</v>
      </c>
      <c r="AR87" s="764">
        <v>0.022089435483259968</v>
      </c>
      <c r="AS87" s="394"/>
      <c r="AT87" s="397"/>
      <c r="AU87" s="398"/>
      <c r="AV87" s="398"/>
    </row>
    <row r="88" spans="1:48">
      <c r="A88" s="396">
        <v>821</v>
      </c>
      <c r="B88" s="761" t="s">
        <v>255</v>
      </c>
      <c r="C88" s="762">
        <v>22505</v>
      </c>
      <c r="D88" s="762">
        <v>19439</v>
      </c>
      <c r="E88" s="762">
        <v>14327</v>
      </c>
      <c r="F88" s="762">
        <v>3124</v>
      </c>
      <c r="G88" s="762">
        <v>2931</v>
      </c>
      <c r="H88" s="762">
        <v>2805</v>
      </c>
      <c r="I88" s="762">
        <v>2758</v>
      </c>
      <c r="J88" s="762">
        <v>2709</v>
      </c>
      <c r="K88" s="763">
        <v>0.17658298155965335</v>
      </c>
      <c r="L88" s="763">
        <v>0.25096182109761983</v>
      </c>
      <c r="M88" s="763">
        <v>0.18433726530327352</v>
      </c>
      <c r="N88" s="763">
        <v>0.33924290771617077</v>
      </c>
      <c r="O88" s="763">
        <v>0.39501921287947295</v>
      </c>
      <c r="P88" s="763">
        <v>0.17474495075973309</v>
      </c>
      <c r="Q88" s="763">
        <v>0.092307916664970971</v>
      </c>
      <c r="R88" s="763">
        <v>0.20168456834196608</v>
      </c>
      <c r="S88" s="763">
        <v>0.055005855561544179</v>
      </c>
      <c r="T88" s="763">
        <v>0.072168675536622789</v>
      </c>
      <c r="U88" s="763">
        <v>0.00906882025568988</v>
      </c>
      <c r="V88" s="763">
        <v>0.41018138641665014</v>
      </c>
      <c r="W88" s="763">
        <v>0.17463817841203769</v>
      </c>
      <c r="X88" s="763">
        <v>0.0878722435486119</v>
      </c>
      <c r="Y88" s="763">
        <v>0.18914377622774772</v>
      </c>
      <c r="Z88" s="763">
        <v>0.060129279157261066</v>
      </c>
      <c r="AA88" s="763">
        <v>0.071540104714458361</v>
      </c>
      <c r="AB88" s="763">
        <v>0.0064950315232330325</v>
      </c>
      <c r="AC88" s="763">
        <v>0.11285901358566156</v>
      </c>
      <c r="AD88" s="763">
        <v>0.21778283561351178</v>
      </c>
      <c r="AE88" s="763">
        <v>0.30961827259424718</v>
      </c>
      <c r="AF88" s="763">
        <v>0.023022463751952833</v>
      </c>
      <c r="AG88" s="763">
        <v>0.040167582298692321</v>
      </c>
      <c r="AH88" s="763">
        <v>0.0599031121805207</v>
      </c>
      <c r="AI88" s="763">
        <v>0.0048395290238915784</v>
      </c>
      <c r="AJ88" s="763">
        <v>0.35409440807800308</v>
      </c>
      <c r="AK88" s="763">
        <v>0.40215845003493145</v>
      </c>
      <c r="AL88" s="763">
        <v>0.41851832075550782</v>
      </c>
      <c r="AM88" s="763">
        <v>0.46697135938022821</v>
      </c>
      <c r="AN88" s="763">
        <v>0.55945451423445913</v>
      </c>
      <c r="AO88" s="763">
        <v>0.26026559047913311</v>
      </c>
      <c r="AP88" s="763">
        <v>0.26502172518602057</v>
      </c>
      <c r="AQ88" s="763">
        <v>0.068839724362381</v>
      </c>
      <c r="AR88" s="764">
        <v>0.045429289437849879</v>
      </c>
      <c r="AS88" s="394"/>
      <c r="AT88" s="397"/>
      <c r="AU88" s="398"/>
      <c r="AV88" s="398"/>
    </row>
    <row r="89" spans="1:48">
      <c r="A89" s="396">
        <v>822</v>
      </c>
      <c r="B89" s="761" t="s">
        <v>657</v>
      </c>
      <c r="C89" s="762">
        <v>15616</v>
      </c>
      <c r="D89" s="762">
        <v>13509</v>
      </c>
      <c r="E89" s="762">
        <v>10263</v>
      </c>
      <c r="F89" s="762">
        <v>2156</v>
      </c>
      <c r="G89" s="762">
        <v>2056</v>
      </c>
      <c r="H89" s="762">
        <v>2139</v>
      </c>
      <c r="I89" s="762">
        <v>1987</v>
      </c>
      <c r="J89" s="762">
        <v>1925</v>
      </c>
      <c r="K89" s="763">
        <v>0.1546490778688524</v>
      </c>
      <c r="L89" s="763">
        <v>0.20508230963495891</v>
      </c>
      <c r="M89" s="763">
        <v>0.139627789145474</v>
      </c>
      <c r="N89" s="763">
        <v>0.23538876107295595</v>
      </c>
      <c r="O89" s="763">
        <v>0.55104189686146943</v>
      </c>
      <c r="P89" s="763">
        <v>0.15845587092770874</v>
      </c>
      <c r="Q89" s="763">
        <v>0.0764138224451955</v>
      </c>
      <c r="R89" s="763">
        <v>0.11174970452602466</v>
      </c>
      <c r="S89" s="763">
        <v>0.063525963989308862</v>
      </c>
      <c r="T89" s="763">
        <v>0.028822987151932208</v>
      </c>
      <c r="U89" s="763">
        <v>0.0099897540983606686</v>
      </c>
      <c r="V89" s="763">
        <v>0.59083289243319914</v>
      </c>
      <c r="W89" s="763">
        <v>0.12743745697368289</v>
      </c>
      <c r="X89" s="763">
        <v>0.084027946092406436</v>
      </c>
      <c r="Y89" s="763">
        <v>0.096527991290108126</v>
      </c>
      <c r="Z89" s="763">
        <v>0.064231656659597222</v>
      </c>
      <c r="AA89" s="763">
        <v>0.026319206246373655</v>
      </c>
      <c r="AB89" s="763">
        <v>0.010622850304632461</v>
      </c>
      <c r="AC89" s="763">
        <v>0.054999712374015637</v>
      </c>
      <c r="AD89" s="763">
        <v>0.10499876252444873</v>
      </c>
      <c r="AE89" s="763">
        <v>0.15767335504804739</v>
      </c>
      <c r="AF89" s="763">
        <v>0.0062481074600503738</v>
      </c>
      <c r="AG89" s="763">
        <v>0.017083781496661551</v>
      </c>
      <c r="AH89" s="763">
        <v>0.025672865325171861</v>
      </c>
      <c r="AI89" s="763">
        <v>0.0046553522866518687</v>
      </c>
      <c r="AJ89" s="763">
        <v>0.34961576874977868</v>
      </c>
      <c r="AK89" s="763">
        <v>0.45307128620992365</v>
      </c>
      <c r="AL89" s="763">
        <v>0.49785376326907832</v>
      </c>
      <c r="AM89" s="763">
        <v>0.45508168128690857</v>
      </c>
      <c r="AN89" s="763">
        <v>0.5752053874834564</v>
      </c>
      <c r="AO89" s="763">
        <v>0.21831458294561734</v>
      </c>
      <c r="AP89" s="763">
        <v>0.27431327582946025</v>
      </c>
      <c r="AQ89" s="763">
        <v>0.066643835659890169</v>
      </c>
      <c r="AR89" s="764">
        <v>0.051672902427249139</v>
      </c>
      <c r="AS89" s="394"/>
      <c r="AT89" s="397"/>
      <c r="AU89" s="398"/>
      <c r="AV89" s="398"/>
    </row>
    <row r="90" spans="1:48">
      <c r="A90" s="396">
        <v>823</v>
      </c>
      <c r="B90" s="761" t="s">
        <v>201</v>
      </c>
      <c r="C90" s="762">
        <v>24975</v>
      </c>
      <c r="D90" s="762">
        <v>21396</v>
      </c>
      <c r="E90" s="762">
        <v>14718</v>
      </c>
      <c r="F90" s="762">
        <v>3322</v>
      </c>
      <c r="G90" s="762">
        <v>3095</v>
      </c>
      <c r="H90" s="762">
        <v>2826</v>
      </c>
      <c r="I90" s="762">
        <v>2791</v>
      </c>
      <c r="J90" s="762">
        <v>2684</v>
      </c>
      <c r="K90" s="763">
        <v>0.091011011011011028</v>
      </c>
      <c r="L90" s="763">
        <v>0.13302047541870113</v>
      </c>
      <c r="M90" s="763">
        <v>0.09063731485256149</v>
      </c>
      <c r="N90" s="763">
        <v>0.176329219044629</v>
      </c>
      <c r="O90" s="763">
        <v>0.76283870710663826</v>
      </c>
      <c r="P90" s="763">
        <v>0.075807690318273044</v>
      </c>
      <c r="Q90" s="763">
        <v>0.080298910128384735</v>
      </c>
      <c r="R90" s="763">
        <v>0.03045679790207384</v>
      </c>
      <c r="S90" s="763">
        <v>0.048191789594722749</v>
      </c>
      <c r="T90" s="763">
        <v>0.0023660649098673063</v>
      </c>
      <c r="U90" s="763">
        <v>4.0040040040039971E-05</v>
      </c>
      <c r="V90" s="763">
        <v>0.77040430330463772</v>
      </c>
      <c r="W90" s="763">
        <v>0.072098363976803609</v>
      </c>
      <c r="X90" s="763">
        <v>0.074826341807820315</v>
      </c>
      <c r="Y90" s="763">
        <v>0.031338953075795047</v>
      </c>
      <c r="Z90" s="763">
        <v>0.04799994493117278</v>
      </c>
      <c r="AA90" s="763">
        <v>0.0031278833008746005</v>
      </c>
      <c r="AB90" s="763">
        <v>0.00020420960289588991</v>
      </c>
      <c r="AC90" s="763">
        <v>0.013716187174233894</v>
      </c>
      <c r="AD90" s="763">
        <v>0.027603565885498709</v>
      </c>
      <c r="AE90" s="763">
        <v>0.041869273247020625</v>
      </c>
      <c r="AF90" s="763">
        <v>0.0027902737496507415</v>
      </c>
      <c r="AG90" s="763">
        <v>0.0045609543479073677</v>
      </c>
      <c r="AH90" s="763">
        <v>0.0066011450227681226</v>
      </c>
      <c r="AI90" s="763">
        <v>0.0047177408507646365</v>
      </c>
      <c r="AJ90" s="763">
        <v>0.3086522620101565</v>
      </c>
      <c r="AK90" s="763">
        <v>0.38680830647681086</v>
      </c>
      <c r="AL90" s="763">
        <v>0.37410984528122654</v>
      </c>
      <c r="AM90" s="763">
        <v>0.4236696704854887</v>
      </c>
      <c r="AN90" s="763">
        <v>0.48476760718435247</v>
      </c>
      <c r="AO90" s="763">
        <v>0.20366022986352053</v>
      </c>
      <c r="AP90" s="763">
        <v>0.23486115945874267</v>
      </c>
      <c r="AQ90" s="763">
        <v>0.045207902738419167</v>
      </c>
      <c r="AR90" s="764">
        <v>0.036417991574942257</v>
      </c>
      <c r="AS90" s="394"/>
      <c r="AT90" s="397"/>
      <c r="AU90" s="398"/>
      <c r="AV90" s="398"/>
    </row>
    <row r="91" spans="1:48">
      <c r="A91" s="396">
        <v>825</v>
      </c>
      <c r="B91" s="761" t="s">
        <v>195</v>
      </c>
      <c r="C91" s="762">
        <v>43989</v>
      </c>
      <c r="D91" s="762">
        <v>37803</v>
      </c>
      <c r="E91" s="762">
        <v>30716</v>
      </c>
      <c r="F91" s="762">
        <v>6476</v>
      </c>
      <c r="G91" s="762">
        <v>6348</v>
      </c>
      <c r="H91" s="762">
        <v>6069</v>
      </c>
      <c r="I91" s="762">
        <v>5959</v>
      </c>
      <c r="J91" s="762">
        <v>5864</v>
      </c>
      <c r="K91" s="763">
        <v>0.098456432289890636</v>
      </c>
      <c r="L91" s="763">
        <v>0.12758608651032177</v>
      </c>
      <c r="M91" s="763">
        <v>0.067424143768719885</v>
      </c>
      <c r="N91" s="763">
        <v>0.13252767215361397</v>
      </c>
      <c r="O91" s="763">
        <v>0.83964883276646907</v>
      </c>
      <c r="P91" s="763">
        <v>0.063215958193454672</v>
      </c>
      <c r="Q91" s="763">
        <v>0.079213204386880745</v>
      </c>
      <c r="R91" s="763">
        <v>0.0032302185285482754</v>
      </c>
      <c r="S91" s="763">
        <v>0.012597647871469029</v>
      </c>
      <c r="T91" s="763">
        <v>0.0019118106675710381</v>
      </c>
      <c r="U91" s="763">
        <v>0.00018232758560697673</v>
      </c>
      <c r="V91" s="763">
        <v>0.85546949448088561</v>
      </c>
      <c r="W91" s="763">
        <v>0.064725592532626788</v>
      </c>
      <c r="X91" s="763">
        <v>0.061799572758616743</v>
      </c>
      <c r="Y91" s="763">
        <v>0.0060884330432979285</v>
      </c>
      <c r="Z91" s="763">
        <v>0.010060626730620819</v>
      </c>
      <c r="AA91" s="763">
        <v>0.0016934988417629433</v>
      </c>
      <c r="AB91" s="763">
        <v>0.00016278161218908721</v>
      </c>
      <c r="AC91" s="763">
        <v>0.031118072746972262</v>
      </c>
      <c r="AD91" s="763">
        <v>0.0637354053306446</v>
      </c>
      <c r="AE91" s="763">
        <v>0.094786479056390219</v>
      </c>
      <c r="AF91" s="763">
        <v>0.005095101254866668</v>
      </c>
      <c r="AG91" s="763">
        <v>0.010257225360284405</v>
      </c>
      <c r="AH91" s="763">
        <v>0.016496831045638316</v>
      </c>
      <c r="AI91" s="763">
        <v>0.0021078480955392014</v>
      </c>
      <c r="AJ91" s="763">
        <v>0.28040716255008058</v>
      </c>
      <c r="AK91" s="763">
        <v>0.27536050637553544</v>
      </c>
      <c r="AL91" s="763">
        <v>0.28075139762892332</v>
      </c>
      <c r="AM91" s="763">
        <v>0.28805968137687571</v>
      </c>
      <c r="AN91" s="763">
        <v>0.3480948284984442</v>
      </c>
      <c r="AO91" s="763">
        <v>0.1287265058247746</v>
      </c>
      <c r="AP91" s="763">
        <v>0.16439579246352257</v>
      </c>
      <c r="AQ91" s="763">
        <v>0.052247024762881</v>
      </c>
      <c r="AR91" s="764">
        <v>0.02328441835534403</v>
      </c>
      <c r="AS91" s="394"/>
      <c r="AT91" s="397"/>
      <c r="AU91" s="398"/>
      <c r="AV91" s="398"/>
    </row>
    <row r="92" spans="1:48">
      <c r="A92" s="396">
        <v>826</v>
      </c>
      <c r="B92" s="761" t="s">
        <v>260</v>
      </c>
      <c r="C92" s="762">
        <v>26670</v>
      </c>
      <c r="D92" s="762">
        <v>22990</v>
      </c>
      <c r="E92" s="762">
        <v>16215</v>
      </c>
      <c r="F92" s="762">
        <v>3573</v>
      </c>
      <c r="G92" s="762">
        <v>3339</v>
      </c>
      <c r="H92" s="762">
        <v>3186</v>
      </c>
      <c r="I92" s="762">
        <v>3060</v>
      </c>
      <c r="J92" s="762">
        <v>3057</v>
      </c>
      <c r="K92" s="763">
        <v>0.1437570303712036</v>
      </c>
      <c r="L92" s="763">
        <v>0.18723484642040661</v>
      </c>
      <c r="M92" s="763">
        <v>0.14591427690410119</v>
      </c>
      <c r="N92" s="763">
        <v>0.26155471719342577</v>
      </c>
      <c r="O92" s="763">
        <v>0.55565186549309931</v>
      </c>
      <c r="P92" s="763">
        <v>0.15012726700185894</v>
      </c>
      <c r="Q92" s="763">
        <v>0.08998817242251278</v>
      </c>
      <c r="R92" s="763">
        <v>0.062400349360112115</v>
      </c>
      <c r="S92" s="763">
        <v>0.041984823200077757</v>
      </c>
      <c r="T92" s="763">
        <v>0.08290753398251495</v>
      </c>
      <c r="U92" s="763">
        <v>0.016939988539824168</v>
      </c>
      <c r="V92" s="763">
        <v>0.55467483668518436</v>
      </c>
      <c r="W92" s="763">
        <v>0.14216765147000562</v>
      </c>
      <c r="X92" s="763">
        <v>0.088862325650618829</v>
      </c>
      <c r="Y92" s="763">
        <v>0.066155333169131761</v>
      </c>
      <c r="Z92" s="763">
        <v>0.046425374673135462</v>
      </c>
      <c r="AA92" s="763">
        <v>0.088451569939595978</v>
      </c>
      <c r="AB92" s="763">
        <v>0.013262908412328077</v>
      </c>
      <c r="AC92" s="763">
        <v>0.061373092911971745</v>
      </c>
      <c r="AD92" s="763">
        <v>0.11919316295347218</v>
      </c>
      <c r="AE92" s="763">
        <v>0.16452291471465935</v>
      </c>
      <c r="AF92" s="763">
        <v>0.011700987768123923</v>
      </c>
      <c r="AG92" s="763">
        <v>0.019191356490397528</v>
      </c>
      <c r="AH92" s="763">
        <v>0.029548340684005619</v>
      </c>
      <c r="AI92" s="763">
        <v>0.0045535342475805044</v>
      </c>
      <c r="AJ92" s="763">
        <v>0.29400761896198591</v>
      </c>
      <c r="AK92" s="763">
        <v>0.34517024716323619</v>
      </c>
      <c r="AL92" s="763">
        <v>0.3622281419845072</v>
      </c>
      <c r="AM92" s="763">
        <v>0.39006284068267522</v>
      </c>
      <c r="AN92" s="763">
        <v>0.45247394876974539</v>
      </c>
      <c r="AO92" s="763">
        <v>0.19524671427928955</v>
      </c>
      <c r="AP92" s="763">
        <v>0.21880639717726727</v>
      </c>
      <c r="AQ92" s="763">
        <v>0.065837844388622807</v>
      </c>
      <c r="AR92" s="764">
        <v>0.042014758920525329</v>
      </c>
      <c r="AS92" s="394"/>
      <c r="AT92" s="397"/>
      <c r="AU92" s="398"/>
      <c r="AV92" s="398"/>
    </row>
    <row r="93" spans="1:48">
      <c r="A93" s="396">
        <v>830</v>
      </c>
      <c r="B93" s="761" t="s">
        <v>212</v>
      </c>
      <c r="C93" s="762">
        <v>59161</v>
      </c>
      <c r="D93" s="762">
        <v>51030</v>
      </c>
      <c r="E93" s="762">
        <v>39145</v>
      </c>
      <c r="F93" s="762">
        <v>8436</v>
      </c>
      <c r="G93" s="762">
        <v>7999</v>
      </c>
      <c r="H93" s="762">
        <v>7818</v>
      </c>
      <c r="I93" s="762">
        <v>7640</v>
      </c>
      <c r="J93" s="762">
        <v>7252</v>
      </c>
      <c r="K93" s="763">
        <v>0.19173103902909011</v>
      </c>
      <c r="L93" s="763">
        <v>0.23839198252934177</v>
      </c>
      <c r="M93" s="763">
        <v>0.1608890024268744</v>
      </c>
      <c r="N93" s="763">
        <v>0.25497895459658676</v>
      </c>
      <c r="O93" s="763">
        <v>0.63650123661794644</v>
      </c>
      <c r="P93" s="763">
        <v>0.10848038645055343</v>
      </c>
      <c r="Q93" s="763">
        <v>0.058151628356846174</v>
      </c>
      <c r="R93" s="763">
        <v>0.065570897864368233</v>
      </c>
      <c r="S93" s="763">
        <v>0.065944386281210757</v>
      </c>
      <c r="T93" s="763">
        <v>0.058773493057340191</v>
      </c>
      <c r="U93" s="763">
        <v>0.0065779713717344906</v>
      </c>
      <c r="V93" s="763">
        <v>0.65595270340732514</v>
      </c>
      <c r="W93" s="763">
        <v>0.1063273969281112</v>
      </c>
      <c r="X93" s="763">
        <v>0.054289105555367236</v>
      </c>
      <c r="Y93" s="763">
        <v>0.059780575778714096</v>
      </c>
      <c r="Z93" s="763">
        <v>0.059622398831844919</v>
      </c>
      <c r="AA93" s="763">
        <v>0.058125563407511571</v>
      </c>
      <c r="AB93" s="763">
        <v>0.0059022560911257821</v>
      </c>
      <c r="AC93" s="763">
        <v>0.0067552829793828227</v>
      </c>
      <c r="AD93" s="763">
        <v>0.012483305032443959</v>
      </c>
      <c r="AE93" s="763">
        <v>0.017553741132983032</v>
      </c>
      <c r="AF93" s="763">
        <v>0.00094719789320309481</v>
      </c>
      <c r="AG93" s="763">
        <v>0.0019448527545544224</v>
      </c>
      <c r="AH93" s="763">
        <v>0.0028920307229146308</v>
      </c>
      <c r="AI93" s="763">
        <v>0.0047107258014335235</v>
      </c>
      <c r="AJ93" s="763">
        <v>0.30762425731533483</v>
      </c>
      <c r="AK93" s="763">
        <v>0.35707088289550071</v>
      </c>
      <c r="AL93" s="763">
        <v>0.349770224634567</v>
      </c>
      <c r="AM93" s="763">
        <v>0.3872152097991664</v>
      </c>
      <c r="AN93" s="763">
        <v>0.46610716832746291</v>
      </c>
      <c r="AO93" s="763">
        <v>0.1636123490824139</v>
      </c>
      <c r="AP93" s="763">
        <v>0.21398417793803642</v>
      </c>
      <c r="AQ93" s="763">
        <v>0.039677761214569764</v>
      </c>
      <c r="AR93" s="764">
        <v>0.027547306835944297</v>
      </c>
      <c r="AS93" s="394"/>
      <c r="AT93" s="397"/>
      <c r="AU93" s="398"/>
      <c r="AV93" s="398"/>
    </row>
    <row r="94" spans="1:48">
      <c r="A94" s="396">
        <v>831</v>
      </c>
      <c r="B94" s="761" t="s">
        <v>210</v>
      </c>
      <c r="C94" s="762">
        <v>23655</v>
      </c>
      <c r="D94" s="762">
        <v>20445</v>
      </c>
      <c r="E94" s="762">
        <v>15431</v>
      </c>
      <c r="F94" s="762">
        <v>3420</v>
      </c>
      <c r="G94" s="762">
        <v>3240</v>
      </c>
      <c r="H94" s="762">
        <v>2992</v>
      </c>
      <c r="I94" s="762">
        <v>2896</v>
      </c>
      <c r="J94" s="762">
        <v>2883</v>
      </c>
      <c r="K94" s="763">
        <v>0.22663284717818646</v>
      </c>
      <c r="L94" s="763">
        <v>0.286634540808583</v>
      </c>
      <c r="M94" s="763">
        <v>0.17970319486747455</v>
      </c>
      <c r="N94" s="763">
        <v>0.32317582815452212</v>
      </c>
      <c r="O94" s="763">
        <v>0.38189390551135416</v>
      </c>
      <c r="P94" s="763">
        <v>0.097188128534894849</v>
      </c>
      <c r="Q94" s="763">
        <v>0.086176258405998962</v>
      </c>
      <c r="R94" s="763">
        <v>0.09480037746505196</v>
      </c>
      <c r="S94" s="763">
        <v>0.12287281203662653</v>
      </c>
      <c r="T94" s="763">
        <v>0.16381103185584511</v>
      </c>
      <c r="U94" s="763">
        <v>0.053257486190228423</v>
      </c>
      <c r="V94" s="763">
        <v>0.44274012648876182</v>
      </c>
      <c r="W94" s="763">
        <v>0.093129561814361425</v>
      </c>
      <c r="X94" s="763">
        <v>0.079218987038907923</v>
      </c>
      <c r="Y94" s="763">
        <v>0.082782060515098788</v>
      </c>
      <c r="Z94" s="763">
        <v>0.10739112660611305</v>
      </c>
      <c r="AA94" s="763">
        <v>0.14698109323133482</v>
      </c>
      <c r="AB94" s="763">
        <v>0.047757044305422131</v>
      </c>
      <c r="AC94" s="763">
        <v>0.065048241741172672</v>
      </c>
      <c r="AD94" s="763">
        <v>0.12727803082483891</v>
      </c>
      <c r="AE94" s="763">
        <v>0.1811278715790359</v>
      </c>
      <c r="AF94" s="763">
        <v>0.011105231241703104</v>
      </c>
      <c r="AG94" s="763">
        <v>0.021473824367675663</v>
      </c>
      <c r="AH94" s="763">
        <v>0.032696485442734381</v>
      </c>
      <c r="AI94" s="763">
        <v>0.0031990465051549479</v>
      </c>
      <c r="AJ94" s="763">
        <v>0.3507489140862971</v>
      </c>
      <c r="AK94" s="763">
        <v>0.39444616820484785</v>
      </c>
      <c r="AL94" s="763">
        <v>0.39314807807906665</v>
      </c>
      <c r="AM94" s="763">
        <v>0.43849833741509775</v>
      </c>
      <c r="AN94" s="763">
        <v>0.50116838961526444</v>
      </c>
      <c r="AO94" s="763">
        <v>0.214632065365</v>
      </c>
      <c r="AP94" s="763">
        <v>0.24351648460927164</v>
      </c>
      <c r="AQ94" s="763">
        <v>0.053371266861293391</v>
      </c>
      <c r="AR94" s="764">
        <v>0.039041917198773562</v>
      </c>
      <c r="AS94" s="394"/>
      <c r="AT94" s="397"/>
      <c r="AU94" s="398"/>
      <c r="AV94" s="398"/>
    </row>
    <row r="95" spans="1:48">
      <c r="A95" s="396">
        <v>838</v>
      </c>
      <c r="B95" s="761" t="s">
        <v>215</v>
      </c>
      <c r="C95" s="762">
        <v>24857</v>
      </c>
      <c r="D95" s="762">
        <v>21574</v>
      </c>
      <c r="E95" s="762">
        <v>18759</v>
      </c>
      <c r="F95" s="762">
        <v>3984</v>
      </c>
      <c r="G95" s="762">
        <v>3917</v>
      </c>
      <c r="H95" s="762">
        <v>3661</v>
      </c>
      <c r="I95" s="762">
        <v>3670</v>
      </c>
      <c r="J95" s="762">
        <v>3527</v>
      </c>
      <c r="K95" s="763">
        <v>0.14881120006436818</v>
      </c>
      <c r="L95" s="763">
        <v>0.16759858057405144</v>
      </c>
      <c r="M95" s="763">
        <v>0.15880377418838953</v>
      </c>
      <c r="N95" s="763">
        <v>0.20030996802423606</v>
      </c>
      <c r="O95" s="763">
        <v>0.84662912205296748</v>
      </c>
      <c r="P95" s="763">
        <v>0.056314612414528</v>
      </c>
      <c r="Q95" s="763">
        <v>0.039056551412888794</v>
      </c>
      <c r="R95" s="763">
        <v>0.016640716415524424</v>
      </c>
      <c r="S95" s="763">
        <v>0.027917420699350326</v>
      </c>
      <c r="T95" s="763">
        <v>0.00692221010148703</v>
      </c>
      <c r="U95" s="763">
        <v>0.0065193669032540813</v>
      </c>
      <c r="V95" s="763">
        <v>0.85470331894925833</v>
      </c>
      <c r="W95" s="763">
        <v>0.05756239903891705</v>
      </c>
      <c r="X95" s="763">
        <v>0.035517033671783771</v>
      </c>
      <c r="Y95" s="763">
        <v>0.013011538569174926</v>
      </c>
      <c r="Z95" s="763">
        <v>0.025075135853187783</v>
      </c>
      <c r="AA95" s="763">
        <v>0.0084263974817944311</v>
      </c>
      <c r="AB95" s="763">
        <v>0.0057041764358837623</v>
      </c>
      <c r="AC95" s="763">
        <v>0.0075656424595152288</v>
      </c>
      <c r="AD95" s="763">
        <v>0.014548027563115282</v>
      </c>
      <c r="AE95" s="763">
        <v>0.021402563160400873</v>
      </c>
      <c r="AF95" s="763">
        <v>0.0046416345315609458</v>
      </c>
      <c r="AG95" s="763">
        <v>0.0063007690364884827</v>
      </c>
      <c r="AH95" s="763">
        <v>0.0079575849191975048</v>
      </c>
      <c r="AI95" s="763">
        <v>0.0049157721526559414</v>
      </c>
      <c r="AJ95" s="763">
        <v>0.29439199261631305</v>
      </c>
      <c r="AK95" s="763">
        <v>0.37935162353441693</v>
      </c>
      <c r="AL95" s="763">
        <v>0.40046892126371442</v>
      </c>
      <c r="AM95" s="763">
        <v>0.41941869420135192</v>
      </c>
      <c r="AN95" s="763">
        <v>0.54103009691940518</v>
      </c>
      <c r="AO95" s="763">
        <v>0.19421310885539986</v>
      </c>
      <c r="AP95" s="763">
        <v>0.24001177747140029</v>
      </c>
      <c r="AQ95" s="763">
        <v>0.052675403788407273</v>
      </c>
      <c r="AR95" s="764">
        <v>0.035490161108673576</v>
      </c>
      <c r="AS95" s="394"/>
      <c r="AT95" s="397"/>
      <c r="AU95" s="398"/>
      <c r="AV95" s="398"/>
    </row>
    <row r="96" spans="1:48">
      <c r="A96" s="396">
        <v>839</v>
      </c>
      <c r="B96" s="761" t="s">
        <v>1211</v>
      </c>
      <c r="C96" s="762">
        <v>27692</v>
      </c>
      <c r="D96" s="762">
        <v>23855</v>
      </c>
      <c r="E96" s="762">
        <v>18662</v>
      </c>
      <c r="F96" s="762">
        <v>4036</v>
      </c>
      <c r="G96" s="762">
        <v>3777</v>
      </c>
      <c r="H96" s="762">
        <v>3661</v>
      </c>
      <c r="I96" s="762">
        <v>3657</v>
      </c>
      <c r="J96" s="762">
        <v>3531</v>
      </c>
      <c r="K96" s="763">
        <v>0.13996822186913183</v>
      </c>
      <c r="L96" s="763">
        <v>0.18369214175281984</v>
      </c>
      <c r="M96" s="763">
        <v>0.12742471332118746</v>
      </c>
      <c r="N96" s="763">
        <v>0.20117491827298958</v>
      </c>
      <c r="O96" s="763">
        <v>0.63582482140821062</v>
      </c>
      <c r="P96" s="763">
        <v>0.13614790984384384</v>
      </c>
      <c r="Q96" s="763">
        <v>0.084873052053687212</v>
      </c>
      <c r="R96" s="763">
        <v>0.06688617097225745</v>
      </c>
      <c r="S96" s="763">
        <v>0.040112393343517405</v>
      </c>
      <c r="T96" s="763">
        <v>0.036119540866133351</v>
      </c>
      <c r="U96" s="763">
        <v>3.6111512350137265E-05</v>
      </c>
      <c r="V96" s="763">
        <v>0.684496687738088</v>
      </c>
      <c r="W96" s="763">
        <v>0.12137591080499537</v>
      </c>
      <c r="X96" s="763">
        <v>0.070059951986668784</v>
      </c>
      <c r="Y96" s="763">
        <v>0.056476146705154918</v>
      </c>
      <c r="Z96" s="763">
        <v>0.033851358666274027</v>
      </c>
      <c r="AA96" s="763">
        <v>0.033739944098818773</v>
      </c>
      <c r="AB96" s="763">
        <v>0</v>
      </c>
      <c r="AC96" s="763">
        <v>0.034024731659480938</v>
      </c>
      <c r="AD96" s="763">
        <v>0.064346289995076245</v>
      </c>
      <c r="AE96" s="763">
        <v>0.090624298528044281</v>
      </c>
      <c r="AF96" s="763">
        <v>0.00811365307679907</v>
      </c>
      <c r="AG96" s="763">
        <v>0.014186041281135991</v>
      </c>
      <c r="AH96" s="763">
        <v>0.019298674388657518</v>
      </c>
      <c r="AI96" s="763">
        <v>0.0049094733623508456</v>
      </c>
      <c r="AJ96" s="763">
        <v>0.27466336836398536</v>
      </c>
      <c r="AK96" s="763">
        <v>0.3009220624526549</v>
      </c>
      <c r="AL96" s="763">
        <v>0.32576741371308859</v>
      </c>
      <c r="AM96" s="763">
        <v>0.34599739709347904</v>
      </c>
      <c r="AN96" s="763">
        <v>0.430002357219409</v>
      </c>
      <c r="AO96" s="763">
        <v>0.18399772151725916</v>
      </c>
      <c r="AP96" s="763">
        <v>0.19859251984853757</v>
      </c>
      <c r="AQ96" s="763">
        <v>0.053086385280564516</v>
      </c>
      <c r="AR96" s="764">
        <v>0.04208599104645213</v>
      </c>
      <c r="AS96" s="394"/>
      <c r="AT96" s="397"/>
      <c r="AU96" s="398"/>
      <c r="AV96" s="398"/>
    </row>
    <row r="97" spans="1:48">
      <c r="A97" s="396">
        <v>840</v>
      </c>
      <c r="B97" s="761" t="s">
        <v>217</v>
      </c>
      <c r="C97" s="762">
        <v>38844</v>
      </c>
      <c r="D97" s="762">
        <v>33495</v>
      </c>
      <c r="E97" s="762">
        <v>25884</v>
      </c>
      <c r="F97" s="762">
        <v>5466</v>
      </c>
      <c r="G97" s="762">
        <v>5345</v>
      </c>
      <c r="H97" s="762">
        <v>5129</v>
      </c>
      <c r="I97" s="762">
        <v>5134</v>
      </c>
      <c r="J97" s="762">
        <v>4810</v>
      </c>
      <c r="K97" s="763">
        <v>0.26189372876119865</v>
      </c>
      <c r="L97" s="763">
        <v>0.31489935227714555</v>
      </c>
      <c r="M97" s="763">
        <v>0.21549992273218976</v>
      </c>
      <c r="N97" s="763">
        <v>0.32817179004421387</v>
      </c>
      <c r="O97" s="763">
        <v>0.39487440391365625</v>
      </c>
      <c r="P97" s="763">
        <v>0.13276260148749591</v>
      </c>
      <c r="Q97" s="763">
        <v>0.14148429722923114</v>
      </c>
      <c r="R97" s="763">
        <v>0.11525236720590798</v>
      </c>
      <c r="S97" s="763">
        <v>0.080785398142553283</v>
      </c>
      <c r="T97" s="763">
        <v>0.078845076310470691</v>
      </c>
      <c r="U97" s="763">
        <v>0.05599585571068473</v>
      </c>
      <c r="V97" s="763">
        <v>0.41787527131986008</v>
      </c>
      <c r="W97" s="763">
        <v>0.12872233819330145</v>
      </c>
      <c r="X97" s="763">
        <v>0.14187767598468318</v>
      </c>
      <c r="Y97" s="763">
        <v>0.11289649934497265</v>
      </c>
      <c r="Z97" s="763">
        <v>0.072596525530846057</v>
      </c>
      <c r="AA97" s="763">
        <v>0.074653570578994577</v>
      </c>
      <c r="AB97" s="763">
        <v>0.051378119047341957</v>
      </c>
      <c r="AC97" s="763">
        <v>0.0060252362192131405</v>
      </c>
      <c r="AD97" s="763">
        <v>0.011552464142563487</v>
      </c>
      <c r="AE97" s="763">
        <v>0.016982892699509283</v>
      </c>
      <c r="AF97" s="763">
        <v>0.0014303493289550284</v>
      </c>
      <c r="AG97" s="763">
        <v>0.0030552693472397289</v>
      </c>
      <c r="AH97" s="763">
        <v>0.0039443251914075168</v>
      </c>
      <c r="AI97" s="763">
        <v>0.0081407454932687431</v>
      </c>
      <c r="AJ97" s="763">
        <v>0.31534866393655148</v>
      </c>
      <c r="AK97" s="763">
        <v>0.33490389868009895</v>
      </c>
      <c r="AL97" s="763">
        <v>0.30410631756598133</v>
      </c>
      <c r="AM97" s="763">
        <v>0.33950229839207891</v>
      </c>
      <c r="AN97" s="763">
        <v>0.3905187312904822</v>
      </c>
      <c r="AO97" s="763">
        <v>0.15441385913523759</v>
      </c>
      <c r="AP97" s="763">
        <v>0.19050386215886897</v>
      </c>
      <c r="AQ97" s="763">
        <v>0.0494887490199004</v>
      </c>
      <c r="AR97" s="764">
        <v>0.029262882074798297</v>
      </c>
      <c r="AS97" s="394"/>
      <c r="AT97" s="397"/>
      <c r="AU97" s="398"/>
      <c r="AV97" s="398"/>
    </row>
    <row r="98" spans="1:48">
      <c r="A98" s="396">
        <v>841</v>
      </c>
      <c r="B98" s="761" t="s">
        <v>208</v>
      </c>
      <c r="C98" s="762">
        <v>8864</v>
      </c>
      <c r="D98" s="762">
        <v>7671</v>
      </c>
      <c r="E98" s="762">
        <v>5970</v>
      </c>
      <c r="F98" s="762">
        <v>1267</v>
      </c>
      <c r="G98" s="762">
        <v>1191</v>
      </c>
      <c r="H98" s="762">
        <v>1229</v>
      </c>
      <c r="I98" s="762">
        <v>1134</v>
      </c>
      <c r="J98" s="762">
        <v>1149</v>
      </c>
      <c r="K98" s="763">
        <v>0.22675992779783394</v>
      </c>
      <c r="L98" s="763">
        <v>0.2891300304386033</v>
      </c>
      <c r="M98" s="763">
        <v>0.18592964824120603</v>
      </c>
      <c r="N98" s="763">
        <v>0.30689850499581289</v>
      </c>
      <c r="O98" s="763">
        <v>0.45641294130953508</v>
      </c>
      <c r="P98" s="763">
        <v>0.15262544403707703</v>
      </c>
      <c r="Q98" s="763">
        <v>0.1042901953708226</v>
      </c>
      <c r="R98" s="763">
        <v>0.072423588541311729</v>
      </c>
      <c r="S98" s="763">
        <v>0.093725635268262344</v>
      </c>
      <c r="T98" s="763">
        <v>0.084014961560591517</v>
      </c>
      <c r="U98" s="763">
        <v>0.036507233912399656</v>
      </c>
      <c r="V98" s="763">
        <v>0.53027005112093051</v>
      </c>
      <c r="W98" s="763">
        <v>0.13955398925932486</v>
      </c>
      <c r="X98" s="763">
        <v>0.089583512834357962</v>
      </c>
      <c r="Y98" s="763">
        <v>0.054506928434134273</v>
      </c>
      <c r="Z98" s="763">
        <v>0.079380585061548825</v>
      </c>
      <c r="AA98" s="763">
        <v>0.070298287885762381</v>
      </c>
      <c r="AB98" s="763">
        <v>0.036406645403941153</v>
      </c>
      <c r="AC98" s="763">
        <v>0.017316125551176651</v>
      </c>
      <c r="AD98" s="763">
        <v>0.033727698735927111</v>
      </c>
      <c r="AE98" s="763">
        <v>0.046334936019076213</v>
      </c>
      <c r="AF98" s="763">
        <v>0.003352541600053144</v>
      </c>
      <c r="AG98" s="763">
        <v>0.0078793382106863968</v>
      </c>
      <c r="AH98" s="763">
        <v>0.011734842658304932</v>
      </c>
      <c r="AI98" s="763">
        <v>0.010638277079165545</v>
      </c>
      <c r="AJ98" s="763">
        <v>0.31291915290781414</v>
      </c>
      <c r="AK98" s="763">
        <v>0.30920034398732887</v>
      </c>
      <c r="AL98" s="763">
        <v>0.30893583966226851</v>
      </c>
      <c r="AM98" s="763">
        <v>0.36863692267927972</v>
      </c>
      <c r="AN98" s="763">
        <v>0.41445307489011451</v>
      </c>
      <c r="AO98" s="763">
        <v>0.12679072556733983</v>
      </c>
      <c r="AP98" s="763">
        <v>0.187787807291453</v>
      </c>
      <c r="AQ98" s="763">
        <v>0.048910250946464125</v>
      </c>
      <c r="AR98" s="764">
        <v>0.02839172950430818</v>
      </c>
      <c r="AS98" s="394"/>
      <c r="AT98" s="397"/>
      <c r="AU98" s="398"/>
      <c r="AV98" s="398"/>
    </row>
    <row r="99" spans="1:48">
      <c r="A99" s="396">
        <v>845</v>
      </c>
      <c r="B99" s="761" t="s">
        <v>220</v>
      </c>
      <c r="C99" s="762">
        <v>38420</v>
      </c>
      <c r="D99" s="762">
        <v>33187</v>
      </c>
      <c r="E99" s="762">
        <v>24991</v>
      </c>
      <c r="F99" s="762">
        <v>5276</v>
      </c>
      <c r="G99" s="762">
        <v>5166</v>
      </c>
      <c r="H99" s="762">
        <v>5050</v>
      </c>
      <c r="I99" s="762">
        <v>4782</v>
      </c>
      <c r="J99" s="762">
        <v>4717</v>
      </c>
      <c r="K99" s="763">
        <v>0.17001561686621552</v>
      </c>
      <c r="L99" s="763">
        <v>0.213793314256302</v>
      </c>
      <c r="M99" s="763">
        <v>0.15517586331079192</v>
      </c>
      <c r="N99" s="763">
        <v>0.24772448002440828</v>
      </c>
      <c r="O99" s="763">
        <v>0.62511045628388739</v>
      </c>
      <c r="P99" s="763">
        <v>0.13136741414812073</v>
      </c>
      <c r="Q99" s="763">
        <v>0.063138840498033449</v>
      </c>
      <c r="R99" s="763">
        <v>0.061777000348363593</v>
      </c>
      <c r="S99" s="763">
        <v>0.057066763265563786</v>
      </c>
      <c r="T99" s="763">
        <v>0.041156194834558395</v>
      </c>
      <c r="U99" s="763">
        <v>0.020383330621472431</v>
      </c>
      <c r="V99" s="763">
        <v>0.64125585587762757</v>
      </c>
      <c r="W99" s="763">
        <v>0.12749547889105087</v>
      </c>
      <c r="X99" s="763">
        <v>0.057866987683925876</v>
      </c>
      <c r="Y99" s="763">
        <v>0.059404133505976668</v>
      </c>
      <c r="Z99" s="763">
        <v>0.057913144688931988</v>
      </c>
      <c r="AA99" s="763">
        <v>0.036629705488807715</v>
      </c>
      <c r="AB99" s="763">
        <v>0.019434693863679603</v>
      </c>
      <c r="AC99" s="763">
        <v>0.015947491889758168</v>
      </c>
      <c r="AD99" s="763">
        <v>0.028970648178671732</v>
      </c>
      <c r="AE99" s="763">
        <v>0.040465885744622752</v>
      </c>
      <c r="AF99" s="763">
        <v>0.005230340441459951</v>
      </c>
      <c r="AG99" s="763">
        <v>0.0076203481188717075</v>
      </c>
      <c r="AH99" s="763">
        <v>0.010587593325018954</v>
      </c>
      <c r="AI99" s="763">
        <v>0.00598001107420919</v>
      </c>
      <c r="AJ99" s="763">
        <v>0.252940068276664</v>
      </c>
      <c r="AK99" s="763">
        <v>0.36186766453383212</v>
      </c>
      <c r="AL99" s="763">
        <v>0.36431851335195659</v>
      </c>
      <c r="AM99" s="763">
        <v>0.42467761658717873</v>
      </c>
      <c r="AN99" s="763">
        <v>0.47637559295581777</v>
      </c>
      <c r="AO99" s="763">
        <v>0.18312404233952925</v>
      </c>
      <c r="AP99" s="763">
        <v>0.22533019727413334</v>
      </c>
      <c r="AQ99" s="763">
        <v>0.051953695356839039</v>
      </c>
      <c r="AR99" s="764">
        <v>0.039633219404275041</v>
      </c>
      <c r="AS99" s="394"/>
      <c r="AT99" s="397"/>
      <c r="AU99" s="398"/>
      <c r="AV99" s="398"/>
    </row>
    <row r="100" spans="1:48">
      <c r="A100" s="396">
        <v>846</v>
      </c>
      <c r="B100" s="761" t="s">
        <v>192</v>
      </c>
      <c r="C100" s="762">
        <v>18389</v>
      </c>
      <c r="D100" s="762">
        <v>15871</v>
      </c>
      <c r="E100" s="762">
        <v>11719</v>
      </c>
      <c r="F100" s="762">
        <v>2505</v>
      </c>
      <c r="G100" s="762">
        <v>2432</v>
      </c>
      <c r="H100" s="762">
        <v>2313</v>
      </c>
      <c r="I100" s="762">
        <v>2231</v>
      </c>
      <c r="J100" s="762">
        <v>2238</v>
      </c>
      <c r="K100" s="763">
        <v>0.16814399912991462</v>
      </c>
      <c r="L100" s="763">
        <v>0.22441368451419461</v>
      </c>
      <c r="M100" s="763">
        <v>0.15129277242085504</v>
      </c>
      <c r="N100" s="763">
        <v>0.24624543449265293</v>
      </c>
      <c r="O100" s="763">
        <v>0.64554279286306671</v>
      </c>
      <c r="P100" s="763">
        <v>0.082966271844051281</v>
      </c>
      <c r="Q100" s="763">
        <v>0.062888606132041461</v>
      </c>
      <c r="R100" s="763">
        <v>0.055367579311405915</v>
      </c>
      <c r="S100" s="763">
        <v>0.05084830467639008</v>
      </c>
      <c r="T100" s="763">
        <v>0.095529734559770887</v>
      </c>
      <c r="U100" s="763">
        <v>0.0068567106132736257</v>
      </c>
      <c r="V100" s="763">
        <v>0.64265416881957693</v>
      </c>
      <c r="W100" s="763">
        <v>0.079168745297149984</v>
      </c>
      <c r="X100" s="763">
        <v>0.061212963588874118</v>
      </c>
      <c r="Y100" s="763">
        <v>0.057989950589939838</v>
      </c>
      <c r="Z100" s="763">
        <v>0.045782740230577657</v>
      </c>
      <c r="AA100" s="763">
        <v>0.10301685699242336</v>
      </c>
      <c r="AB100" s="763">
        <v>0.010174574481458131</v>
      </c>
      <c r="AC100" s="763">
        <v>0.033263279665507635</v>
      </c>
      <c r="AD100" s="763">
        <v>0.061169090443929736</v>
      </c>
      <c r="AE100" s="763">
        <v>0.085379813392120224</v>
      </c>
      <c r="AF100" s="763">
        <v>0.00839970823525446</v>
      </c>
      <c r="AG100" s="763">
        <v>0.014145494192885837</v>
      </c>
      <c r="AH100" s="763">
        <v>0.021689579162912715</v>
      </c>
      <c r="AI100" s="763">
        <v>0.0043034326860552615</v>
      </c>
      <c r="AJ100" s="763">
        <v>0.31220699332147928</v>
      </c>
      <c r="AK100" s="763">
        <v>0.33931468338964982</v>
      </c>
      <c r="AL100" s="763">
        <v>0.3252039456327625</v>
      </c>
      <c r="AM100" s="763">
        <v>0.35882515014576283</v>
      </c>
      <c r="AN100" s="763">
        <v>0.40461314146723976</v>
      </c>
      <c r="AO100" s="763">
        <v>0.16721142460523972</v>
      </c>
      <c r="AP100" s="763">
        <v>0.19974445627300536</v>
      </c>
      <c r="AQ100" s="763">
        <v>0.047528413725596817</v>
      </c>
      <c r="AR100" s="764">
        <v>0.035598987517636266</v>
      </c>
      <c r="AS100" s="394"/>
      <c r="AT100" s="397"/>
      <c r="AU100" s="398"/>
      <c r="AV100" s="398"/>
    </row>
    <row r="101" spans="1:48">
      <c r="A101" s="396">
        <v>850</v>
      </c>
      <c r="B101" s="761" t="s">
        <v>229</v>
      </c>
      <c r="C101" s="762">
        <v>106421</v>
      </c>
      <c r="D101" s="762">
        <v>91602</v>
      </c>
      <c r="E101" s="762">
        <v>67670</v>
      </c>
      <c r="F101" s="762">
        <v>14165</v>
      </c>
      <c r="G101" s="762">
        <v>13984</v>
      </c>
      <c r="H101" s="762">
        <v>13388</v>
      </c>
      <c r="I101" s="762">
        <v>13359</v>
      </c>
      <c r="J101" s="762">
        <v>12774</v>
      </c>
      <c r="K101" s="763">
        <v>0.11830371825109706</v>
      </c>
      <c r="L101" s="763">
        <v>0.1553422736366461</v>
      </c>
      <c r="M101" s="763">
        <v>0.1087926703118073</v>
      </c>
      <c r="N101" s="763">
        <v>0.18989786242418866</v>
      </c>
      <c r="O101" s="763">
        <v>0.82174644941948172</v>
      </c>
      <c r="P101" s="763">
        <v>0.057704508058605733</v>
      </c>
      <c r="Q101" s="763">
        <v>0.040115852583216982</v>
      </c>
      <c r="R101" s="763">
        <v>0.041609286159761651</v>
      </c>
      <c r="S101" s="763">
        <v>0.029118850866218234</v>
      </c>
      <c r="T101" s="763">
        <v>0.0095167504126057942</v>
      </c>
      <c r="U101" s="763">
        <v>0.0001883025001101402</v>
      </c>
      <c r="V101" s="763">
        <v>0.8183001660343463</v>
      </c>
      <c r="W101" s="763">
        <v>0.058944879966702307</v>
      </c>
      <c r="X101" s="763">
        <v>0.036631678932587217</v>
      </c>
      <c r="Y101" s="763">
        <v>0.044811424861953074</v>
      </c>
      <c r="Z101" s="763">
        <v>0.029791419368329707</v>
      </c>
      <c r="AA101" s="763">
        <v>0.010913462886943049</v>
      </c>
      <c r="AB101" s="763">
        <v>0.00060696794913836993</v>
      </c>
      <c r="AC101" s="763">
        <v>0.017871996604749498</v>
      </c>
      <c r="AD101" s="763">
        <v>0.035283556112038254</v>
      </c>
      <c r="AE101" s="763">
        <v>0.047978915387662281</v>
      </c>
      <c r="AF101" s="763">
        <v>0.0030800740415201</v>
      </c>
      <c r="AG101" s="763">
        <v>0.0056864519787730473</v>
      </c>
      <c r="AH101" s="763">
        <v>0.0078923344882467442</v>
      </c>
      <c r="AI101" s="763">
        <v>0.005440187598298625</v>
      </c>
      <c r="AJ101" s="763">
        <v>0.2511785966799564</v>
      </c>
      <c r="AK101" s="763">
        <v>0.31596501625240042</v>
      </c>
      <c r="AL101" s="763">
        <v>0.31108690560733721</v>
      </c>
      <c r="AM101" s="763">
        <v>0.33545440936482535</v>
      </c>
      <c r="AN101" s="763">
        <v>0.40325372845272123</v>
      </c>
      <c r="AO101" s="763">
        <v>0.14965570001168241</v>
      </c>
      <c r="AP101" s="763">
        <v>0.18855495407605291</v>
      </c>
      <c r="AQ101" s="763">
        <v>0.040571998512827952</v>
      </c>
      <c r="AR101" s="764">
        <v>0.033203890612318925</v>
      </c>
      <c r="AS101" s="394"/>
      <c r="AT101" s="397"/>
      <c r="AU101" s="398"/>
      <c r="AV101" s="398"/>
    </row>
    <row r="102" spans="1:48">
      <c r="A102" s="396">
        <v>851</v>
      </c>
      <c r="B102" s="761" t="s">
        <v>277</v>
      </c>
      <c r="C102" s="762">
        <v>16242</v>
      </c>
      <c r="D102" s="762">
        <v>13882</v>
      </c>
      <c r="E102" s="762">
        <v>9340</v>
      </c>
      <c r="F102" s="762">
        <v>2015</v>
      </c>
      <c r="G102" s="762">
        <v>1921</v>
      </c>
      <c r="H102" s="762">
        <v>1802</v>
      </c>
      <c r="I102" s="762">
        <v>1818</v>
      </c>
      <c r="J102" s="762">
        <v>1784</v>
      </c>
      <c r="K102" s="763">
        <v>0.24067233099371999</v>
      </c>
      <c r="L102" s="763">
        <v>0.30530136599733143</v>
      </c>
      <c r="M102" s="763">
        <v>0.21798715203426128</v>
      </c>
      <c r="N102" s="763">
        <v>0.35558656440215058</v>
      </c>
      <c r="O102" s="763">
        <v>0.39838576354743521</v>
      </c>
      <c r="P102" s="763">
        <v>0.1648049439803346</v>
      </c>
      <c r="Q102" s="763">
        <v>0.079151355124612521</v>
      </c>
      <c r="R102" s="763">
        <v>0.12172814004029166</v>
      </c>
      <c r="S102" s="763">
        <v>0.069877841513699968</v>
      </c>
      <c r="T102" s="763">
        <v>0.11085312853511022</v>
      </c>
      <c r="U102" s="763">
        <v>0.055198827258515971</v>
      </c>
      <c r="V102" s="763">
        <v>0.43739959187915722</v>
      </c>
      <c r="W102" s="763">
        <v>0.15230921181224466</v>
      </c>
      <c r="X102" s="763">
        <v>0.077968565452079711</v>
      </c>
      <c r="Y102" s="763">
        <v>0.10613621138291486</v>
      </c>
      <c r="Z102" s="763">
        <v>0.067044085679430931</v>
      </c>
      <c r="AA102" s="763">
        <v>0.10591450855596164</v>
      </c>
      <c r="AB102" s="763">
        <v>0.053227825238210638</v>
      </c>
      <c r="AC102" s="763">
        <v>0.044540424859335473</v>
      </c>
      <c r="AD102" s="763">
        <v>0.082271094543722778</v>
      </c>
      <c r="AE102" s="763">
        <v>0.11436495106391907</v>
      </c>
      <c r="AF102" s="763">
        <v>0.010827913062645333</v>
      </c>
      <c r="AG102" s="763">
        <v>0.020049206161339286</v>
      </c>
      <c r="AH102" s="763">
        <v>0.02798831450659937</v>
      </c>
      <c r="AI102" s="763">
        <v>0.0066195142710657583</v>
      </c>
      <c r="AJ102" s="763">
        <v>0.30178009385866655</v>
      </c>
      <c r="AK102" s="763">
        <v>0.41726714005367521</v>
      </c>
      <c r="AL102" s="763">
        <v>0.43611405684546262</v>
      </c>
      <c r="AM102" s="763">
        <v>0.43253362477983653</v>
      </c>
      <c r="AN102" s="763">
        <v>0.50439759327935163</v>
      </c>
      <c r="AO102" s="763">
        <v>0.20450592496907855</v>
      </c>
      <c r="AP102" s="763">
        <v>0.2497683856249267</v>
      </c>
      <c r="AQ102" s="763">
        <v>0.048655705141523911</v>
      </c>
      <c r="AR102" s="764">
        <v>0.045872334877309795</v>
      </c>
      <c r="AS102" s="394"/>
      <c r="AT102" s="397"/>
      <c r="AU102" s="398"/>
      <c r="AV102" s="398"/>
    </row>
    <row r="103" spans="1:48">
      <c r="A103" s="396">
        <v>852</v>
      </c>
      <c r="B103" s="761" t="s">
        <v>295</v>
      </c>
      <c r="C103" s="762">
        <v>20020</v>
      </c>
      <c r="D103" s="762">
        <v>17154</v>
      </c>
      <c r="E103" s="762">
        <v>11231</v>
      </c>
      <c r="F103" s="762">
        <v>2540</v>
      </c>
      <c r="G103" s="762">
        <v>2244</v>
      </c>
      <c r="H103" s="762">
        <v>2247</v>
      </c>
      <c r="I103" s="762">
        <v>2108</v>
      </c>
      <c r="J103" s="762">
        <v>2092</v>
      </c>
      <c r="K103" s="763">
        <v>0.23756243756243756</v>
      </c>
      <c r="L103" s="763">
        <v>0.28792567072407771</v>
      </c>
      <c r="M103" s="763">
        <v>0.22918707149853082</v>
      </c>
      <c r="N103" s="763">
        <v>0.34604809739235443</v>
      </c>
      <c r="O103" s="763">
        <v>0.39148785827561128</v>
      </c>
      <c r="P103" s="763">
        <v>0.14365636439326115</v>
      </c>
      <c r="Q103" s="763">
        <v>0.11510358867909463</v>
      </c>
      <c r="R103" s="763">
        <v>0.07789337802830279</v>
      </c>
      <c r="S103" s="763">
        <v>0.083625767071537738</v>
      </c>
      <c r="T103" s="763">
        <v>0.1522396752183986</v>
      </c>
      <c r="U103" s="763">
        <v>0.035993368333793851</v>
      </c>
      <c r="V103" s="763">
        <v>0.39203988959130959</v>
      </c>
      <c r="W103" s="763">
        <v>0.14780518208529969</v>
      </c>
      <c r="X103" s="763">
        <v>0.11432641795031596</v>
      </c>
      <c r="Y103" s="763">
        <v>0.074882022972130716</v>
      </c>
      <c r="Z103" s="763">
        <v>0.090998130175407324</v>
      </c>
      <c r="AA103" s="763">
        <v>0.15270234173270433</v>
      </c>
      <c r="AB103" s="763">
        <v>0.027246015492832371</v>
      </c>
      <c r="AC103" s="763">
        <v>0.063326592302389781</v>
      </c>
      <c r="AD103" s="763">
        <v>0.12078099661138857</v>
      </c>
      <c r="AE103" s="763">
        <v>0.17299808788214693</v>
      </c>
      <c r="AF103" s="763">
        <v>0.014888943197344209</v>
      </c>
      <c r="AG103" s="763">
        <v>0.026654242399356966</v>
      </c>
      <c r="AH103" s="763">
        <v>0.035835610475553066</v>
      </c>
      <c r="AI103" s="763">
        <v>0.0053111150198972678</v>
      </c>
      <c r="AJ103" s="763">
        <v>0.30593163484416186</v>
      </c>
      <c r="AK103" s="763">
        <v>0.36841242222578047</v>
      </c>
      <c r="AL103" s="763">
        <v>0.346863676641247</v>
      </c>
      <c r="AM103" s="763">
        <v>0.38338073970688452</v>
      </c>
      <c r="AN103" s="763">
        <v>0.47092105082384811</v>
      </c>
      <c r="AO103" s="763">
        <v>0.19845475173158303</v>
      </c>
      <c r="AP103" s="763">
        <v>0.22176480975498733</v>
      </c>
      <c r="AQ103" s="763">
        <v>0.045862156114965108</v>
      </c>
      <c r="AR103" s="764">
        <v>0.040551827674648946</v>
      </c>
      <c r="AS103" s="394"/>
      <c r="AT103" s="397"/>
      <c r="AU103" s="398"/>
      <c r="AV103" s="398"/>
    </row>
    <row r="104" spans="1:48">
      <c r="A104" s="396">
        <v>855</v>
      </c>
      <c r="B104" s="761" t="s">
        <v>251</v>
      </c>
      <c r="C104" s="762">
        <v>54660</v>
      </c>
      <c r="D104" s="762">
        <v>46903</v>
      </c>
      <c r="E104" s="762">
        <v>37846</v>
      </c>
      <c r="F104" s="762">
        <v>7915</v>
      </c>
      <c r="G104" s="762">
        <v>7747</v>
      </c>
      <c r="H104" s="762">
        <v>7486</v>
      </c>
      <c r="I104" s="762">
        <v>7363</v>
      </c>
      <c r="J104" s="762">
        <v>7335</v>
      </c>
      <c r="K104" s="763">
        <v>0.098975484815221365</v>
      </c>
      <c r="L104" s="763">
        <v>0.13613034094438745</v>
      </c>
      <c r="M104" s="763">
        <v>0.10413253712413464</v>
      </c>
      <c r="N104" s="763">
        <v>0.18736807003719977</v>
      </c>
      <c r="O104" s="763">
        <v>0.81087875842699253</v>
      </c>
      <c r="P104" s="763">
        <v>0.075527532666381028</v>
      </c>
      <c r="Q104" s="763">
        <v>0.038277558762277106</v>
      </c>
      <c r="R104" s="763">
        <v>0.032911725539355924</v>
      </c>
      <c r="S104" s="763">
        <v>0.017081967190417675</v>
      </c>
      <c r="T104" s="763">
        <v>0.01613789716917079</v>
      </c>
      <c r="U104" s="763">
        <v>0.0091845602454050362</v>
      </c>
      <c r="V104" s="763">
        <v>0.787477668023578</v>
      </c>
      <c r="W104" s="763">
        <v>0.074562241115296732</v>
      </c>
      <c r="X104" s="763">
        <v>0.040323606507502815</v>
      </c>
      <c r="Y104" s="763">
        <v>0.03104827964618086</v>
      </c>
      <c r="Z104" s="763">
        <v>0.020187073931194854</v>
      </c>
      <c r="AA104" s="763">
        <v>0.028168444003305544</v>
      </c>
      <c r="AB104" s="763">
        <v>0.018232686772941171</v>
      </c>
      <c r="AC104" s="763">
        <v>0.016983069846875774</v>
      </c>
      <c r="AD104" s="763">
        <v>0.031100112457610688</v>
      </c>
      <c r="AE104" s="763">
        <v>0.045281950799893632</v>
      </c>
      <c r="AF104" s="763">
        <v>0.0031037066714174636</v>
      </c>
      <c r="AG104" s="763">
        <v>0.0053271213004016009</v>
      </c>
      <c r="AH104" s="763">
        <v>0.0081077892401465353</v>
      </c>
      <c r="AI104" s="763">
        <v>0.0046364086412505872</v>
      </c>
      <c r="AJ104" s="763">
        <v>0.320487792463367</v>
      </c>
      <c r="AK104" s="763">
        <v>0.327943811620327</v>
      </c>
      <c r="AL104" s="763">
        <v>0.33835750527153724</v>
      </c>
      <c r="AM104" s="763">
        <v>0.38434457023947471</v>
      </c>
      <c r="AN104" s="763">
        <v>0.46969215397189656</v>
      </c>
      <c r="AO104" s="763">
        <v>0.18214000599962296</v>
      </c>
      <c r="AP104" s="763">
        <v>0.21160506679262564</v>
      </c>
      <c r="AQ104" s="763">
        <v>0.042763012272451349</v>
      </c>
      <c r="AR104" s="764">
        <v>0.0283914381877744</v>
      </c>
      <c r="AS104" s="394"/>
      <c r="AT104" s="397"/>
      <c r="AU104" s="398"/>
      <c r="AV104" s="398"/>
    </row>
    <row r="105" spans="1:48">
      <c r="A105" s="396">
        <v>856</v>
      </c>
      <c r="B105" s="761" t="s">
        <v>250</v>
      </c>
      <c r="C105" s="762">
        <v>33221</v>
      </c>
      <c r="D105" s="762">
        <v>28713</v>
      </c>
      <c r="E105" s="762">
        <v>19964</v>
      </c>
      <c r="F105" s="762">
        <v>4217</v>
      </c>
      <c r="G105" s="762">
        <v>4109</v>
      </c>
      <c r="H105" s="762">
        <v>3975</v>
      </c>
      <c r="I105" s="762">
        <v>3877</v>
      </c>
      <c r="J105" s="762">
        <v>3786</v>
      </c>
      <c r="K105" s="763">
        <v>0.19120435868878122</v>
      </c>
      <c r="L105" s="763">
        <v>0.25580476252034906</v>
      </c>
      <c r="M105" s="763">
        <v>0.18763774794630336</v>
      </c>
      <c r="N105" s="763">
        <v>0.32469993081456877</v>
      </c>
      <c r="O105" s="763">
        <v>0.315814142589418</v>
      </c>
      <c r="P105" s="763">
        <v>0.11397232799995718</v>
      </c>
      <c r="Q105" s="763">
        <v>0.11269134654952538</v>
      </c>
      <c r="R105" s="763">
        <v>0.080444451936832084</v>
      </c>
      <c r="S105" s="763">
        <v>0.1359839568068793</v>
      </c>
      <c r="T105" s="763">
        <v>0.14934386362223795</v>
      </c>
      <c r="U105" s="763">
        <v>0.091749910495150092</v>
      </c>
      <c r="V105" s="763">
        <v>0.32534440567596917</v>
      </c>
      <c r="W105" s="763">
        <v>0.12235353833711073</v>
      </c>
      <c r="X105" s="763">
        <v>0.1251967529166261</v>
      </c>
      <c r="Y105" s="763">
        <v>0.0775707542868551</v>
      </c>
      <c r="Z105" s="763">
        <v>0.12483601907041815</v>
      </c>
      <c r="AA105" s="763">
        <v>0.14281512607879573</v>
      </c>
      <c r="AB105" s="763">
        <v>0.08188340363422518</v>
      </c>
      <c r="AC105" s="763">
        <v>0.11940472417039767</v>
      </c>
      <c r="AD105" s="763">
        <v>0.22643587686915614</v>
      </c>
      <c r="AE105" s="763">
        <v>0.31573101614191157</v>
      </c>
      <c r="AF105" s="763">
        <v>0.028360566349662535</v>
      </c>
      <c r="AG105" s="763">
        <v>0.05798632576691104</v>
      </c>
      <c r="AH105" s="763">
        <v>0.085308246552795036</v>
      </c>
      <c r="AI105" s="763">
        <v>0.00411232763935806</v>
      </c>
      <c r="AJ105" s="763">
        <v>0.39918263258846287</v>
      </c>
      <c r="AK105" s="763">
        <v>0.38467184768363261</v>
      </c>
      <c r="AL105" s="763">
        <v>0.39175417628854842</v>
      </c>
      <c r="AM105" s="763">
        <v>0.43574494935941477</v>
      </c>
      <c r="AN105" s="763">
        <v>0.51089093518328754</v>
      </c>
      <c r="AO105" s="763">
        <v>0.23195184981884653</v>
      </c>
      <c r="AP105" s="763">
        <v>0.24569106572165092</v>
      </c>
      <c r="AQ105" s="763">
        <v>0.066387865601126125</v>
      </c>
      <c r="AR105" s="764">
        <v>0.050146045246001934</v>
      </c>
      <c r="AS105" s="394"/>
      <c r="AT105" s="397"/>
      <c r="AU105" s="398"/>
      <c r="AV105" s="398"/>
    </row>
    <row r="106" spans="1:48">
      <c r="A106" s="396">
        <v>857</v>
      </c>
      <c r="B106" s="761" t="s">
        <v>284</v>
      </c>
      <c r="C106" s="762">
        <v>2805</v>
      </c>
      <c r="D106" s="762">
        <v>2410</v>
      </c>
      <c r="E106" s="762">
        <v>2677</v>
      </c>
      <c r="F106" s="762">
        <v>597</v>
      </c>
      <c r="G106" s="762">
        <v>573</v>
      </c>
      <c r="H106" s="762">
        <v>499</v>
      </c>
      <c r="I106" s="762">
        <v>513</v>
      </c>
      <c r="J106" s="762">
        <v>495</v>
      </c>
      <c r="K106" s="763">
        <v>0.067736185383244163</v>
      </c>
      <c r="L106" s="763">
        <v>0.097752718387126653</v>
      </c>
      <c r="M106" s="763">
        <v>0.074336944340679875</v>
      </c>
      <c r="N106" s="763">
        <v>0.13492989801770283</v>
      </c>
      <c r="O106" s="763">
        <v>0.98749539494166239</v>
      </c>
      <c r="P106" s="763">
        <v>0.007500364526002311</v>
      </c>
      <c r="Q106" s="763">
        <v>0.0028573886361419271</v>
      </c>
      <c r="R106" s="763">
        <v>0.0017878699195643872</v>
      </c>
      <c r="S106" s="763">
        <v>0</v>
      </c>
      <c r="T106" s="763">
        <v>0.00035898197662903521</v>
      </c>
      <c r="U106" s="763">
        <v>0</v>
      </c>
      <c r="V106" s="763">
        <v>0.95927984365103891</v>
      </c>
      <c r="W106" s="763">
        <v>0.017185615954287164</v>
      </c>
      <c r="X106" s="763">
        <v>0.0078453360614651659</v>
      </c>
      <c r="Y106" s="763">
        <v>0.012327231976092647</v>
      </c>
      <c r="Z106" s="763">
        <v>0.0014942099364960762</v>
      </c>
      <c r="AA106" s="763">
        <v>0.0018677624206200965</v>
      </c>
      <c r="AB106" s="763">
        <v>0</v>
      </c>
      <c r="AC106" s="763">
        <v>0.0092745205419515163</v>
      </c>
      <c r="AD106" s="763">
        <v>0.016062183109083566</v>
      </c>
      <c r="AE106" s="763">
        <v>0.025286852423422688</v>
      </c>
      <c r="AF106" s="763">
        <v>0.0014960965465492158</v>
      </c>
      <c r="AG106" s="763">
        <v>0.0029914584766104813</v>
      </c>
      <c r="AH106" s="763">
        <v>0.0041143197784463976</v>
      </c>
      <c r="AI106" s="763">
        <v>0.0032748981222820934</v>
      </c>
      <c r="AJ106" s="763">
        <v>0.2704967662230704</v>
      </c>
      <c r="AK106" s="763">
        <v>0.32278099454992426</v>
      </c>
      <c r="AL106" s="763">
        <v>0.33095045752111618</v>
      </c>
      <c r="AM106" s="763">
        <v>0.33833066814819823</v>
      </c>
      <c r="AN106" s="763">
        <v>0.4251865599231972</v>
      </c>
      <c r="AO106" s="763">
        <v>0.1718504489337821</v>
      </c>
      <c r="AP106" s="763">
        <v>0.19900123249086529</v>
      </c>
      <c r="AQ106" s="763">
        <v>0.064217945692755685</v>
      </c>
      <c r="AR106" s="764">
        <v>0.034740381023533815</v>
      </c>
      <c r="AS106" s="394"/>
      <c r="AT106" s="397"/>
      <c r="AU106" s="398"/>
      <c r="AV106" s="398"/>
    </row>
    <row r="107" spans="1:48">
      <c r="A107" s="396">
        <v>860</v>
      </c>
      <c r="B107" s="761" t="s">
        <v>299</v>
      </c>
      <c r="C107" s="762">
        <v>66237</v>
      </c>
      <c r="D107" s="762">
        <v>57213</v>
      </c>
      <c r="E107" s="762">
        <v>45259</v>
      </c>
      <c r="F107" s="762">
        <v>9652</v>
      </c>
      <c r="G107" s="762">
        <v>9270</v>
      </c>
      <c r="H107" s="762">
        <v>8886</v>
      </c>
      <c r="I107" s="762">
        <v>8755</v>
      </c>
      <c r="J107" s="762">
        <v>8696</v>
      </c>
      <c r="K107" s="763">
        <v>0.11984238416594953</v>
      </c>
      <c r="L107" s="763">
        <v>0.16827435957651829</v>
      </c>
      <c r="M107" s="763">
        <v>0.11551293665348326</v>
      </c>
      <c r="N107" s="763">
        <v>0.20801079092259586</v>
      </c>
      <c r="O107" s="763">
        <v>0.68803732236516957</v>
      </c>
      <c r="P107" s="763">
        <v>0.10689608041218096</v>
      </c>
      <c r="Q107" s="763">
        <v>0.079395058075769243</v>
      </c>
      <c r="R107" s="763">
        <v>0.062772657283410055</v>
      </c>
      <c r="S107" s="763">
        <v>0.03295348195464317</v>
      </c>
      <c r="T107" s="763">
        <v>0.0229509406292303</v>
      </c>
      <c r="U107" s="763">
        <v>0.0069944592795966277</v>
      </c>
      <c r="V107" s="763">
        <v>0.6938802662537914</v>
      </c>
      <c r="W107" s="763">
        <v>0.10403960476405365</v>
      </c>
      <c r="X107" s="763">
        <v>0.076780848184350478</v>
      </c>
      <c r="Y107" s="763">
        <v>0.055830924375918835</v>
      </c>
      <c r="Z107" s="763">
        <v>0.033377384453372891</v>
      </c>
      <c r="AA107" s="763">
        <v>0.025217513824511567</v>
      </c>
      <c r="AB107" s="763">
        <v>0.010873458144001058</v>
      </c>
      <c r="AC107" s="763">
        <v>0.014923767746413496</v>
      </c>
      <c r="AD107" s="763">
        <v>0.029789148050448817</v>
      </c>
      <c r="AE107" s="763">
        <v>0.043496252413719225</v>
      </c>
      <c r="AF107" s="763">
        <v>0.0029423342104984026</v>
      </c>
      <c r="AG107" s="763">
        <v>0.0058636324685921717</v>
      </c>
      <c r="AH107" s="763">
        <v>0.0092095007398987714</v>
      </c>
      <c r="AI107" s="763">
        <v>0.0068202488058877438</v>
      </c>
      <c r="AJ107" s="763">
        <v>0.271857272635363</v>
      </c>
      <c r="AK107" s="763">
        <v>0.34619280161461297</v>
      </c>
      <c r="AL107" s="763">
        <v>0.34744213606107521</v>
      </c>
      <c r="AM107" s="763">
        <v>0.36666853562991591</v>
      </c>
      <c r="AN107" s="763">
        <v>0.46283100479516137</v>
      </c>
      <c r="AO107" s="763">
        <v>0.1765882865971295</v>
      </c>
      <c r="AP107" s="763">
        <v>0.21159849667451608</v>
      </c>
      <c r="AQ107" s="763">
        <v>0.046319816914922207</v>
      </c>
      <c r="AR107" s="764">
        <v>0.028064707345845812</v>
      </c>
      <c r="AS107" s="394"/>
      <c r="AT107" s="397"/>
      <c r="AU107" s="398"/>
      <c r="AV107" s="398"/>
    </row>
    <row r="108" spans="1:48">
      <c r="A108" s="396">
        <v>861</v>
      </c>
      <c r="B108" s="761" t="s">
        <v>302</v>
      </c>
      <c r="C108" s="762">
        <v>22800</v>
      </c>
      <c r="D108" s="762">
        <v>19713</v>
      </c>
      <c r="E108" s="762">
        <v>13537</v>
      </c>
      <c r="F108" s="762">
        <v>3058</v>
      </c>
      <c r="G108" s="762">
        <v>2823</v>
      </c>
      <c r="H108" s="762">
        <v>2535</v>
      </c>
      <c r="I108" s="762">
        <v>2608</v>
      </c>
      <c r="J108" s="762">
        <v>2513</v>
      </c>
      <c r="K108" s="763">
        <v>0.2832017543859649</v>
      </c>
      <c r="L108" s="763">
        <v>0.36009768126693886</v>
      </c>
      <c r="M108" s="763">
        <v>0.22752456231070398</v>
      </c>
      <c r="N108" s="763">
        <v>0.37968039576549389</v>
      </c>
      <c r="O108" s="763">
        <v>0.26780313563671687</v>
      </c>
      <c r="P108" s="763">
        <v>0.076740653577746412</v>
      </c>
      <c r="Q108" s="763">
        <v>0.094095056412948283</v>
      </c>
      <c r="R108" s="763">
        <v>0.16297008797856272</v>
      </c>
      <c r="S108" s="763">
        <v>0.15264155687910241</v>
      </c>
      <c r="T108" s="763">
        <v>0.12342060856594793</v>
      </c>
      <c r="U108" s="763">
        <v>0.12232890094897535</v>
      </c>
      <c r="V108" s="763">
        <v>0.30550893011161862</v>
      </c>
      <c r="W108" s="763">
        <v>0.067003262226707758</v>
      </c>
      <c r="X108" s="763">
        <v>0.090945212425164776</v>
      </c>
      <c r="Y108" s="763">
        <v>0.16289243790205429</v>
      </c>
      <c r="Z108" s="763">
        <v>0.14789609827057898</v>
      </c>
      <c r="AA108" s="763">
        <v>0.11834393132637377</v>
      </c>
      <c r="AB108" s="763">
        <v>0.10741012773750172</v>
      </c>
      <c r="AC108" s="763">
        <v>0.05088100280235499</v>
      </c>
      <c r="AD108" s="763">
        <v>0.092916920321102534</v>
      </c>
      <c r="AE108" s="763">
        <v>0.13301314039362758</v>
      </c>
      <c r="AF108" s="763">
        <v>0.011622429672216553</v>
      </c>
      <c r="AG108" s="763">
        <v>0.020797295329243973</v>
      </c>
      <c r="AH108" s="763">
        <v>0.032423444188764888</v>
      </c>
      <c r="AI108" s="763">
        <v>0.0087222206447762352</v>
      </c>
      <c r="AJ108" s="763">
        <v>0.35240709334509285</v>
      </c>
      <c r="AK108" s="763">
        <v>0.389210886090004</v>
      </c>
      <c r="AL108" s="763">
        <v>0.39741108389459606</v>
      </c>
      <c r="AM108" s="763">
        <v>0.42295437373955697</v>
      </c>
      <c r="AN108" s="763">
        <v>0.52252879307166167</v>
      </c>
      <c r="AO108" s="763">
        <v>0.18658137610434411</v>
      </c>
      <c r="AP108" s="763">
        <v>0.23838274394755393</v>
      </c>
      <c r="AQ108" s="763">
        <v>0.057374499825301843</v>
      </c>
      <c r="AR108" s="764">
        <v>0.040777129349191095</v>
      </c>
      <c r="AS108" s="394"/>
      <c r="AT108" s="397"/>
      <c r="AU108" s="398"/>
      <c r="AV108" s="398"/>
    </row>
    <row r="109" spans="1:48">
      <c r="A109" s="396">
        <v>865</v>
      </c>
      <c r="B109" s="761" t="s">
        <v>324</v>
      </c>
      <c r="C109" s="762">
        <v>38502</v>
      </c>
      <c r="D109" s="762">
        <v>33221</v>
      </c>
      <c r="E109" s="762">
        <v>25372</v>
      </c>
      <c r="F109" s="762">
        <v>5340</v>
      </c>
      <c r="G109" s="762">
        <v>5183</v>
      </c>
      <c r="H109" s="762">
        <v>5015</v>
      </c>
      <c r="I109" s="762">
        <v>4946</v>
      </c>
      <c r="J109" s="762">
        <v>4888</v>
      </c>
      <c r="K109" s="763">
        <v>0.10869565217391304</v>
      </c>
      <c r="L109" s="763">
        <v>0.14787619708243638</v>
      </c>
      <c r="M109" s="763">
        <v>0.098454989752483041</v>
      </c>
      <c r="N109" s="763">
        <v>0.16870141008289694</v>
      </c>
      <c r="O109" s="763">
        <v>0.874217847168482</v>
      </c>
      <c r="P109" s="763">
        <v>0.052179584609990837</v>
      </c>
      <c r="Q109" s="763">
        <v>0.029358018390880446</v>
      </c>
      <c r="R109" s="763">
        <v>0.0360365372702547</v>
      </c>
      <c r="S109" s="763">
        <v>0.0025506296564517302</v>
      </c>
      <c r="T109" s="763">
        <v>0.005579243829650745</v>
      </c>
      <c r="U109" s="763">
        <v>7.8139074289592007E-05</v>
      </c>
      <c r="V109" s="763">
        <v>0.8782893797384228</v>
      </c>
      <c r="W109" s="763">
        <v>0.052081244701881912</v>
      </c>
      <c r="X109" s="763">
        <v>0.029455353643209798</v>
      </c>
      <c r="Y109" s="763">
        <v>0.032248222088610237</v>
      </c>
      <c r="Z109" s="763">
        <v>0.0029172354525599186</v>
      </c>
      <c r="AA109" s="763">
        <v>0.0048903237951483242</v>
      </c>
      <c r="AB109" s="763">
        <v>0.00011824058016711336</v>
      </c>
      <c r="AC109" s="763">
        <v>0.014271871344643479</v>
      </c>
      <c r="AD109" s="763">
        <v>0.025211425923431736</v>
      </c>
      <c r="AE109" s="763">
        <v>0.035767945544398445</v>
      </c>
      <c r="AF109" s="763">
        <v>0.0038273699961218093</v>
      </c>
      <c r="AG109" s="763">
        <v>0.0060778043747713</v>
      </c>
      <c r="AH109" s="763">
        <v>0.0083675159119498983</v>
      </c>
      <c r="AI109" s="763">
        <v>0.0037864799336785981</v>
      </c>
      <c r="AJ109" s="763">
        <v>0.30632413722424767</v>
      </c>
      <c r="AK109" s="763">
        <v>0.34665100795847781</v>
      </c>
      <c r="AL109" s="763">
        <v>0.34929093700449165</v>
      </c>
      <c r="AM109" s="763">
        <v>0.39217733422409584</v>
      </c>
      <c r="AN109" s="763">
        <v>0.448129132600859</v>
      </c>
      <c r="AO109" s="763">
        <v>0.17557150529350338</v>
      </c>
      <c r="AP109" s="763">
        <v>0.21321702051177327</v>
      </c>
      <c r="AQ109" s="763">
        <v>0.062014968447626745</v>
      </c>
      <c r="AR109" s="764">
        <v>0.03094328209583673</v>
      </c>
      <c r="AS109" s="394"/>
      <c r="AT109" s="397"/>
      <c r="AU109" s="398"/>
      <c r="AV109" s="398"/>
    </row>
    <row r="110" spans="1:48">
      <c r="A110" s="396">
        <v>866</v>
      </c>
      <c r="B110" s="761" t="s">
        <v>307</v>
      </c>
      <c r="C110" s="762">
        <v>20753</v>
      </c>
      <c r="D110" s="762">
        <v>17872</v>
      </c>
      <c r="E110" s="762">
        <v>11592</v>
      </c>
      <c r="F110" s="762">
        <v>2582</v>
      </c>
      <c r="G110" s="762">
        <v>2435</v>
      </c>
      <c r="H110" s="762">
        <v>2194</v>
      </c>
      <c r="I110" s="762">
        <v>2241</v>
      </c>
      <c r="J110" s="762">
        <v>2140</v>
      </c>
      <c r="K110" s="763">
        <v>0.15082156796607718</v>
      </c>
      <c r="L110" s="763">
        <v>0.20036167534760249</v>
      </c>
      <c r="M110" s="763">
        <v>0.14837819185645282</v>
      </c>
      <c r="N110" s="763">
        <v>0.23921332558041553</v>
      </c>
      <c r="O110" s="763">
        <v>0.70716991522064987</v>
      </c>
      <c r="P110" s="763">
        <v>0.048694466577592542</v>
      </c>
      <c r="Q110" s="763">
        <v>0.052692865178932187</v>
      </c>
      <c r="R110" s="763">
        <v>0.06218601940719997</v>
      </c>
      <c r="S110" s="763">
        <v>0.07458205763721823</v>
      </c>
      <c r="T110" s="763">
        <v>0.029166071345237968</v>
      </c>
      <c r="U110" s="763">
        <v>0.025508604633169261</v>
      </c>
      <c r="V110" s="763">
        <v>0.69610814859010961</v>
      </c>
      <c r="W110" s="763">
        <v>0.054607092717001725</v>
      </c>
      <c r="X110" s="763">
        <v>0.04627771685456742</v>
      </c>
      <c r="Y110" s="763">
        <v>0.067564326821934167</v>
      </c>
      <c r="Z110" s="763">
        <v>0.083167137569378671</v>
      </c>
      <c r="AA110" s="763">
        <v>0.032478065187441355</v>
      </c>
      <c r="AB110" s="763">
        <v>0.019797512259567097</v>
      </c>
      <c r="AC110" s="763">
        <v>0.049871977456578204</v>
      </c>
      <c r="AD110" s="763">
        <v>0.0936459925009775</v>
      </c>
      <c r="AE110" s="763">
        <v>0.13204537978199435</v>
      </c>
      <c r="AF110" s="763">
        <v>0.011901255123391569</v>
      </c>
      <c r="AG110" s="763">
        <v>0.021728658884007462</v>
      </c>
      <c r="AH110" s="763">
        <v>0.032149023710097979</v>
      </c>
      <c r="AI110" s="763">
        <v>0.004378095381278202</v>
      </c>
      <c r="AJ110" s="763">
        <v>0.31108997348937445</v>
      </c>
      <c r="AK110" s="763">
        <v>0.39121495743294316</v>
      </c>
      <c r="AL110" s="763">
        <v>0.36488336778184749</v>
      </c>
      <c r="AM110" s="763">
        <v>0.39736841719700794</v>
      </c>
      <c r="AN110" s="763">
        <v>0.5622631322126671</v>
      </c>
      <c r="AO110" s="763">
        <v>0.17606833397707727</v>
      </c>
      <c r="AP110" s="763">
        <v>0.23332040688995512</v>
      </c>
      <c r="AQ110" s="763">
        <v>0.054906988058357316</v>
      </c>
      <c r="AR110" s="764">
        <v>0.041295298849597976</v>
      </c>
      <c r="AS110" s="394"/>
      <c r="AT110" s="397"/>
      <c r="AU110" s="398"/>
      <c r="AV110" s="398"/>
    </row>
    <row r="111" spans="1:48">
      <c r="A111" s="396">
        <v>867</v>
      </c>
      <c r="B111" s="761" t="s">
        <v>188</v>
      </c>
      <c r="C111" s="762">
        <v>9883</v>
      </c>
      <c r="D111" s="762">
        <v>8512</v>
      </c>
      <c r="E111" s="762">
        <v>6397</v>
      </c>
      <c r="F111" s="762">
        <v>1376</v>
      </c>
      <c r="G111" s="762">
        <v>1341</v>
      </c>
      <c r="H111" s="762">
        <v>1209</v>
      </c>
      <c r="I111" s="762">
        <v>1242</v>
      </c>
      <c r="J111" s="762">
        <v>1229</v>
      </c>
      <c r="K111" s="763">
        <v>0.081351816250126427</v>
      </c>
      <c r="L111" s="763">
        <v>0.12769269476667514</v>
      </c>
      <c r="M111" s="763">
        <v>0.096138815069563774</v>
      </c>
      <c r="N111" s="763">
        <v>0.17432492318026563</v>
      </c>
      <c r="O111" s="763">
        <v>0.88640323225159379</v>
      </c>
      <c r="P111" s="763">
        <v>0.07238831678982309</v>
      </c>
      <c r="Q111" s="763">
        <v>0.026322424715805731</v>
      </c>
      <c r="R111" s="763">
        <v>0.014886026242777479</v>
      </c>
      <c r="S111" s="763">
        <v>0</v>
      </c>
      <c r="T111" s="763">
        <v>0</v>
      </c>
      <c r="U111" s="763">
        <v>0</v>
      </c>
      <c r="V111" s="763">
        <v>0.90213965724361223</v>
      </c>
      <c r="W111" s="763">
        <v>0.062842661326325572</v>
      </c>
      <c r="X111" s="763">
        <v>0.023761983024137165</v>
      </c>
      <c r="Y111" s="763">
        <v>0.0110993751293892</v>
      </c>
      <c r="Z111" s="763">
        <v>0</v>
      </c>
      <c r="AA111" s="763">
        <v>0.00015632327653587616</v>
      </c>
      <c r="AB111" s="763">
        <v>0</v>
      </c>
      <c r="AC111" s="763">
        <v>0.028049033567395791</v>
      </c>
      <c r="AD111" s="763">
        <v>0.055265170141113082</v>
      </c>
      <c r="AE111" s="763">
        <v>0.07694654080386551</v>
      </c>
      <c r="AF111" s="763">
        <v>0.0047010101558971522</v>
      </c>
      <c r="AG111" s="763">
        <v>0.010337911037601044</v>
      </c>
      <c r="AH111" s="763">
        <v>0.015042810028312271</v>
      </c>
      <c r="AI111" s="763">
        <v>0.0055244982945491109</v>
      </c>
      <c r="AJ111" s="763">
        <v>0.26711618461701236</v>
      </c>
      <c r="AK111" s="763">
        <v>0.34381814384864368</v>
      </c>
      <c r="AL111" s="763">
        <v>0.3684013795195813</v>
      </c>
      <c r="AM111" s="763">
        <v>0.41421930696400472</v>
      </c>
      <c r="AN111" s="763">
        <v>0.47483713193252219</v>
      </c>
      <c r="AO111" s="763">
        <v>0.17888502605818482</v>
      </c>
      <c r="AP111" s="763">
        <v>0.22090531828735369</v>
      </c>
      <c r="AQ111" s="763">
        <v>0.052138512221605163</v>
      </c>
      <c r="AR111" s="764">
        <v>0.0301703923714241</v>
      </c>
      <c r="AS111" s="394"/>
      <c r="AT111" s="397"/>
      <c r="AU111" s="398"/>
      <c r="AV111" s="398"/>
    </row>
    <row r="112" spans="1:48">
      <c r="A112" s="396">
        <v>868</v>
      </c>
      <c r="B112" s="761" t="s">
        <v>325</v>
      </c>
      <c r="C112" s="762">
        <v>11377</v>
      </c>
      <c r="D112" s="762">
        <v>9777</v>
      </c>
      <c r="E112" s="762">
        <v>8316</v>
      </c>
      <c r="F112" s="762">
        <v>1783</v>
      </c>
      <c r="G112" s="762">
        <v>1725</v>
      </c>
      <c r="H112" s="762">
        <v>1660</v>
      </c>
      <c r="I112" s="762">
        <v>1581</v>
      </c>
      <c r="J112" s="762">
        <v>1567</v>
      </c>
      <c r="K112" s="763">
        <v>0.077700624066098262</v>
      </c>
      <c r="L112" s="763">
        <v>0.11167139958546174</v>
      </c>
      <c r="M112" s="763">
        <v>0.0812890812890813</v>
      </c>
      <c r="N112" s="763">
        <v>0.14982120987686864</v>
      </c>
      <c r="O112" s="763">
        <v>0.86309206353263046</v>
      </c>
      <c r="P112" s="763">
        <v>0.087152157001483682</v>
      </c>
      <c r="Q112" s="763">
        <v>0.048613123229619845</v>
      </c>
      <c r="R112" s="763">
        <v>0.0010547596027072172</v>
      </c>
      <c r="S112" s="763">
        <v>0</v>
      </c>
      <c r="T112" s="763">
        <v>8.789663355893459E-05</v>
      </c>
      <c r="U112" s="763">
        <v>0</v>
      </c>
      <c r="V112" s="763">
        <v>0.8689140078028964</v>
      </c>
      <c r="W112" s="763">
        <v>0.0838246116023894</v>
      </c>
      <c r="X112" s="763">
        <v>0.043172876506209844</v>
      </c>
      <c r="Y112" s="763">
        <v>0.0038480038480038481</v>
      </c>
      <c r="Z112" s="763">
        <v>0</v>
      </c>
      <c r="AA112" s="763">
        <v>0.00024050024050024067</v>
      </c>
      <c r="AB112" s="763">
        <v>0</v>
      </c>
      <c r="AC112" s="763">
        <v>0.035120190053873721</v>
      </c>
      <c r="AD112" s="763">
        <v>0.064908628103844429</v>
      </c>
      <c r="AE112" s="763">
        <v>0.093555248259079959</v>
      </c>
      <c r="AF112" s="763">
        <v>0.00928496428208563</v>
      </c>
      <c r="AG112" s="763">
        <v>0.014945658505672265</v>
      </c>
      <c r="AH112" s="763">
        <v>0.021692001269015014</v>
      </c>
      <c r="AI112" s="763">
        <v>0.0026787358111890597</v>
      </c>
      <c r="AJ112" s="763">
        <v>0.25910547024636238</v>
      </c>
      <c r="AK112" s="763">
        <v>0.35249842130976139</v>
      </c>
      <c r="AL112" s="763">
        <v>0.33276289785652607</v>
      </c>
      <c r="AM112" s="763">
        <v>0.36437861268320609</v>
      </c>
      <c r="AN112" s="763">
        <v>0.43053242739273129</v>
      </c>
      <c r="AO112" s="763">
        <v>0.15521181589359415</v>
      </c>
      <c r="AP112" s="763">
        <v>0.20342902946368333</v>
      </c>
      <c r="AQ112" s="763">
        <v>0.048706251811007253</v>
      </c>
      <c r="AR112" s="764">
        <v>0.033204006918633282</v>
      </c>
      <c r="AS112" s="394"/>
      <c r="AT112" s="397"/>
      <c r="AU112" s="398"/>
      <c r="AV112" s="398"/>
    </row>
    <row r="113" spans="1:48">
      <c r="A113" s="396">
        <v>869</v>
      </c>
      <c r="B113" s="761" t="s">
        <v>320</v>
      </c>
      <c r="C113" s="762">
        <v>13190</v>
      </c>
      <c r="D113" s="762">
        <v>11355</v>
      </c>
      <c r="E113" s="762">
        <v>9624</v>
      </c>
      <c r="F113" s="762">
        <v>2137</v>
      </c>
      <c r="G113" s="762">
        <v>1977</v>
      </c>
      <c r="H113" s="762">
        <v>1919</v>
      </c>
      <c r="I113" s="762">
        <v>1774</v>
      </c>
      <c r="J113" s="762">
        <v>1817</v>
      </c>
      <c r="K113" s="763">
        <v>0.092494313874147083</v>
      </c>
      <c r="L113" s="763">
        <v>0.12449867256805119</v>
      </c>
      <c r="M113" s="763">
        <v>0.083333333333333273</v>
      </c>
      <c r="N113" s="763">
        <v>0.15048357987065605</v>
      </c>
      <c r="O113" s="763">
        <v>0.89206850046836383</v>
      </c>
      <c r="P113" s="763">
        <v>0.033826172454713387</v>
      </c>
      <c r="Q113" s="763">
        <v>0.041795303669761169</v>
      </c>
      <c r="R113" s="763">
        <v>0.005386554924429094</v>
      </c>
      <c r="S113" s="763">
        <v>0.01168073829429867</v>
      </c>
      <c r="T113" s="763">
        <v>0.015242730188434068</v>
      </c>
      <c r="U113" s="763">
        <v>0</v>
      </c>
      <c r="V113" s="763">
        <v>0.88041248443144815</v>
      </c>
      <c r="W113" s="763">
        <v>0.042948439651148529</v>
      </c>
      <c r="X113" s="763">
        <v>0.039612608627100275</v>
      </c>
      <c r="Y113" s="763">
        <v>0.0096741964725580391</v>
      </c>
      <c r="Z113" s="763">
        <v>0.012903769397076754</v>
      </c>
      <c r="AA113" s="763">
        <v>0.014448501420668183</v>
      </c>
      <c r="AB113" s="763">
        <v>0</v>
      </c>
      <c r="AC113" s="763">
        <v>0.026681866104003096</v>
      </c>
      <c r="AD113" s="763">
        <v>0.046533017629881386</v>
      </c>
      <c r="AE113" s="763">
        <v>0.064237000288489124</v>
      </c>
      <c r="AF113" s="763">
        <v>0.0036404551091563011</v>
      </c>
      <c r="AG113" s="763">
        <v>0.0067789075631274559</v>
      </c>
      <c r="AH113" s="763">
        <v>0.0094949226530123814</v>
      </c>
      <c r="AI113" s="763">
        <v>0.0035454716377343377</v>
      </c>
      <c r="AJ113" s="763">
        <v>0.26726014797367165</v>
      </c>
      <c r="AK113" s="763">
        <v>0.34659471984165324</v>
      </c>
      <c r="AL113" s="763">
        <v>0.35189978073935596</v>
      </c>
      <c r="AM113" s="763">
        <v>0.37436669119946991</v>
      </c>
      <c r="AN113" s="763">
        <v>0.44096477451994892</v>
      </c>
      <c r="AO113" s="763">
        <v>0.15846943605439998</v>
      </c>
      <c r="AP113" s="763">
        <v>0.20790594380796279</v>
      </c>
      <c r="AQ113" s="763">
        <v>0.043671900993231191</v>
      </c>
      <c r="AR113" s="764">
        <v>0.027343385105588442</v>
      </c>
      <c r="AS113" s="394"/>
      <c r="AT113" s="397"/>
      <c r="AU113" s="398"/>
      <c r="AV113" s="398"/>
    </row>
    <row r="114" spans="1:48">
      <c r="A114" s="396">
        <v>870</v>
      </c>
      <c r="B114" s="761" t="s">
        <v>278</v>
      </c>
      <c r="C114" s="762">
        <v>13098</v>
      </c>
      <c r="D114" s="762">
        <v>11331</v>
      </c>
      <c r="E114" s="762">
        <v>6954</v>
      </c>
      <c r="F114" s="762">
        <v>1589</v>
      </c>
      <c r="G114" s="762">
        <v>1358</v>
      </c>
      <c r="H114" s="762">
        <v>1288</v>
      </c>
      <c r="I114" s="762">
        <v>1375</v>
      </c>
      <c r="J114" s="762">
        <v>1344</v>
      </c>
      <c r="K114" s="763">
        <v>0.16712475187051462</v>
      </c>
      <c r="L114" s="763">
        <v>0.21886046222195046</v>
      </c>
      <c r="M114" s="763">
        <v>0.13100373885533512</v>
      </c>
      <c r="N114" s="763">
        <v>0.2396300103341078</v>
      </c>
      <c r="O114" s="763">
        <v>0.55145953080887455</v>
      </c>
      <c r="P114" s="763">
        <v>0.15368908608066387</v>
      </c>
      <c r="Q114" s="763">
        <v>0.055899861362720252</v>
      </c>
      <c r="R114" s="763">
        <v>0.0990382978182261</v>
      </c>
      <c r="S114" s="763">
        <v>0.06544190339814808</v>
      </c>
      <c r="T114" s="763">
        <v>0.07447132053136718</v>
      </c>
      <c r="U114" s="763">
        <v>0</v>
      </c>
      <c r="V114" s="763">
        <v>0.60207287718102076</v>
      </c>
      <c r="W114" s="763">
        <v>0.12776116173218802</v>
      </c>
      <c r="X114" s="763">
        <v>0.052803703124863731</v>
      </c>
      <c r="Y114" s="763">
        <v>0.094094228980014641</v>
      </c>
      <c r="Z114" s="763">
        <v>0.054802312899915488</v>
      </c>
      <c r="AA114" s="763">
        <v>0.068465716081997252</v>
      </c>
      <c r="AB114" s="763">
        <v>0</v>
      </c>
      <c r="AC114" s="763">
        <v>0.090325435612227348</v>
      </c>
      <c r="AD114" s="763">
        <v>0.15970062101020011</v>
      </c>
      <c r="AE114" s="763">
        <v>0.22064174319227858</v>
      </c>
      <c r="AF114" s="763">
        <v>0.020049137814145915</v>
      </c>
      <c r="AG114" s="763">
        <v>0.037920620414346518</v>
      </c>
      <c r="AH114" s="763">
        <v>0.05605822293624179</v>
      </c>
      <c r="AI114" s="763">
        <v>0.003538909985884285</v>
      </c>
      <c r="AJ114" s="763">
        <v>0.30284481006670305</v>
      </c>
      <c r="AK114" s="763">
        <v>0.32821117104800063</v>
      </c>
      <c r="AL114" s="763">
        <v>0.36114241474730219</v>
      </c>
      <c r="AM114" s="763">
        <v>0.34394789240398366</v>
      </c>
      <c r="AN114" s="763">
        <v>0.40366196073166777</v>
      </c>
      <c r="AO114" s="763">
        <v>0.17906075342256328</v>
      </c>
      <c r="AP114" s="763">
        <v>0.20314861236933598</v>
      </c>
      <c r="AQ114" s="763">
        <v>0.071315974855356665</v>
      </c>
      <c r="AR114" s="764">
        <v>0.0388782900012923</v>
      </c>
      <c r="AS114" s="394"/>
      <c r="AT114" s="397"/>
      <c r="AU114" s="398"/>
      <c r="AV114" s="398"/>
    </row>
    <row r="115" spans="1:48">
      <c r="A115" s="396">
        <v>871</v>
      </c>
      <c r="B115" s="761" t="s">
        <v>290</v>
      </c>
      <c r="C115" s="762">
        <v>16768</v>
      </c>
      <c r="D115" s="762">
        <v>14474</v>
      </c>
      <c r="E115" s="762">
        <v>11173</v>
      </c>
      <c r="F115" s="762">
        <v>2488</v>
      </c>
      <c r="G115" s="762">
        <v>2368</v>
      </c>
      <c r="H115" s="762">
        <v>2252</v>
      </c>
      <c r="I115" s="762">
        <v>2109</v>
      </c>
      <c r="J115" s="762">
        <v>1956</v>
      </c>
      <c r="K115" s="763">
        <v>0.12571564885496184</v>
      </c>
      <c r="L115" s="763">
        <v>0.18250020600710393</v>
      </c>
      <c r="M115" s="763">
        <v>0.11268235925892774</v>
      </c>
      <c r="N115" s="763">
        <v>0.23380947123204984</v>
      </c>
      <c r="O115" s="763">
        <v>0.58628827636857217</v>
      </c>
      <c r="P115" s="763">
        <v>0.29205305603652693</v>
      </c>
      <c r="Q115" s="763">
        <v>0.085744020859988626</v>
      </c>
      <c r="R115" s="763">
        <v>0.035436943104912688</v>
      </c>
      <c r="S115" s="763">
        <v>5.9637404580152615E-05</v>
      </c>
      <c r="T115" s="763">
        <v>0.0002987914162591011</v>
      </c>
      <c r="U115" s="763">
        <v>0.0001192748091603053</v>
      </c>
      <c r="V115" s="763">
        <v>0.56687346595406141</v>
      </c>
      <c r="W115" s="763">
        <v>0.27929051760394447</v>
      </c>
      <c r="X115" s="763">
        <v>0.097874417195817714</v>
      </c>
      <c r="Y115" s="763">
        <v>0.047100683097041483</v>
      </c>
      <c r="Z115" s="763">
        <v>0.006623233935170514</v>
      </c>
      <c r="AA115" s="763">
        <v>0.0020586792604155866</v>
      </c>
      <c r="AB115" s="763">
        <v>0.00017900295354873378</v>
      </c>
      <c r="AC115" s="763">
        <v>0.11006919406031469</v>
      </c>
      <c r="AD115" s="763">
        <v>0.21374563207289793</v>
      </c>
      <c r="AE115" s="763">
        <v>0.30903902929829241</v>
      </c>
      <c r="AF115" s="763">
        <v>0.01467025610926561</v>
      </c>
      <c r="AG115" s="763">
        <v>0.032417620689675325</v>
      </c>
      <c r="AH115" s="763">
        <v>0.045012601963321026</v>
      </c>
      <c r="AI115" s="763">
        <v>0.0029965666985132641</v>
      </c>
      <c r="AJ115" s="763">
        <v>0.3073605296986146</v>
      </c>
      <c r="AK115" s="763">
        <v>0.26259895600007715</v>
      </c>
      <c r="AL115" s="763">
        <v>0.26805624603983863</v>
      </c>
      <c r="AM115" s="763">
        <v>0.30241511017856049</v>
      </c>
      <c r="AN115" s="763">
        <v>0.39881845832220258</v>
      </c>
      <c r="AO115" s="763">
        <v>0.16704804227140249</v>
      </c>
      <c r="AP115" s="763">
        <v>0.17463086739457886</v>
      </c>
      <c r="AQ115" s="763">
        <v>0.069428792125111161</v>
      </c>
      <c r="AR115" s="764">
        <v>0.036935395498742717</v>
      </c>
      <c r="AS115" s="394"/>
      <c r="AT115" s="397"/>
      <c r="AU115" s="398"/>
      <c r="AV115" s="398"/>
    </row>
    <row r="116" spans="1:48">
      <c r="A116" s="396">
        <v>872</v>
      </c>
      <c r="B116" s="761" t="s">
        <v>327</v>
      </c>
      <c r="C116" s="762">
        <v>15165</v>
      </c>
      <c r="D116" s="762">
        <v>13131</v>
      </c>
      <c r="E116" s="762">
        <v>9295</v>
      </c>
      <c r="F116" s="762">
        <v>2036</v>
      </c>
      <c r="G116" s="762">
        <v>1946</v>
      </c>
      <c r="H116" s="762">
        <v>1879</v>
      </c>
      <c r="I116" s="762">
        <v>1771</v>
      </c>
      <c r="J116" s="762">
        <v>1663</v>
      </c>
      <c r="K116" s="763">
        <v>0.068447082096933731</v>
      </c>
      <c r="L116" s="763">
        <v>0.089342466451661731</v>
      </c>
      <c r="M116" s="763">
        <v>0.072189349112426027</v>
      </c>
      <c r="N116" s="763">
        <v>0.14053886848519515</v>
      </c>
      <c r="O116" s="763">
        <v>0.94333598069070057</v>
      </c>
      <c r="P116" s="763">
        <v>0.021970246759646282</v>
      </c>
      <c r="Q116" s="763">
        <v>0.021569420481888903</v>
      </c>
      <c r="R116" s="763">
        <v>0.0038252332235904243</v>
      </c>
      <c r="S116" s="763">
        <v>0.005474084586457169</v>
      </c>
      <c r="T116" s="763">
        <v>0.0038250342577166112</v>
      </c>
      <c r="U116" s="763">
        <v>0</v>
      </c>
      <c r="V116" s="763">
        <v>0.89720922715780893</v>
      </c>
      <c r="W116" s="763">
        <v>0.033368239611834619</v>
      </c>
      <c r="X116" s="763">
        <v>0.023036177001180567</v>
      </c>
      <c r="Y116" s="763">
        <v>0.012161990884213594</v>
      </c>
      <c r="Z116" s="763">
        <v>0.011625335153376076</v>
      </c>
      <c r="AA116" s="763">
        <v>0.022599030191586163</v>
      </c>
      <c r="AB116" s="763">
        <v>0</v>
      </c>
      <c r="AC116" s="763">
        <v>0.040861369692656795</v>
      </c>
      <c r="AD116" s="763">
        <v>0.080588681230993789</v>
      </c>
      <c r="AE116" s="763">
        <v>0.11605030549635957</v>
      </c>
      <c r="AF116" s="763">
        <v>0.008001959269520088</v>
      </c>
      <c r="AG116" s="763">
        <v>0.018266171838739517</v>
      </c>
      <c r="AH116" s="763">
        <v>0.024534481542121081</v>
      </c>
      <c r="AI116" s="763">
        <v>0.0024922102599342793</v>
      </c>
      <c r="AJ116" s="763">
        <v>0.26019835905066074</v>
      </c>
      <c r="AK116" s="763">
        <v>0.28211294252605135</v>
      </c>
      <c r="AL116" s="763">
        <v>0.29993554243092779</v>
      </c>
      <c r="AM116" s="763">
        <v>0.34142638176201195</v>
      </c>
      <c r="AN116" s="763">
        <v>0.40803163745732951</v>
      </c>
      <c r="AO116" s="763">
        <v>0.15051411881363796</v>
      </c>
      <c r="AP116" s="763">
        <v>0.18412618097329636</v>
      </c>
      <c r="AQ116" s="763">
        <v>0.0478766828915197</v>
      </c>
      <c r="AR116" s="764">
        <v>0.039172418377000806</v>
      </c>
      <c r="AS116" s="394"/>
      <c r="AT116" s="397"/>
      <c r="AU116" s="398"/>
      <c r="AV116" s="398"/>
    </row>
    <row r="117" spans="1:48">
      <c r="A117" s="396">
        <v>873</v>
      </c>
      <c r="B117" s="761" t="s">
        <v>198</v>
      </c>
      <c r="C117" s="762">
        <v>50687</v>
      </c>
      <c r="D117" s="762">
        <v>43557</v>
      </c>
      <c r="E117" s="762">
        <v>30503</v>
      </c>
      <c r="F117" s="762">
        <v>6606</v>
      </c>
      <c r="G117" s="762">
        <v>6305</v>
      </c>
      <c r="H117" s="762">
        <v>5932</v>
      </c>
      <c r="I117" s="762">
        <v>5952</v>
      </c>
      <c r="J117" s="762">
        <v>5708</v>
      </c>
      <c r="K117" s="763">
        <v>0.14303470317832973</v>
      </c>
      <c r="L117" s="763">
        <v>0.17586064483720784</v>
      </c>
      <c r="M117" s="763">
        <v>0.11864406779661023</v>
      </c>
      <c r="N117" s="763">
        <v>0.18746264940456592</v>
      </c>
      <c r="O117" s="763">
        <v>0.78831155479056059</v>
      </c>
      <c r="P117" s="763">
        <v>0.089651918408072254</v>
      </c>
      <c r="Q117" s="763">
        <v>0.065484318377413323</v>
      </c>
      <c r="R117" s="763">
        <v>0.031612779424805844</v>
      </c>
      <c r="S117" s="763">
        <v>0.00911612358682624</v>
      </c>
      <c r="T117" s="763">
        <v>0.013238184177637946</v>
      </c>
      <c r="U117" s="763">
        <v>0.0025851212346839612</v>
      </c>
      <c r="V117" s="763">
        <v>0.81410867724020664</v>
      </c>
      <c r="W117" s="763">
        <v>0.0769755227627582</v>
      </c>
      <c r="X117" s="763">
        <v>0.05884115462467162</v>
      </c>
      <c r="Y117" s="763">
        <v>0.028042390873740084</v>
      </c>
      <c r="Z117" s="763">
        <v>0.0086225258264028687</v>
      </c>
      <c r="AA117" s="763">
        <v>0.010655527789630744</v>
      </c>
      <c r="AB117" s="763">
        <v>0.0027542008825899122</v>
      </c>
      <c r="AC117" s="763">
        <v>0.034471696366629813</v>
      </c>
      <c r="AD117" s="763">
        <v>0.065252072244276066</v>
      </c>
      <c r="AE117" s="763">
        <v>0.094166963062433912</v>
      </c>
      <c r="AF117" s="763">
        <v>0.0066030295662592416</v>
      </c>
      <c r="AG117" s="763">
        <v>0.011830721835991256</v>
      </c>
      <c r="AH117" s="763">
        <v>0.017711697217552391</v>
      </c>
      <c r="AI117" s="763">
        <v>0.0036715501580010597</v>
      </c>
      <c r="AJ117" s="763">
        <v>0.3066551815846093</v>
      </c>
      <c r="AK117" s="763">
        <v>0.36727199828203155</v>
      </c>
      <c r="AL117" s="763">
        <v>0.37927090617248882</v>
      </c>
      <c r="AM117" s="763">
        <v>0.40012562964638454</v>
      </c>
      <c r="AN117" s="763">
        <v>0.46837455226187596</v>
      </c>
      <c r="AO117" s="763">
        <v>0.19455048204824368</v>
      </c>
      <c r="AP117" s="763">
        <v>0.2266324906673487</v>
      </c>
      <c r="AQ117" s="763">
        <v>0.05250437208565395</v>
      </c>
      <c r="AR117" s="764">
        <v>0.028281341979410787</v>
      </c>
      <c r="AS117" s="394"/>
      <c r="AT117" s="397"/>
      <c r="AU117" s="398"/>
      <c r="AV117" s="398"/>
    </row>
    <row r="118" spans="1:48">
      <c r="A118" s="396">
        <v>874</v>
      </c>
      <c r="B118" s="761" t="s">
        <v>275</v>
      </c>
      <c r="C118" s="762">
        <v>21667</v>
      </c>
      <c r="D118" s="762">
        <v>18681</v>
      </c>
      <c r="E118" s="762">
        <v>13394</v>
      </c>
      <c r="F118" s="762">
        <v>2970</v>
      </c>
      <c r="G118" s="762">
        <v>2807</v>
      </c>
      <c r="H118" s="762">
        <v>2609</v>
      </c>
      <c r="I118" s="762">
        <v>2520</v>
      </c>
      <c r="J118" s="762">
        <v>2488</v>
      </c>
      <c r="K118" s="763">
        <v>0.20035076383440251</v>
      </c>
      <c r="L118" s="763">
        <v>0.26347611972071833</v>
      </c>
      <c r="M118" s="763">
        <v>0.17940869045841415</v>
      </c>
      <c r="N118" s="763">
        <v>0.3043604519846741</v>
      </c>
      <c r="O118" s="763">
        <v>0.33246338192758</v>
      </c>
      <c r="P118" s="763">
        <v>0.14293757482079342</v>
      </c>
      <c r="Q118" s="763">
        <v>0.164850380264365</v>
      </c>
      <c r="R118" s="763">
        <v>0.10305086440159952</v>
      </c>
      <c r="S118" s="763">
        <v>0.10433693698742881</v>
      </c>
      <c r="T118" s="763">
        <v>0.10843769883036722</v>
      </c>
      <c r="U118" s="763">
        <v>0.043923162767866064</v>
      </c>
      <c r="V118" s="763">
        <v>0.37823188675495323</v>
      </c>
      <c r="W118" s="763">
        <v>0.13535417980225786</v>
      </c>
      <c r="X118" s="763">
        <v>0.15206074650202911</v>
      </c>
      <c r="Y118" s="763">
        <v>0.0989457963079014</v>
      </c>
      <c r="Z118" s="763">
        <v>0.099409128017672307</v>
      </c>
      <c r="AA118" s="763">
        <v>0.097839064798720954</v>
      </c>
      <c r="AB118" s="763">
        <v>0.038159197816465235</v>
      </c>
      <c r="AC118" s="763">
        <v>0.080895514581667188</v>
      </c>
      <c r="AD118" s="763">
        <v>0.15611118059260387</v>
      </c>
      <c r="AE118" s="763">
        <v>0.22501669736295551</v>
      </c>
      <c r="AF118" s="763">
        <v>0.0126267995140696</v>
      </c>
      <c r="AG118" s="763">
        <v>0.029505680357432423</v>
      </c>
      <c r="AH118" s="763">
        <v>0.04359890780854591</v>
      </c>
      <c r="AI118" s="763">
        <v>0.0031679317463391846</v>
      </c>
      <c r="AJ118" s="763">
        <v>0.36278104025427904</v>
      </c>
      <c r="AK118" s="763">
        <v>0.44074956780023011</v>
      </c>
      <c r="AL118" s="763">
        <v>0.45863266911851391</v>
      </c>
      <c r="AM118" s="763">
        <v>0.46737198101259231</v>
      </c>
      <c r="AN118" s="763">
        <v>0.55720915345452549</v>
      </c>
      <c r="AO118" s="763">
        <v>0.22575386589573</v>
      </c>
      <c r="AP118" s="763">
        <v>0.269299823196348</v>
      </c>
      <c r="AQ118" s="763">
        <v>0.068256518830412838</v>
      </c>
      <c r="AR118" s="764">
        <v>0.049313160412140539</v>
      </c>
      <c r="AS118" s="394"/>
      <c r="AT118" s="397"/>
      <c r="AU118" s="398"/>
      <c r="AV118" s="398"/>
    </row>
    <row r="119" spans="1:48">
      <c r="A119" s="396">
        <v>876</v>
      </c>
      <c r="B119" s="761" t="s">
        <v>227</v>
      </c>
      <c r="C119" s="762">
        <v>10671</v>
      </c>
      <c r="D119" s="762">
        <v>9139</v>
      </c>
      <c r="E119" s="762">
        <v>7610</v>
      </c>
      <c r="F119" s="762">
        <v>1630</v>
      </c>
      <c r="G119" s="762">
        <v>1508</v>
      </c>
      <c r="H119" s="762">
        <v>1582</v>
      </c>
      <c r="I119" s="762">
        <v>1469</v>
      </c>
      <c r="J119" s="762">
        <v>1421</v>
      </c>
      <c r="K119" s="763">
        <v>0.31056133445787648</v>
      </c>
      <c r="L119" s="763">
        <v>0.37159430534137511</v>
      </c>
      <c r="M119" s="763">
        <v>0.28409986859395531</v>
      </c>
      <c r="N119" s="763">
        <v>0.4077586910790908</v>
      </c>
      <c r="O119" s="763">
        <v>0.32676257120262248</v>
      </c>
      <c r="P119" s="763">
        <v>0.10988790033611891</v>
      </c>
      <c r="Q119" s="763">
        <v>0.10819834055271499</v>
      </c>
      <c r="R119" s="763">
        <v>0.074245946771501176</v>
      </c>
      <c r="S119" s="763">
        <v>0.087908023255231171</v>
      </c>
      <c r="T119" s="763">
        <v>0.19841208863952092</v>
      </c>
      <c r="U119" s="763">
        <v>0.094585129242290414</v>
      </c>
      <c r="V119" s="763">
        <v>0.3637658896536683</v>
      </c>
      <c r="W119" s="763">
        <v>0.11423928402961901</v>
      </c>
      <c r="X119" s="763">
        <v>0.0934582911349415</v>
      </c>
      <c r="Y119" s="763">
        <v>0.071255729551923261</v>
      </c>
      <c r="Z119" s="763">
        <v>0.076252936562905382</v>
      </c>
      <c r="AA119" s="763">
        <v>0.18343569643236829</v>
      </c>
      <c r="AB119" s="763">
        <v>0.097592172634574148</v>
      </c>
      <c r="AC119" s="763">
        <v>0.0085643751845037776</v>
      </c>
      <c r="AD119" s="763">
        <v>0.017159666735234197</v>
      </c>
      <c r="AE119" s="763">
        <v>0.02296673655740224</v>
      </c>
      <c r="AF119" s="763">
        <v>0.0028909329829172165</v>
      </c>
      <c r="AG119" s="763">
        <v>0.0059132720105124874</v>
      </c>
      <c r="AH119" s="763">
        <v>0.0081471747700394143</v>
      </c>
      <c r="AI119" s="763">
        <v>0.010417925613217595</v>
      </c>
      <c r="AJ119" s="763">
        <v>0.39973669623614433</v>
      </c>
      <c r="AK119" s="763">
        <v>0.38981726390046517</v>
      </c>
      <c r="AL119" s="763">
        <v>0.35310181985450179</v>
      </c>
      <c r="AM119" s="763">
        <v>0.41160727149781834</v>
      </c>
      <c r="AN119" s="763">
        <v>0.52007475384908264</v>
      </c>
      <c r="AO119" s="763">
        <v>0.18126677960998774</v>
      </c>
      <c r="AP119" s="763">
        <v>0.2300916719167298</v>
      </c>
      <c r="AQ119" s="763">
        <v>0.045172296236668248</v>
      </c>
      <c r="AR119" s="764">
        <v>0.027338210092226461</v>
      </c>
      <c r="AS119" s="394"/>
      <c r="AT119" s="397"/>
      <c r="AU119" s="398"/>
      <c r="AV119" s="398"/>
    </row>
    <row r="120" spans="1:48">
      <c r="A120" s="396">
        <v>877</v>
      </c>
      <c r="B120" s="761" t="s">
        <v>318</v>
      </c>
      <c r="C120" s="762">
        <v>17782</v>
      </c>
      <c r="D120" s="762">
        <v>15266</v>
      </c>
      <c r="E120" s="762">
        <v>12269</v>
      </c>
      <c r="F120" s="762">
        <v>2585</v>
      </c>
      <c r="G120" s="762">
        <v>2481</v>
      </c>
      <c r="H120" s="762">
        <v>2385</v>
      </c>
      <c r="I120" s="762">
        <v>2426</v>
      </c>
      <c r="J120" s="762">
        <v>2392</v>
      </c>
      <c r="K120" s="763">
        <v>0.17022832077381625</v>
      </c>
      <c r="L120" s="763">
        <v>0.20028317107717111</v>
      </c>
      <c r="M120" s="763">
        <v>0.12796478930638194</v>
      </c>
      <c r="N120" s="763">
        <v>0.2025543831218706</v>
      </c>
      <c r="O120" s="763">
        <v>0.61825361134836909</v>
      </c>
      <c r="P120" s="763">
        <v>0.13453386411501503</v>
      </c>
      <c r="Q120" s="763">
        <v>0.07397850293388171</v>
      </c>
      <c r="R120" s="763">
        <v>0.050925104538654412</v>
      </c>
      <c r="S120" s="763">
        <v>0.032739480509152742</v>
      </c>
      <c r="T120" s="763">
        <v>0.077981578695207207</v>
      </c>
      <c r="U120" s="763">
        <v>0.011587857859719858</v>
      </c>
      <c r="V120" s="763">
        <v>0.64972001268610236</v>
      </c>
      <c r="W120" s="763">
        <v>0.11823192754370941</v>
      </c>
      <c r="X120" s="763">
        <v>0.071506416199258183</v>
      </c>
      <c r="Y120" s="763">
        <v>0.042150623982466821</v>
      </c>
      <c r="Z120" s="763">
        <v>0.031796863667415735</v>
      </c>
      <c r="AA120" s="763">
        <v>0.072079074198182227</v>
      </c>
      <c r="AB120" s="763">
        <v>0.014515081722865242</v>
      </c>
      <c r="AC120" s="763">
        <v>0.020096094334827969</v>
      </c>
      <c r="AD120" s="763">
        <v>0.0385937755065067</v>
      </c>
      <c r="AE120" s="763">
        <v>0.056128738469875608</v>
      </c>
      <c r="AF120" s="763">
        <v>0.0041131347769903541</v>
      </c>
      <c r="AG120" s="763">
        <v>0.0080560000876727135</v>
      </c>
      <c r="AH120" s="763">
        <v>0.011252147217838239</v>
      </c>
      <c r="AI120" s="763">
        <v>0.0070401508360503837</v>
      </c>
      <c r="AJ120" s="763">
        <v>0.29874850390997243</v>
      </c>
      <c r="AK120" s="763">
        <v>0.28033953941869744</v>
      </c>
      <c r="AL120" s="763">
        <v>0.29032307926794682</v>
      </c>
      <c r="AM120" s="763">
        <v>0.30277560276851662</v>
      </c>
      <c r="AN120" s="763">
        <v>0.39142429286156133</v>
      </c>
      <c r="AO120" s="763">
        <v>0.14142115935286928</v>
      </c>
      <c r="AP120" s="763">
        <v>0.17434510792538974</v>
      </c>
      <c r="AQ120" s="763">
        <v>0.0407153301090991</v>
      </c>
      <c r="AR120" s="764">
        <v>0.029778117620306879</v>
      </c>
      <c r="AS120" s="394"/>
      <c r="AT120" s="397"/>
      <c r="AU120" s="398"/>
      <c r="AV120" s="398"/>
    </row>
    <row r="121" spans="1:48">
      <c r="A121" s="396">
        <v>878</v>
      </c>
      <c r="B121" s="761" t="s">
        <v>213</v>
      </c>
      <c r="C121" s="762">
        <v>55674</v>
      </c>
      <c r="D121" s="762">
        <v>48166</v>
      </c>
      <c r="E121" s="762">
        <v>35735</v>
      </c>
      <c r="F121" s="762">
        <v>7426</v>
      </c>
      <c r="G121" s="762">
        <v>7248</v>
      </c>
      <c r="H121" s="762">
        <v>7222</v>
      </c>
      <c r="I121" s="762">
        <v>7037</v>
      </c>
      <c r="J121" s="762">
        <v>6802</v>
      </c>
      <c r="K121" s="763">
        <v>0.11791859755002335</v>
      </c>
      <c r="L121" s="763">
        <v>0.17070850388224085</v>
      </c>
      <c r="M121" s="763">
        <v>0.12114173779208059</v>
      </c>
      <c r="N121" s="763">
        <v>0.21976945549148183</v>
      </c>
      <c r="O121" s="763">
        <v>0.79466858746808355</v>
      </c>
      <c r="P121" s="763">
        <v>0.092808180123693268</v>
      </c>
      <c r="Q121" s="763">
        <v>0.053675643315730825</v>
      </c>
      <c r="R121" s="763">
        <v>0.040013986690964461</v>
      </c>
      <c r="S121" s="763">
        <v>0.0069098802385287959</v>
      </c>
      <c r="T121" s="763">
        <v>0.011869651873845392</v>
      </c>
      <c r="U121" s="763">
        <v>5.4070289153833306E-05</v>
      </c>
      <c r="V121" s="763">
        <v>0.80299391961997557</v>
      </c>
      <c r="W121" s="763">
        <v>0.089285546547279923</v>
      </c>
      <c r="X121" s="763">
        <v>0.051830492172357426</v>
      </c>
      <c r="Y121" s="763">
        <v>0.038388832284780641</v>
      </c>
      <c r="Z121" s="763">
        <v>0.0063837964140551068</v>
      </c>
      <c r="AA121" s="763">
        <v>0.011005437600159157</v>
      </c>
      <c r="AB121" s="763">
        <v>0.00011197536139212007</v>
      </c>
      <c r="AC121" s="763">
        <v>0.010269860713528091</v>
      </c>
      <c r="AD121" s="763">
        <v>0.018639482398997591</v>
      </c>
      <c r="AE121" s="763">
        <v>0.026180723523629781</v>
      </c>
      <c r="AF121" s="763">
        <v>0.0033896168295425018</v>
      </c>
      <c r="AG121" s="763">
        <v>0.0049299816713119816</v>
      </c>
      <c r="AH121" s="763">
        <v>0.007311250010281301</v>
      </c>
      <c r="AI121" s="763">
        <v>0.0045999128893240652</v>
      </c>
      <c r="AJ121" s="763">
        <v>0.27900274069473269</v>
      </c>
      <c r="AK121" s="763">
        <v>0.36065357070432874</v>
      </c>
      <c r="AL121" s="763">
        <v>0.35736377751279036</v>
      </c>
      <c r="AM121" s="763">
        <v>0.37366813883361022</v>
      </c>
      <c r="AN121" s="763">
        <v>0.45837092389915385</v>
      </c>
      <c r="AO121" s="763">
        <v>0.16467163000166521</v>
      </c>
      <c r="AP121" s="763">
        <v>0.21297228370109633</v>
      </c>
      <c r="AQ121" s="763">
        <v>0.059155738689319344</v>
      </c>
      <c r="AR121" s="764">
        <v>0.034843880416961084</v>
      </c>
      <c r="AS121" s="394"/>
      <c r="AT121" s="397"/>
      <c r="AU121" s="398"/>
      <c r="AV121" s="398"/>
    </row>
    <row r="122" spans="1:48">
      <c r="A122" s="396">
        <v>879</v>
      </c>
      <c r="B122" s="761" t="s">
        <v>276</v>
      </c>
      <c r="C122" s="762">
        <v>20668</v>
      </c>
      <c r="D122" s="762">
        <v>17798</v>
      </c>
      <c r="E122" s="762">
        <v>13966</v>
      </c>
      <c r="F122" s="762">
        <v>2967</v>
      </c>
      <c r="G122" s="762">
        <v>2895</v>
      </c>
      <c r="H122" s="762">
        <v>2806</v>
      </c>
      <c r="I122" s="762">
        <v>2717</v>
      </c>
      <c r="J122" s="762">
        <v>2581</v>
      </c>
      <c r="K122" s="763">
        <v>0.20940584478420743</v>
      </c>
      <c r="L122" s="763">
        <v>0.27276580449903576</v>
      </c>
      <c r="M122" s="763">
        <v>0.17599885436059007</v>
      </c>
      <c r="N122" s="763">
        <v>0.31386121665719752</v>
      </c>
      <c r="O122" s="763">
        <v>0.48394912075240892</v>
      </c>
      <c r="P122" s="763">
        <v>0.086058590248385566</v>
      </c>
      <c r="Q122" s="763">
        <v>0.083863952085730248</v>
      </c>
      <c r="R122" s="763">
        <v>0.12837246216932555</v>
      </c>
      <c r="S122" s="763">
        <v>0.056860636742394242</v>
      </c>
      <c r="T122" s="763">
        <v>0.08628520961531988</v>
      </c>
      <c r="U122" s="763">
        <v>0.074610028386435545</v>
      </c>
      <c r="V122" s="763">
        <v>0.54558310990272418</v>
      </c>
      <c r="W122" s="763">
        <v>0.08263488184333613</v>
      </c>
      <c r="X122" s="763">
        <v>0.0731033424803724</v>
      </c>
      <c r="Y122" s="763">
        <v>0.11481875905271187</v>
      </c>
      <c r="Z122" s="763">
        <v>0.052307561827472454</v>
      </c>
      <c r="AA122" s="763">
        <v>0.074299424031539121</v>
      </c>
      <c r="AB122" s="763">
        <v>0.057252920861843776</v>
      </c>
      <c r="AC122" s="763">
        <v>0.017779070859737255</v>
      </c>
      <c r="AD122" s="763">
        <v>0.034380071283956051</v>
      </c>
      <c r="AE122" s="763">
        <v>0.048045933670768488</v>
      </c>
      <c r="AF122" s="763">
        <v>0.0037985702920419508</v>
      </c>
      <c r="AG122" s="763">
        <v>0.0074582785275053567</v>
      </c>
      <c r="AH122" s="763">
        <v>0.010613703347005158</v>
      </c>
      <c r="AI122" s="763">
        <v>0.0057758495338352473</v>
      </c>
      <c r="AJ122" s="763">
        <v>0.34633615361762327</v>
      </c>
      <c r="AK122" s="763">
        <v>0.33791241644782305</v>
      </c>
      <c r="AL122" s="763">
        <v>0.34481142967080658</v>
      </c>
      <c r="AM122" s="763">
        <v>0.37061529545090066</v>
      </c>
      <c r="AN122" s="763">
        <v>0.43009951965897036</v>
      </c>
      <c r="AO122" s="763">
        <v>0.19154486291132583</v>
      </c>
      <c r="AP122" s="763">
        <v>0.21057075311323153</v>
      </c>
      <c r="AQ122" s="763">
        <v>0.061853339581302368</v>
      </c>
      <c r="AR122" s="764">
        <v>0.041066121845077283</v>
      </c>
      <c r="AS122" s="394"/>
      <c r="AT122" s="397"/>
      <c r="AU122" s="398"/>
      <c r="AV122" s="398"/>
    </row>
    <row r="123" spans="1:48">
      <c r="A123" s="396">
        <v>880</v>
      </c>
      <c r="B123" s="761" t="s">
        <v>311</v>
      </c>
      <c r="C123" s="762">
        <v>9922</v>
      </c>
      <c r="D123" s="762">
        <v>8577</v>
      </c>
      <c r="E123" s="762">
        <v>7649</v>
      </c>
      <c r="F123" s="762">
        <v>1649</v>
      </c>
      <c r="G123" s="762">
        <v>1614</v>
      </c>
      <c r="H123" s="762">
        <v>1505</v>
      </c>
      <c r="I123" s="762">
        <v>1460</v>
      </c>
      <c r="J123" s="762">
        <v>1421</v>
      </c>
      <c r="K123" s="763">
        <v>0.24037492441040123</v>
      </c>
      <c r="L123" s="763">
        <v>0.30303037725089643</v>
      </c>
      <c r="M123" s="763">
        <v>0.15832134919597327</v>
      </c>
      <c r="N123" s="763">
        <v>0.26568834245397066</v>
      </c>
      <c r="O123" s="763">
        <v>0.39100493637354738</v>
      </c>
      <c r="P123" s="763">
        <v>0.16117432933705861</v>
      </c>
      <c r="Q123" s="763">
        <v>0.13095366836330971</v>
      </c>
      <c r="R123" s="763">
        <v>0.13079707297097423</v>
      </c>
      <c r="S123" s="763">
        <v>0.032419089849451563</v>
      </c>
      <c r="T123" s="763">
        <v>0.15365090310565857</v>
      </c>
      <c r="U123" s="763">
        <v>0</v>
      </c>
      <c r="V123" s="763">
        <v>0.48301344329837848</v>
      </c>
      <c r="W123" s="763">
        <v>0.15359972778435949</v>
      </c>
      <c r="X123" s="763">
        <v>0.1104936112829783</v>
      </c>
      <c r="Y123" s="763">
        <v>0.10697996993878471</v>
      </c>
      <c r="Z123" s="763">
        <v>0.02539151229724711</v>
      </c>
      <c r="AA123" s="763">
        <v>0.12052173539825234</v>
      </c>
      <c r="AB123" s="763">
        <v>0</v>
      </c>
      <c r="AC123" s="763">
        <v>0.010364661653792483</v>
      </c>
      <c r="AD123" s="763">
        <v>0.018441860419575882</v>
      </c>
      <c r="AE123" s="763">
        <v>0.028846707661893282</v>
      </c>
      <c r="AF123" s="763">
        <v>0.006020935881406256</v>
      </c>
      <c r="AG123" s="763">
        <v>0.008769135213531027</v>
      </c>
      <c r="AH123" s="763">
        <v>0.010469512461146451</v>
      </c>
      <c r="AI123" s="763">
        <v>0.0080317735297377</v>
      </c>
      <c r="AJ123" s="763">
        <v>0.30558960225391651</v>
      </c>
      <c r="AK123" s="763">
        <v>0.2642729654589252</v>
      </c>
      <c r="AL123" s="763">
        <v>0.29043292084918126</v>
      </c>
      <c r="AM123" s="763">
        <v>0.32297574511581623</v>
      </c>
      <c r="AN123" s="763">
        <v>0.39590955884005141</v>
      </c>
      <c r="AO123" s="763">
        <v>0.14164124979270809</v>
      </c>
      <c r="AP123" s="763">
        <v>0.17521846624336163</v>
      </c>
      <c r="AQ123" s="763">
        <v>0.060197665294468655</v>
      </c>
      <c r="AR123" s="764">
        <v>0.037571367416928167</v>
      </c>
      <c r="AS123" s="394"/>
      <c r="AT123" s="397"/>
      <c r="AU123" s="398"/>
      <c r="AV123" s="398"/>
    </row>
    <row r="124" spans="1:48">
      <c r="A124" s="396">
        <v>881</v>
      </c>
      <c r="B124" s="761" t="s">
        <v>222</v>
      </c>
      <c r="C124" s="762">
        <v>117743</v>
      </c>
      <c r="D124" s="762">
        <v>101202</v>
      </c>
      <c r="E124" s="762">
        <v>78394</v>
      </c>
      <c r="F124" s="762">
        <v>16709</v>
      </c>
      <c r="G124" s="762">
        <v>15997</v>
      </c>
      <c r="H124" s="762">
        <v>15632</v>
      </c>
      <c r="I124" s="762">
        <v>15040</v>
      </c>
      <c r="J124" s="762">
        <v>15016</v>
      </c>
      <c r="K124" s="763">
        <v>0.13524370875550989</v>
      </c>
      <c r="L124" s="763">
        <v>0.19180588951069413</v>
      </c>
      <c r="M124" s="763">
        <v>0.11489399698956551</v>
      </c>
      <c r="N124" s="763">
        <v>0.21836163001081951</v>
      </c>
      <c r="O124" s="763">
        <v>0.64335438939947664</v>
      </c>
      <c r="P124" s="763">
        <v>0.10500227825663026</v>
      </c>
      <c r="Q124" s="763">
        <v>0.085656901743549382</v>
      </c>
      <c r="R124" s="763">
        <v>0.052389352476383093</v>
      </c>
      <c r="S124" s="763">
        <v>0.047066503442353608</v>
      </c>
      <c r="T124" s="763">
        <v>0.046993174500894748</v>
      </c>
      <c r="U124" s="763">
        <v>0.019537400180712081</v>
      </c>
      <c r="V124" s="763">
        <v>0.650363566186335</v>
      </c>
      <c r="W124" s="763">
        <v>0.10732830913856366</v>
      </c>
      <c r="X124" s="763">
        <v>0.087599171619685709</v>
      </c>
      <c r="Y124" s="763">
        <v>0.050193615971680504</v>
      </c>
      <c r="Z124" s="763">
        <v>0.041949751117424827</v>
      </c>
      <c r="AA124" s="763">
        <v>0.044293415674011939</v>
      </c>
      <c r="AB124" s="763">
        <v>0.018272170292298481</v>
      </c>
      <c r="AC124" s="763">
        <v>0.019364842186875793</v>
      </c>
      <c r="AD124" s="763">
        <v>0.03623439409357268</v>
      </c>
      <c r="AE124" s="763">
        <v>0.0505656076654579</v>
      </c>
      <c r="AF124" s="763">
        <v>0.0038808271009138505</v>
      </c>
      <c r="AG124" s="763">
        <v>0.00698748415606172</v>
      </c>
      <c r="AH124" s="763">
        <v>0.010265864501827272</v>
      </c>
      <c r="AI124" s="763">
        <v>0.003804960476578874</v>
      </c>
      <c r="AJ124" s="763">
        <v>0.28558919687469536</v>
      </c>
      <c r="AK124" s="763">
        <v>0.32507973467005957</v>
      </c>
      <c r="AL124" s="763">
        <v>0.33047186220652019</v>
      </c>
      <c r="AM124" s="763">
        <v>0.35332413789504991</v>
      </c>
      <c r="AN124" s="763">
        <v>0.42972121640258143</v>
      </c>
      <c r="AO124" s="763">
        <v>0.17040706929400659</v>
      </c>
      <c r="AP124" s="763">
        <v>0.20071312385859361</v>
      </c>
      <c r="AQ124" s="763">
        <v>0.053700779156094391</v>
      </c>
      <c r="AR124" s="764">
        <v>0.031578241748515187</v>
      </c>
      <c r="AS124" s="394"/>
      <c r="AT124" s="397"/>
      <c r="AU124" s="398"/>
      <c r="AV124" s="398"/>
    </row>
    <row r="125" spans="1:48">
      <c r="A125" s="396">
        <v>882</v>
      </c>
      <c r="B125" s="761" t="s">
        <v>658</v>
      </c>
      <c r="C125" s="762">
        <v>15070</v>
      </c>
      <c r="D125" s="762">
        <v>12979</v>
      </c>
      <c r="E125" s="762">
        <v>11190</v>
      </c>
      <c r="F125" s="762">
        <v>2396</v>
      </c>
      <c r="G125" s="762">
        <v>2315</v>
      </c>
      <c r="H125" s="762">
        <v>2238</v>
      </c>
      <c r="I125" s="762">
        <v>2151</v>
      </c>
      <c r="J125" s="762">
        <v>2090</v>
      </c>
      <c r="K125" s="763">
        <v>0.18175182481751831</v>
      </c>
      <c r="L125" s="763">
        <v>0.24181808549687672</v>
      </c>
      <c r="M125" s="763">
        <v>0.12707774798927615</v>
      </c>
      <c r="N125" s="763">
        <v>0.24027491742401091</v>
      </c>
      <c r="O125" s="763">
        <v>0.44327484971313458</v>
      </c>
      <c r="P125" s="763">
        <v>0.10528821294867227</v>
      </c>
      <c r="Q125" s="763">
        <v>0.15448644885232191</v>
      </c>
      <c r="R125" s="763">
        <v>0.084719572745779514</v>
      </c>
      <c r="S125" s="763">
        <v>0.075706514558790558</v>
      </c>
      <c r="T125" s="763">
        <v>0.066860532804578932</v>
      </c>
      <c r="U125" s="763">
        <v>0.069663868376722254</v>
      </c>
      <c r="V125" s="763">
        <v>0.50343100872762325</v>
      </c>
      <c r="W125" s="763">
        <v>0.0970765013965159</v>
      </c>
      <c r="X125" s="763">
        <v>0.140356401475791</v>
      </c>
      <c r="Y125" s="763">
        <v>0.073386215927257525</v>
      </c>
      <c r="Z125" s="763">
        <v>0.074004001184647977</v>
      </c>
      <c r="AA125" s="763">
        <v>0.061515130602168018</v>
      </c>
      <c r="AB125" s="763">
        <v>0.050230740685995943</v>
      </c>
      <c r="AC125" s="763">
        <v>0.029920113310117253</v>
      </c>
      <c r="AD125" s="763">
        <v>0.057643278834832015</v>
      </c>
      <c r="AE125" s="763">
        <v>0.081104013708599126</v>
      </c>
      <c r="AF125" s="763">
        <v>0.0042902902214305011</v>
      </c>
      <c r="AG125" s="763">
        <v>0.007790058582108181</v>
      </c>
      <c r="AH125" s="763">
        <v>0.012530254293137002</v>
      </c>
      <c r="AI125" s="763">
        <v>0.0056668953099971425</v>
      </c>
      <c r="AJ125" s="763">
        <v>0.2791164924548733</v>
      </c>
      <c r="AK125" s="763">
        <v>0.24365106184714108</v>
      </c>
      <c r="AL125" s="763">
        <v>0.24037698296619345</v>
      </c>
      <c r="AM125" s="763">
        <v>0.25429068315098036</v>
      </c>
      <c r="AN125" s="763">
        <v>0.313733129657865</v>
      </c>
      <c r="AO125" s="763">
        <v>0.14681424265953641</v>
      </c>
      <c r="AP125" s="763">
        <v>0.15118591266905029</v>
      </c>
      <c r="AQ125" s="763">
        <v>0.051152035312134192</v>
      </c>
      <c r="AR125" s="764">
        <v>0.026649872795639917</v>
      </c>
      <c r="AS125" s="394"/>
      <c r="AT125" s="397"/>
      <c r="AU125" s="398"/>
      <c r="AV125" s="398"/>
    </row>
    <row r="126" spans="1:48">
      <c r="A126" s="396">
        <v>883</v>
      </c>
      <c r="B126" s="761" t="s">
        <v>310</v>
      </c>
      <c r="C126" s="762">
        <v>17196</v>
      </c>
      <c r="D126" s="762">
        <v>14735</v>
      </c>
      <c r="E126" s="762">
        <v>10173</v>
      </c>
      <c r="F126" s="762">
        <v>2243</v>
      </c>
      <c r="G126" s="762">
        <v>2204</v>
      </c>
      <c r="H126" s="762">
        <v>1948</v>
      </c>
      <c r="I126" s="762">
        <v>1947</v>
      </c>
      <c r="J126" s="762">
        <v>1831</v>
      </c>
      <c r="K126" s="763">
        <v>0.15346592230751335</v>
      </c>
      <c r="L126" s="763">
        <v>0.21868850385428679</v>
      </c>
      <c r="M126" s="763">
        <v>0.15069301091123555</v>
      </c>
      <c r="N126" s="763">
        <v>0.2798195689854544</v>
      </c>
      <c r="O126" s="763">
        <v>0.40821238932389214</v>
      </c>
      <c r="P126" s="763">
        <v>0.15107811555083281</v>
      </c>
      <c r="Q126" s="763">
        <v>0.22346901905367478</v>
      </c>
      <c r="R126" s="763">
        <v>0.10248248542255499</v>
      </c>
      <c r="S126" s="763">
        <v>0.024674061007367968</v>
      </c>
      <c r="T126" s="763">
        <v>0.073098507511746486</v>
      </c>
      <c r="U126" s="763">
        <v>0.016985422129930792</v>
      </c>
      <c r="V126" s="763">
        <v>0.45550397599904768</v>
      </c>
      <c r="W126" s="763">
        <v>0.14022008082868798</v>
      </c>
      <c r="X126" s="763">
        <v>0.1926087150276648</v>
      </c>
      <c r="Y126" s="763">
        <v>0.10086535516688012</v>
      </c>
      <c r="Z126" s="763">
        <v>0.018783308007381119</v>
      </c>
      <c r="AA126" s="763">
        <v>0.074126519925950124</v>
      </c>
      <c r="AB126" s="763">
        <v>0.01789204504438819</v>
      </c>
      <c r="AC126" s="763">
        <v>0.040390567086638796</v>
      </c>
      <c r="AD126" s="763">
        <v>0.080518528515894666</v>
      </c>
      <c r="AE126" s="763">
        <v>0.11962546463835337</v>
      </c>
      <c r="AF126" s="763">
        <v>0.0049924389922449347</v>
      </c>
      <c r="AG126" s="763">
        <v>0.011986884973254281</v>
      </c>
      <c r="AH126" s="763">
        <v>0.021571786448755226</v>
      </c>
      <c r="AI126" s="763">
        <v>0.0050843897401623723</v>
      </c>
      <c r="AJ126" s="763">
        <v>0.2692157199252404</v>
      </c>
      <c r="AK126" s="763">
        <v>0.30655226292794419</v>
      </c>
      <c r="AL126" s="763">
        <v>0.36059369559250065</v>
      </c>
      <c r="AM126" s="763">
        <v>0.380697362214005</v>
      </c>
      <c r="AN126" s="763">
        <v>0.4921617556640045</v>
      </c>
      <c r="AO126" s="763">
        <v>0.19976657394071298</v>
      </c>
      <c r="AP126" s="763">
        <v>0.21679022002210446</v>
      </c>
      <c r="AQ126" s="763">
        <v>0.067157646066514365</v>
      </c>
      <c r="AR126" s="764">
        <v>0.0374880576811027</v>
      </c>
      <c r="AS126" s="394"/>
      <c r="AT126" s="397"/>
      <c r="AU126" s="398"/>
      <c r="AV126" s="398"/>
    </row>
    <row r="127" spans="1:48">
      <c r="A127" s="396">
        <v>884</v>
      </c>
      <c r="B127" s="761" t="s">
        <v>234</v>
      </c>
      <c r="C127" s="762">
        <v>13367</v>
      </c>
      <c r="D127" s="762">
        <v>11601</v>
      </c>
      <c r="E127" s="762">
        <v>8916</v>
      </c>
      <c r="F127" s="762">
        <v>1828</v>
      </c>
      <c r="G127" s="762">
        <v>1822</v>
      </c>
      <c r="H127" s="762">
        <v>1741</v>
      </c>
      <c r="I127" s="762">
        <v>1768</v>
      </c>
      <c r="J127" s="762">
        <v>1757</v>
      </c>
      <c r="K127" s="763">
        <v>0.12059549637166152</v>
      </c>
      <c r="L127" s="763">
        <v>0.16781739348743357</v>
      </c>
      <c r="M127" s="763">
        <v>0.099820547330641524</v>
      </c>
      <c r="N127" s="763">
        <v>0.18962012286965751</v>
      </c>
      <c r="O127" s="763">
        <v>0.75734521085840756</v>
      </c>
      <c r="P127" s="763">
        <v>0.079121356600278386</v>
      </c>
      <c r="Q127" s="763">
        <v>0.065934359479250554</v>
      </c>
      <c r="R127" s="763">
        <v>0.082279288015937355</v>
      </c>
      <c r="S127" s="763">
        <v>0.015235065188930729</v>
      </c>
      <c r="T127" s="763">
        <v>8.471985719501965E-05</v>
      </c>
      <c r="U127" s="763">
        <v>0</v>
      </c>
      <c r="V127" s="763">
        <v>0.77451218125515187</v>
      </c>
      <c r="W127" s="763">
        <v>0.081721885532778843</v>
      </c>
      <c r="X127" s="763">
        <v>0.0602924843925105</v>
      </c>
      <c r="Y127" s="763">
        <v>0.069472753752431671</v>
      </c>
      <c r="Z127" s="763">
        <v>0.013888537148778321</v>
      </c>
      <c r="AA127" s="763">
        <v>0.00011215791834903533</v>
      </c>
      <c r="AB127" s="763">
        <v>0</v>
      </c>
      <c r="AC127" s="763">
        <v>0.017266886883684714</v>
      </c>
      <c r="AD127" s="763">
        <v>0.034186415160975731</v>
      </c>
      <c r="AE127" s="763">
        <v>0.053150459211751731</v>
      </c>
      <c r="AF127" s="763">
        <v>0.0028039479587258884</v>
      </c>
      <c r="AG127" s="763">
        <v>0.0058322117541498427</v>
      </c>
      <c r="AH127" s="763">
        <v>0.0082996859578286231</v>
      </c>
      <c r="AI127" s="763">
        <v>0.0084979497401571642</v>
      </c>
      <c r="AJ127" s="763">
        <v>0.29097198757598658</v>
      </c>
      <c r="AK127" s="763">
        <v>0.30585507553215668</v>
      </c>
      <c r="AL127" s="763">
        <v>0.315367073692395</v>
      </c>
      <c r="AM127" s="763">
        <v>0.39334550914795391</v>
      </c>
      <c r="AN127" s="763">
        <v>0.46787745324912561</v>
      </c>
      <c r="AO127" s="763">
        <v>0.17950431189315247</v>
      </c>
      <c r="AP127" s="763">
        <v>0.2059495228619718</v>
      </c>
      <c r="AQ127" s="763">
        <v>0.06201840353108401</v>
      </c>
      <c r="AR127" s="764">
        <v>0.0330889575341464</v>
      </c>
      <c r="AS127" s="394"/>
      <c r="AT127" s="397"/>
      <c r="AU127" s="398"/>
      <c r="AV127" s="398"/>
    </row>
    <row r="128" spans="1:48">
      <c r="A128" s="396">
        <v>885</v>
      </c>
      <c r="B128" s="761" t="s">
        <v>329</v>
      </c>
      <c r="C128" s="762">
        <v>44250</v>
      </c>
      <c r="D128" s="762">
        <v>38038</v>
      </c>
      <c r="E128" s="762">
        <v>29414</v>
      </c>
      <c r="F128" s="762">
        <v>6139</v>
      </c>
      <c r="G128" s="762">
        <v>6175</v>
      </c>
      <c r="H128" s="762">
        <v>5810</v>
      </c>
      <c r="I128" s="762">
        <v>5734</v>
      </c>
      <c r="J128" s="762">
        <v>5556</v>
      </c>
      <c r="K128" s="763">
        <v>0.13950282485875709</v>
      </c>
      <c r="L128" s="763">
        <v>0.18640136725768977</v>
      </c>
      <c r="M128" s="763">
        <v>0.12579043992656555</v>
      </c>
      <c r="N128" s="763">
        <v>0.22062132352114927</v>
      </c>
      <c r="O128" s="763">
        <v>0.69281298909350775</v>
      </c>
      <c r="P128" s="763">
        <v>0.082453595505408719</v>
      </c>
      <c r="Q128" s="763">
        <v>0.050124143438218881</v>
      </c>
      <c r="R128" s="763">
        <v>0.056773546677118654</v>
      </c>
      <c r="S128" s="763">
        <v>0.046801780213245332</v>
      </c>
      <c r="T128" s="763">
        <v>0.050309902601876906</v>
      </c>
      <c r="U128" s="763">
        <v>0.020724042470623694</v>
      </c>
      <c r="V128" s="763">
        <v>0.7043806165443145</v>
      </c>
      <c r="W128" s="763">
        <v>0.07985279397766297</v>
      </c>
      <c r="X128" s="763">
        <v>0.048777372368753721</v>
      </c>
      <c r="Y128" s="763">
        <v>0.056300240508636336</v>
      </c>
      <c r="Z128" s="763">
        <v>0.044385748043070994</v>
      </c>
      <c r="AA128" s="763">
        <v>0.047567315269602124</v>
      </c>
      <c r="AB128" s="763">
        <v>0.018735913287959406</v>
      </c>
      <c r="AC128" s="763">
        <v>0.018055401151541476</v>
      </c>
      <c r="AD128" s="763">
        <v>0.035029390777046469</v>
      </c>
      <c r="AE128" s="763">
        <v>0.050588565315483412</v>
      </c>
      <c r="AF128" s="763">
        <v>0.00282926499563936</v>
      </c>
      <c r="AG128" s="763">
        <v>0.0053871246984225239</v>
      </c>
      <c r="AH128" s="763">
        <v>0.0077780216884109615</v>
      </c>
      <c r="AI128" s="763">
        <v>0.0076539798054288061</v>
      </c>
      <c r="AJ128" s="763">
        <v>0.31113911249089221</v>
      </c>
      <c r="AK128" s="763">
        <v>0.36703768497815126</v>
      </c>
      <c r="AL128" s="763">
        <v>0.37900859245602486</v>
      </c>
      <c r="AM128" s="763">
        <v>0.41161966853421106</v>
      </c>
      <c r="AN128" s="763">
        <v>0.50577809496505544</v>
      </c>
      <c r="AO128" s="763">
        <v>0.21331917125411157</v>
      </c>
      <c r="AP128" s="763">
        <v>0.234856865195433</v>
      </c>
      <c r="AQ128" s="763">
        <v>0.039016475720682189</v>
      </c>
      <c r="AR128" s="764">
        <v>0.028435001783219189</v>
      </c>
      <c r="AS128" s="394"/>
      <c r="AT128" s="397"/>
      <c r="AU128" s="398"/>
      <c r="AV128" s="398"/>
    </row>
    <row r="129" spans="1:48">
      <c r="A129" s="396">
        <v>886</v>
      </c>
      <c r="B129" s="761" t="s">
        <v>242</v>
      </c>
      <c r="C129" s="762">
        <v>126249</v>
      </c>
      <c r="D129" s="762">
        <v>108667</v>
      </c>
      <c r="E129" s="762">
        <v>85674</v>
      </c>
      <c r="F129" s="762">
        <v>18402</v>
      </c>
      <c r="G129" s="762">
        <v>17747</v>
      </c>
      <c r="H129" s="762">
        <v>17108</v>
      </c>
      <c r="I129" s="762">
        <v>16473</v>
      </c>
      <c r="J129" s="762">
        <v>15944</v>
      </c>
      <c r="K129" s="763">
        <v>0.15962106630547568</v>
      </c>
      <c r="L129" s="763">
        <v>0.20257798456958556</v>
      </c>
      <c r="M129" s="763">
        <v>0.13468496860190959</v>
      </c>
      <c r="N129" s="763">
        <v>0.23180725339840241</v>
      </c>
      <c r="O129" s="763">
        <v>0.61461992315970415</v>
      </c>
      <c r="P129" s="763">
        <v>0.11901089009992766</v>
      </c>
      <c r="Q129" s="763">
        <v>0.075505690227131383</v>
      </c>
      <c r="R129" s="763">
        <v>0.053674615499006158</v>
      </c>
      <c r="S129" s="763">
        <v>0.055387930592364312</v>
      </c>
      <c r="T129" s="763">
        <v>0.064711576174577887</v>
      </c>
      <c r="U129" s="763">
        <v>0.017089374247288479</v>
      </c>
      <c r="V129" s="763">
        <v>0.6496161013580265</v>
      </c>
      <c r="W129" s="763">
        <v>0.10805844284536414</v>
      </c>
      <c r="X129" s="763">
        <v>0.074662814789180992</v>
      </c>
      <c r="Y129" s="763">
        <v>0.049643221618271394</v>
      </c>
      <c r="Z129" s="763">
        <v>0.049939133166798079</v>
      </c>
      <c r="AA129" s="763">
        <v>0.053758828193667237</v>
      </c>
      <c r="AB129" s="763">
        <v>0.014321458028691612</v>
      </c>
      <c r="AC129" s="763">
        <v>0.025453988805297766</v>
      </c>
      <c r="AD129" s="763">
        <v>0.049117559410396569</v>
      </c>
      <c r="AE129" s="763">
        <v>0.070668403505782934</v>
      </c>
      <c r="AF129" s="763">
        <v>0.005320833922211457</v>
      </c>
      <c r="AG129" s="763">
        <v>0.0096752090219661777</v>
      </c>
      <c r="AH129" s="763">
        <v>0.014145271653304599</v>
      </c>
      <c r="AI129" s="763">
        <v>0.0056430905618942845</v>
      </c>
      <c r="AJ129" s="763">
        <v>0.25366053040522629</v>
      </c>
      <c r="AK129" s="763">
        <v>0.28985092764359882</v>
      </c>
      <c r="AL129" s="763">
        <v>0.29849284442834184</v>
      </c>
      <c r="AM129" s="763">
        <v>0.31784960395100986</v>
      </c>
      <c r="AN129" s="763">
        <v>0.37746974917069293</v>
      </c>
      <c r="AO129" s="763">
        <v>0.16081471021473423</v>
      </c>
      <c r="AP129" s="763">
        <v>0.18110969286124409</v>
      </c>
      <c r="AQ129" s="763">
        <v>0.059571177991453755</v>
      </c>
      <c r="AR129" s="764">
        <v>0.032135647039905492</v>
      </c>
      <c r="AS129" s="394"/>
      <c r="AT129" s="397"/>
      <c r="AU129" s="398"/>
      <c r="AV129" s="398"/>
    </row>
    <row r="130" spans="1:48">
      <c r="A130" s="396">
        <v>887</v>
      </c>
      <c r="B130" s="761" t="s">
        <v>257</v>
      </c>
      <c r="C130" s="762">
        <v>24662</v>
      </c>
      <c r="D130" s="762">
        <v>21192</v>
      </c>
      <c r="E130" s="762">
        <v>16480</v>
      </c>
      <c r="F130" s="762">
        <v>3535</v>
      </c>
      <c r="G130" s="762">
        <v>3404</v>
      </c>
      <c r="H130" s="762">
        <v>3367</v>
      </c>
      <c r="I130" s="762">
        <v>3140</v>
      </c>
      <c r="J130" s="762">
        <v>3034</v>
      </c>
      <c r="K130" s="763">
        <v>0.16697753629064957</v>
      </c>
      <c r="L130" s="763">
        <v>0.22119884466538089</v>
      </c>
      <c r="M130" s="763">
        <v>0.13998786407766992</v>
      </c>
      <c r="N130" s="763">
        <v>0.25506877285191759</v>
      </c>
      <c r="O130" s="763">
        <v>0.44807351520435584</v>
      </c>
      <c r="P130" s="763">
        <v>0.13469467086464557</v>
      </c>
      <c r="Q130" s="763">
        <v>0.15150975590110613</v>
      </c>
      <c r="R130" s="763">
        <v>0.11964169274762591</v>
      </c>
      <c r="S130" s="763">
        <v>0.04918241710508249</v>
      </c>
      <c r="T130" s="763">
        <v>0.068630385074317471</v>
      </c>
      <c r="U130" s="763">
        <v>0.028267563102866523</v>
      </c>
      <c r="V130" s="763">
        <v>0.48420108177439031</v>
      </c>
      <c r="W130" s="763">
        <v>0.13534405526174639</v>
      </c>
      <c r="X130" s="763">
        <v>0.14684298371125057</v>
      </c>
      <c r="Y130" s="763">
        <v>0.10961148603936291</v>
      </c>
      <c r="Z130" s="763">
        <v>0.043418639712859593</v>
      </c>
      <c r="AA130" s="763">
        <v>0.057207628918927486</v>
      </c>
      <c r="AB130" s="763">
        <v>0.023374124581462635</v>
      </c>
      <c r="AC130" s="763">
        <v>0.029755115218379084</v>
      </c>
      <c r="AD130" s="763">
        <v>0.05757021243211552</v>
      </c>
      <c r="AE130" s="763">
        <v>0.083495803958038892</v>
      </c>
      <c r="AF130" s="763">
        <v>0.0060728604629204062</v>
      </c>
      <c r="AG130" s="763">
        <v>0.010483011449811166</v>
      </c>
      <c r="AH130" s="763">
        <v>0.01692046295223289</v>
      </c>
      <c r="AI130" s="763">
        <v>0.0066645823184121843</v>
      </c>
      <c r="AJ130" s="763">
        <v>0.27737449237336559</v>
      </c>
      <c r="AK130" s="763">
        <v>0.3229465252452024</v>
      </c>
      <c r="AL130" s="763">
        <v>0.34076433049810817</v>
      </c>
      <c r="AM130" s="763">
        <v>0.37195719430278668</v>
      </c>
      <c r="AN130" s="763">
        <v>0.45855673929197494</v>
      </c>
      <c r="AO130" s="763">
        <v>0.21567642560160574</v>
      </c>
      <c r="AP130" s="763">
        <v>0.21522723176005121</v>
      </c>
      <c r="AQ130" s="763">
        <v>0.061693719554054859</v>
      </c>
      <c r="AR130" s="764">
        <v>0.036614713207119308</v>
      </c>
      <c r="AS130" s="394"/>
      <c r="AT130" s="397"/>
      <c r="AU130" s="398"/>
      <c r="AV130" s="398"/>
    </row>
    <row r="131" spans="1:48">
      <c r="A131" s="396">
        <v>888</v>
      </c>
      <c r="B131" s="761" t="s">
        <v>248</v>
      </c>
      <c r="C131" s="762">
        <v>97862</v>
      </c>
      <c r="D131" s="762">
        <v>84305</v>
      </c>
      <c r="E131" s="762">
        <v>65812</v>
      </c>
      <c r="F131" s="762">
        <v>13894</v>
      </c>
      <c r="G131" s="762">
        <v>13400</v>
      </c>
      <c r="H131" s="762">
        <v>13107</v>
      </c>
      <c r="I131" s="762">
        <v>12983</v>
      </c>
      <c r="J131" s="762">
        <v>12428</v>
      </c>
      <c r="K131" s="763">
        <v>0.16851280374404773</v>
      </c>
      <c r="L131" s="763">
        <v>0.21227590082241121</v>
      </c>
      <c r="M131" s="763">
        <v>0.16255394153042</v>
      </c>
      <c r="N131" s="763">
        <v>0.24943029869703359</v>
      </c>
      <c r="O131" s="763">
        <v>0.585048535920353</v>
      </c>
      <c r="P131" s="763">
        <v>0.095756939179179754</v>
      </c>
      <c r="Q131" s="763">
        <v>0.10140605401493197</v>
      </c>
      <c r="R131" s="763">
        <v>0.0805116463887466</v>
      </c>
      <c r="S131" s="763">
        <v>0.049315809556878448</v>
      </c>
      <c r="T131" s="763">
        <v>0.06904787962158998</v>
      </c>
      <c r="U131" s="763">
        <v>0.018913135318320239</v>
      </c>
      <c r="V131" s="763">
        <v>0.60664042591691258</v>
      </c>
      <c r="W131" s="763">
        <v>0.095519866546288412</v>
      </c>
      <c r="X131" s="763">
        <v>0.0972874155979281</v>
      </c>
      <c r="Y131" s="763">
        <v>0.074103906433688763</v>
      </c>
      <c r="Z131" s="763">
        <v>0.047102969828380338</v>
      </c>
      <c r="AA131" s="763">
        <v>0.061740774682052864</v>
      </c>
      <c r="AB131" s="763">
        <v>0.017604640994749014</v>
      </c>
      <c r="AC131" s="763">
        <v>0.028112047582084944</v>
      </c>
      <c r="AD131" s="763">
        <v>0.053237805374383516</v>
      </c>
      <c r="AE131" s="763">
        <v>0.075199237004166267</v>
      </c>
      <c r="AF131" s="763">
        <v>0.0064430496945461282</v>
      </c>
      <c r="AG131" s="763">
        <v>0.010587995235081114</v>
      </c>
      <c r="AH131" s="763">
        <v>0.015225491577870382</v>
      </c>
      <c r="AI131" s="763">
        <v>0.00803033750584677</v>
      </c>
      <c r="AJ131" s="763">
        <v>0.310817401715396</v>
      </c>
      <c r="AK131" s="763">
        <v>0.35016803117008738</v>
      </c>
      <c r="AL131" s="763">
        <v>0.33582851784918605</v>
      </c>
      <c r="AM131" s="763">
        <v>0.37646750340290014</v>
      </c>
      <c r="AN131" s="763">
        <v>0.43999384497038174</v>
      </c>
      <c r="AO131" s="763">
        <v>0.1620790986150776</v>
      </c>
      <c r="AP131" s="763">
        <v>0.20698912241047288</v>
      </c>
      <c r="AQ131" s="763">
        <v>0.047603005008341248</v>
      </c>
      <c r="AR131" s="764">
        <v>0.027703674083198283</v>
      </c>
      <c r="AS131" s="394"/>
      <c r="AT131" s="397"/>
      <c r="AU131" s="398"/>
      <c r="AV131" s="398"/>
    </row>
    <row r="132" spans="1:48">
      <c r="A132" s="396">
        <v>889</v>
      </c>
      <c r="B132" s="761" t="s">
        <v>184</v>
      </c>
      <c r="C132" s="762">
        <v>15254</v>
      </c>
      <c r="D132" s="762">
        <v>13163</v>
      </c>
      <c r="E132" s="762">
        <v>10252</v>
      </c>
      <c r="F132" s="762">
        <v>2141</v>
      </c>
      <c r="G132" s="762">
        <v>2107</v>
      </c>
      <c r="H132" s="762">
        <v>2026</v>
      </c>
      <c r="I132" s="762">
        <v>2040</v>
      </c>
      <c r="J132" s="762">
        <v>1938</v>
      </c>
      <c r="K132" s="763">
        <v>0.18572177789432279</v>
      </c>
      <c r="L132" s="763">
        <v>0.26079016137499711</v>
      </c>
      <c r="M132" s="763">
        <v>0.19098712446351912</v>
      </c>
      <c r="N132" s="763">
        <v>0.30846490211970229</v>
      </c>
      <c r="O132" s="763">
        <v>0.41845942458041524</v>
      </c>
      <c r="P132" s="763">
        <v>0.17012505289865093</v>
      </c>
      <c r="Q132" s="763">
        <v>0.1144523199657307</v>
      </c>
      <c r="R132" s="763">
        <v>0.071338876005326984</v>
      </c>
      <c r="S132" s="763">
        <v>0.056177504279753265</v>
      </c>
      <c r="T132" s="763">
        <v>0.095524264546697435</v>
      </c>
      <c r="U132" s="763">
        <v>0.073922557723425319</v>
      </c>
      <c r="V132" s="763">
        <v>0.42341965713864665</v>
      </c>
      <c r="W132" s="763">
        <v>0.16566393947343541</v>
      </c>
      <c r="X132" s="763">
        <v>0.12372875294212972</v>
      </c>
      <c r="Y132" s="763">
        <v>0.08089066126795226</v>
      </c>
      <c r="Z132" s="763">
        <v>0.053280056280199571</v>
      </c>
      <c r="AA132" s="763">
        <v>0.088609607664322729</v>
      </c>
      <c r="AB132" s="763">
        <v>0.064407325233313592</v>
      </c>
      <c r="AC132" s="763">
        <v>0.06849628198247204</v>
      </c>
      <c r="AD132" s="763">
        <v>0.14459217093372342</v>
      </c>
      <c r="AE132" s="763">
        <v>0.21732641225255053</v>
      </c>
      <c r="AF132" s="763">
        <v>0.014460552647790304</v>
      </c>
      <c r="AG132" s="763">
        <v>0.023940597198652085</v>
      </c>
      <c r="AH132" s="763">
        <v>0.034981570005240263</v>
      </c>
      <c r="AI132" s="763">
        <v>0.0078475643432444134</v>
      </c>
      <c r="AJ132" s="763">
        <v>0.38345407318258856</v>
      </c>
      <c r="AK132" s="763">
        <v>0.35367843445424785</v>
      </c>
      <c r="AL132" s="763">
        <v>0.34387886756355268</v>
      </c>
      <c r="AM132" s="763">
        <v>0.41140054934958131</v>
      </c>
      <c r="AN132" s="763">
        <v>0.48379878553970485</v>
      </c>
      <c r="AO132" s="763">
        <v>0.17916255711014187</v>
      </c>
      <c r="AP132" s="763">
        <v>0.21988648800316771</v>
      </c>
      <c r="AQ132" s="763">
        <v>0.053713992794794427</v>
      </c>
      <c r="AR132" s="764">
        <v>0.0356046763913962</v>
      </c>
      <c r="AS132" s="394"/>
      <c r="AT132" s="397"/>
      <c r="AU132" s="398"/>
      <c r="AV132" s="398"/>
    </row>
    <row r="133" spans="1:48">
      <c r="A133" s="396">
        <v>890</v>
      </c>
      <c r="B133" s="761" t="s">
        <v>186</v>
      </c>
      <c r="C133" s="762">
        <v>11768</v>
      </c>
      <c r="D133" s="762">
        <v>10110</v>
      </c>
      <c r="E133" s="762">
        <v>6364</v>
      </c>
      <c r="F133" s="762">
        <v>1374</v>
      </c>
      <c r="G133" s="762">
        <v>1323</v>
      </c>
      <c r="H133" s="762">
        <v>1142</v>
      </c>
      <c r="I133" s="762">
        <v>1285</v>
      </c>
      <c r="J133" s="762">
        <v>1240</v>
      </c>
      <c r="K133" s="763">
        <v>0.30361998640380694</v>
      </c>
      <c r="L133" s="763">
        <v>0.38654193362292838</v>
      </c>
      <c r="M133" s="763">
        <v>0.3276241357636705</v>
      </c>
      <c r="N133" s="763">
        <v>0.49179460250979729</v>
      </c>
      <c r="O133" s="763">
        <v>0.31079783145608936</v>
      </c>
      <c r="P133" s="763">
        <v>0.12918983839255677</v>
      </c>
      <c r="Q133" s="763">
        <v>0.066041193535288326</v>
      </c>
      <c r="R133" s="763">
        <v>0.062301297688763843</v>
      </c>
      <c r="S133" s="763">
        <v>0.094845012074752058</v>
      </c>
      <c r="T133" s="763">
        <v>0.11932120295712473</v>
      </c>
      <c r="U133" s="763">
        <v>0.21750362389542491</v>
      </c>
      <c r="V133" s="763">
        <v>0.28222981020260546</v>
      </c>
      <c r="W133" s="763">
        <v>0.12541019989462293</v>
      </c>
      <c r="X133" s="763">
        <v>0.065215641894009635</v>
      </c>
      <c r="Y133" s="763">
        <v>0.062079317454481996</v>
      </c>
      <c r="Z133" s="763">
        <v>0.099165030384863559</v>
      </c>
      <c r="AA133" s="763">
        <v>0.12589473131377474</v>
      </c>
      <c r="AB133" s="763">
        <v>0.24000526885564172</v>
      </c>
      <c r="AC133" s="763">
        <v>0.01495640147071339</v>
      </c>
      <c r="AD133" s="763">
        <v>0.030341454209245885</v>
      </c>
      <c r="AE133" s="763">
        <v>0.044974289633050855</v>
      </c>
      <c r="AF133" s="763">
        <v>0.00345997379186136</v>
      </c>
      <c r="AG133" s="763">
        <v>0.0053472089249489508</v>
      </c>
      <c r="AH133" s="763">
        <v>0.0097496462349932825</v>
      </c>
      <c r="AI133" s="763">
        <v>0.012259925254144998</v>
      </c>
      <c r="AJ133" s="763">
        <v>0.36176703281579936</v>
      </c>
      <c r="AK133" s="763">
        <v>0.33846554010200453</v>
      </c>
      <c r="AL133" s="763">
        <v>0.39995437114949156</v>
      </c>
      <c r="AM133" s="763">
        <v>0.41116594112891741</v>
      </c>
      <c r="AN133" s="763">
        <v>0.52561684588930391</v>
      </c>
      <c r="AO133" s="763">
        <v>0.20635945711173209</v>
      </c>
      <c r="AP133" s="763">
        <v>0.23402104114793984</v>
      </c>
      <c r="AQ133" s="763">
        <v>0.065803145814177108</v>
      </c>
      <c r="AR133" s="764">
        <v>0.049986871474455991</v>
      </c>
      <c r="AS133" s="394"/>
      <c r="AT133" s="397"/>
      <c r="AU133" s="398"/>
      <c r="AV133" s="398"/>
    </row>
    <row r="134" spans="1:48">
      <c r="A134" s="396">
        <v>891</v>
      </c>
      <c r="B134" s="761" t="s">
        <v>272</v>
      </c>
      <c r="C134" s="762">
        <v>66837</v>
      </c>
      <c r="D134" s="762">
        <v>57626</v>
      </c>
      <c r="E134" s="762">
        <v>43036</v>
      </c>
      <c r="F134" s="762">
        <v>9210</v>
      </c>
      <c r="G134" s="762">
        <v>8983</v>
      </c>
      <c r="H134" s="762">
        <v>8647</v>
      </c>
      <c r="I134" s="762">
        <v>8189</v>
      </c>
      <c r="J134" s="762">
        <v>8007</v>
      </c>
      <c r="K134" s="763">
        <v>0.15293924024118377</v>
      </c>
      <c r="L134" s="763">
        <v>0.20079867505336232</v>
      </c>
      <c r="M134" s="763">
        <v>0.146110233293057</v>
      </c>
      <c r="N134" s="763">
        <v>0.24449170739548182</v>
      </c>
      <c r="O134" s="763">
        <v>0.60785335666829088</v>
      </c>
      <c r="P134" s="763">
        <v>0.10339392003427592</v>
      </c>
      <c r="Q134" s="763">
        <v>0.0796800287442157</v>
      </c>
      <c r="R134" s="763">
        <v>0.0681424955823129</v>
      </c>
      <c r="S134" s="763">
        <v>0.066022662365843143</v>
      </c>
      <c r="T134" s="763">
        <v>0.058034667422705764</v>
      </c>
      <c r="U134" s="763">
        <v>0.016872869182355754</v>
      </c>
      <c r="V134" s="763">
        <v>0.60802796584898022</v>
      </c>
      <c r="W134" s="763">
        <v>0.10320675780836071</v>
      </c>
      <c r="X134" s="763">
        <v>0.08119746490405215</v>
      </c>
      <c r="Y134" s="763">
        <v>0.063999372969226809</v>
      </c>
      <c r="Z134" s="763">
        <v>0.0659970799972562</v>
      </c>
      <c r="AA134" s="763">
        <v>0.059200641130303468</v>
      </c>
      <c r="AB134" s="763">
        <v>0.018370717341820528</v>
      </c>
      <c r="AC134" s="763">
        <v>0.017747583208566849</v>
      </c>
      <c r="AD134" s="763">
        <v>0.03420171965881965</v>
      </c>
      <c r="AE134" s="763">
        <v>0.047847375248491517</v>
      </c>
      <c r="AF134" s="763">
        <v>0.0031819702236865559</v>
      </c>
      <c r="AG134" s="763">
        <v>0.00603354867371625</v>
      </c>
      <c r="AH134" s="763">
        <v>0.0088709686189948258</v>
      </c>
      <c r="AI134" s="763">
        <v>0.0056235098778681832</v>
      </c>
      <c r="AJ134" s="763">
        <v>0.32225665946959825</v>
      </c>
      <c r="AK134" s="763">
        <v>0.34537389539811431</v>
      </c>
      <c r="AL134" s="763">
        <v>0.34912176231119518</v>
      </c>
      <c r="AM134" s="763">
        <v>0.37478408891232129</v>
      </c>
      <c r="AN134" s="763">
        <v>0.45715903978657946</v>
      </c>
      <c r="AO134" s="763">
        <v>0.17684237791148191</v>
      </c>
      <c r="AP134" s="763">
        <v>0.2124141669563531</v>
      </c>
      <c r="AQ134" s="763">
        <v>0.0496985405347855</v>
      </c>
      <c r="AR134" s="764">
        <v>0.025125861352161227</v>
      </c>
      <c r="AS134" s="394"/>
      <c r="AT134" s="397"/>
      <c r="AU134" s="398"/>
      <c r="AV134" s="398"/>
    </row>
    <row r="135" spans="1:48">
      <c r="A135" s="396">
        <v>892</v>
      </c>
      <c r="B135" s="761" t="s">
        <v>271</v>
      </c>
      <c r="C135" s="762">
        <v>26656</v>
      </c>
      <c r="D135" s="762">
        <v>22944</v>
      </c>
      <c r="E135" s="762">
        <v>15130</v>
      </c>
      <c r="F135" s="762">
        <v>3292</v>
      </c>
      <c r="G135" s="762">
        <v>3160</v>
      </c>
      <c r="H135" s="762">
        <v>2949</v>
      </c>
      <c r="I135" s="762">
        <v>2869</v>
      </c>
      <c r="J135" s="762">
        <v>2860</v>
      </c>
      <c r="K135" s="763">
        <v>0.28031212484994</v>
      </c>
      <c r="L135" s="763">
        <v>0.36767372363080003</v>
      </c>
      <c r="M135" s="763">
        <v>0.29444811632518186</v>
      </c>
      <c r="N135" s="763">
        <v>0.43781825584056122</v>
      </c>
      <c r="O135" s="763">
        <v>0.1711658886018472</v>
      </c>
      <c r="P135" s="763">
        <v>0.072169920551419089</v>
      </c>
      <c r="Q135" s="763">
        <v>0.074621110273444313</v>
      </c>
      <c r="R135" s="763">
        <v>0.11644353739575011</v>
      </c>
      <c r="S135" s="763">
        <v>0.17030554673947912</v>
      </c>
      <c r="T135" s="763">
        <v>0.23713680835304454</v>
      </c>
      <c r="U135" s="763">
        <v>0.1581571880850155</v>
      </c>
      <c r="V135" s="763">
        <v>0.1935872554401179</v>
      </c>
      <c r="W135" s="763">
        <v>0.070874220404373078</v>
      </c>
      <c r="X135" s="763">
        <v>0.069844791415764163</v>
      </c>
      <c r="Y135" s="763">
        <v>0.11254231224755462</v>
      </c>
      <c r="Z135" s="763">
        <v>0.16494141367613302</v>
      </c>
      <c r="AA135" s="763">
        <v>0.23412435110851823</v>
      </c>
      <c r="AB135" s="763">
        <v>0.15408565570753921</v>
      </c>
      <c r="AC135" s="763">
        <v>0.067822950614132876</v>
      </c>
      <c r="AD135" s="763">
        <v>0.13097847541678695</v>
      </c>
      <c r="AE135" s="763">
        <v>0.188545027812882</v>
      </c>
      <c r="AF135" s="763">
        <v>0.016992369849030825</v>
      </c>
      <c r="AG135" s="763">
        <v>0.032581263744860818</v>
      </c>
      <c r="AH135" s="763">
        <v>0.04851371376604232</v>
      </c>
      <c r="AI135" s="763">
        <v>0.0044901739325252914</v>
      </c>
      <c r="AJ135" s="763">
        <v>0.3807181666777063</v>
      </c>
      <c r="AK135" s="763">
        <v>0.37853301807200629</v>
      </c>
      <c r="AL135" s="763">
        <v>0.395103237350931</v>
      </c>
      <c r="AM135" s="763">
        <v>0.43576532886004488</v>
      </c>
      <c r="AN135" s="763">
        <v>0.51237551655075886</v>
      </c>
      <c r="AO135" s="763">
        <v>0.23015937798749467</v>
      </c>
      <c r="AP135" s="763">
        <v>0.24507870157891815</v>
      </c>
      <c r="AQ135" s="763">
        <v>0.0742945042535136</v>
      </c>
      <c r="AR135" s="764">
        <v>0.040004781233974322</v>
      </c>
      <c r="AS135" s="394"/>
      <c r="AT135" s="397"/>
      <c r="AU135" s="398"/>
      <c r="AV135" s="398"/>
    </row>
    <row r="136" spans="1:48">
      <c r="A136" s="396">
        <v>893</v>
      </c>
      <c r="B136" s="761" t="s">
        <v>289</v>
      </c>
      <c r="C136" s="762">
        <v>20933</v>
      </c>
      <c r="D136" s="762">
        <v>18046</v>
      </c>
      <c r="E136" s="762">
        <v>15079</v>
      </c>
      <c r="F136" s="762">
        <v>3201</v>
      </c>
      <c r="G136" s="762">
        <v>3078</v>
      </c>
      <c r="H136" s="762">
        <v>2895</v>
      </c>
      <c r="I136" s="762">
        <v>3027</v>
      </c>
      <c r="J136" s="762">
        <v>2878</v>
      </c>
      <c r="K136" s="763">
        <v>0.12157836908231029</v>
      </c>
      <c r="L136" s="763">
        <v>0.16821288841256246</v>
      </c>
      <c r="M136" s="763">
        <v>0.10982160620730828</v>
      </c>
      <c r="N136" s="763">
        <v>0.20163873976638477</v>
      </c>
      <c r="O136" s="763">
        <v>0.80922149551812783</v>
      </c>
      <c r="P136" s="763">
        <v>0.070427078428918322</v>
      </c>
      <c r="Q136" s="763">
        <v>0.048942598680617809</v>
      </c>
      <c r="R136" s="763">
        <v>0.038418207935496815</v>
      </c>
      <c r="S136" s="763">
        <v>0.016416492739318372</v>
      </c>
      <c r="T136" s="763">
        <v>0.0060314532490858231</v>
      </c>
      <c r="U136" s="763">
        <v>0.010542673448434937</v>
      </c>
      <c r="V136" s="763">
        <v>0.81479576105651219</v>
      </c>
      <c r="W136" s="763">
        <v>0.067450104016923015</v>
      </c>
      <c r="X136" s="763">
        <v>0.043914474053595713</v>
      </c>
      <c r="Y136" s="763">
        <v>0.038193000271440916</v>
      </c>
      <c r="Z136" s="763">
        <v>0.02138095151839562</v>
      </c>
      <c r="AA136" s="763">
        <v>0.00443147880994842</v>
      </c>
      <c r="AB136" s="763">
        <v>0.0098342302731839991</v>
      </c>
      <c r="AC136" s="763">
        <v>0.010763047677966991</v>
      </c>
      <c r="AD136" s="763">
        <v>0.018694096567556967</v>
      </c>
      <c r="AE136" s="763">
        <v>0.026551587027563387</v>
      </c>
      <c r="AF136" s="763">
        <v>0.0041877111301742613</v>
      </c>
      <c r="AG136" s="763">
        <v>0.0068455622966203788</v>
      </c>
      <c r="AH136" s="763">
        <v>0.00930346057361587</v>
      </c>
      <c r="AI136" s="763">
        <v>0.007111807582644839</v>
      </c>
      <c r="AJ136" s="763">
        <v>0.30040184995716168</v>
      </c>
      <c r="AK136" s="763">
        <v>0.33828859237928444</v>
      </c>
      <c r="AL136" s="763">
        <v>0.361593038121045</v>
      </c>
      <c r="AM136" s="763">
        <v>0.35774786048802154</v>
      </c>
      <c r="AN136" s="763">
        <v>0.48588217723071897</v>
      </c>
      <c r="AO136" s="763">
        <v>0.18047060196224654</v>
      </c>
      <c r="AP136" s="763">
        <v>0.21442040897796444</v>
      </c>
      <c r="AQ136" s="763">
        <v>0.059963120933514184</v>
      </c>
      <c r="AR136" s="764">
        <v>0.038743637327919821</v>
      </c>
      <c r="AS136" s="394"/>
      <c r="AT136" s="397"/>
      <c r="AU136" s="398"/>
      <c r="AV136" s="398"/>
    </row>
    <row r="137" spans="1:48">
      <c r="A137" s="396">
        <v>894</v>
      </c>
      <c r="B137" s="761" t="s">
        <v>309</v>
      </c>
      <c r="C137" s="762">
        <v>16136</v>
      </c>
      <c r="D137" s="762">
        <v>14018</v>
      </c>
      <c r="E137" s="762">
        <v>9939</v>
      </c>
      <c r="F137" s="762">
        <v>2131</v>
      </c>
      <c r="G137" s="762">
        <v>2120</v>
      </c>
      <c r="H137" s="762">
        <v>1947</v>
      </c>
      <c r="I137" s="762">
        <v>1923</v>
      </c>
      <c r="J137" s="762">
        <v>1818</v>
      </c>
      <c r="K137" s="763">
        <v>0.20977937530986612</v>
      </c>
      <c r="L137" s="763">
        <v>0.2656121168743269</v>
      </c>
      <c r="M137" s="763">
        <v>0.1785893953113995</v>
      </c>
      <c r="N137" s="763">
        <v>0.30470010238332018</v>
      </c>
      <c r="O137" s="763">
        <v>0.41046438888248304</v>
      </c>
      <c r="P137" s="763">
        <v>0.12952505019048968</v>
      </c>
      <c r="Q137" s="763">
        <v>0.080453577950384145</v>
      </c>
      <c r="R137" s="763">
        <v>0.14966761880740539</v>
      </c>
      <c r="S137" s="763">
        <v>0.077388892277354557</v>
      </c>
      <c r="T137" s="763">
        <v>0.032942675124568617</v>
      </c>
      <c r="U137" s="763">
        <v>0.11955779676731451</v>
      </c>
      <c r="V137" s="763">
        <v>0.46224168453576514</v>
      </c>
      <c r="W137" s="763">
        <v>0.12088619237869887</v>
      </c>
      <c r="X137" s="763">
        <v>0.075379005313566561</v>
      </c>
      <c r="Y137" s="763">
        <v>0.12866619028295215</v>
      </c>
      <c r="Z137" s="763">
        <v>0.071231615463046141</v>
      </c>
      <c r="AA137" s="763">
        <v>0.0356996837459852</v>
      </c>
      <c r="AB137" s="763">
        <v>0.10589562827998612</v>
      </c>
      <c r="AC137" s="763">
        <v>0.031100587331078313</v>
      </c>
      <c r="AD137" s="763">
        <v>0.058189840706143414</v>
      </c>
      <c r="AE137" s="763">
        <v>0.083163773435826385</v>
      </c>
      <c r="AF137" s="763">
        <v>0.00820930621516609</v>
      </c>
      <c r="AG137" s="763">
        <v>0.016825900614214018</v>
      </c>
      <c r="AH137" s="763">
        <v>0.02310989960681261</v>
      </c>
      <c r="AI137" s="763">
        <v>0.0068962843364333611</v>
      </c>
      <c r="AJ137" s="763">
        <v>0.30684378019513359</v>
      </c>
      <c r="AK137" s="763">
        <v>0.33829557963352597</v>
      </c>
      <c r="AL137" s="763">
        <v>0.32137579018497814</v>
      </c>
      <c r="AM137" s="763">
        <v>0.3807290187160412</v>
      </c>
      <c r="AN137" s="763">
        <v>0.4162475718924582</v>
      </c>
      <c r="AO137" s="763">
        <v>0.15919260602383684</v>
      </c>
      <c r="AP137" s="763">
        <v>0.20147478545176525</v>
      </c>
      <c r="AQ137" s="763">
        <v>0.065211699800177853</v>
      </c>
      <c r="AR137" s="764">
        <v>0.037142687925117296</v>
      </c>
      <c r="AS137" s="394"/>
      <c r="AT137" s="397"/>
      <c r="AU137" s="398"/>
      <c r="AV137" s="398"/>
    </row>
    <row r="138" spans="1:48">
      <c r="A138" s="396">
        <v>895</v>
      </c>
      <c r="B138" s="761" t="s">
        <v>659</v>
      </c>
      <c r="C138" s="762">
        <v>29317</v>
      </c>
      <c r="D138" s="762">
        <v>25304</v>
      </c>
      <c r="E138" s="762">
        <v>20032</v>
      </c>
      <c r="F138" s="762">
        <v>4254</v>
      </c>
      <c r="G138" s="762">
        <v>4097</v>
      </c>
      <c r="H138" s="762">
        <v>3984</v>
      </c>
      <c r="I138" s="762">
        <v>3931</v>
      </c>
      <c r="J138" s="762">
        <v>3766</v>
      </c>
      <c r="K138" s="763">
        <v>0.11007265409148274</v>
      </c>
      <c r="L138" s="763">
        <v>0.13805989152907716</v>
      </c>
      <c r="M138" s="763">
        <v>0.11376797124600643</v>
      </c>
      <c r="N138" s="763">
        <v>0.17868236386883238</v>
      </c>
      <c r="O138" s="763">
        <v>0.74691527608543884</v>
      </c>
      <c r="P138" s="763">
        <v>0.06575106921007226</v>
      </c>
      <c r="Q138" s="763">
        <v>0.078015044156982669</v>
      </c>
      <c r="R138" s="763">
        <v>0.046842966004199273</v>
      </c>
      <c r="S138" s="763">
        <v>0.041234175998935536</v>
      </c>
      <c r="T138" s="763">
        <v>0.014203313157351934</v>
      </c>
      <c r="U138" s="763">
        <v>0.0070381553870195708</v>
      </c>
      <c r="V138" s="763">
        <v>0.76355154971909778</v>
      </c>
      <c r="W138" s="763">
        <v>0.064310698818928286</v>
      </c>
      <c r="X138" s="763">
        <v>0.071335706390983425</v>
      </c>
      <c r="Y138" s="763">
        <v>0.04301322890005975</v>
      </c>
      <c r="Z138" s="763">
        <v>0.036860690051789845</v>
      </c>
      <c r="AA138" s="763">
        <v>0.012937557330863634</v>
      </c>
      <c r="AB138" s="763">
        <v>0.0079905687882771224</v>
      </c>
      <c r="AC138" s="763">
        <v>0.015787790509361289</v>
      </c>
      <c r="AD138" s="763">
        <v>0.030209425907361597</v>
      </c>
      <c r="AE138" s="763">
        <v>0.043827046245620317</v>
      </c>
      <c r="AF138" s="763">
        <v>0.0042019764002441057</v>
      </c>
      <c r="AG138" s="763">
        <v>0.0081013765446456051</v>
      </c>
      <c r="AH138" s="763">
        <v>0.011549484088839431</v>
      </c>
      <c r="AI138" s="763">
        <v>0.0047987061940703568</v>
      </c>
      <c r="AJ138" s="763">
        <v>0.29501852983883214</v>
      </c>
      <c r="AK138" s="763">
        <v>0.32961373820424533</v>
      </c>
      <c r="AL138" s="763">
        <v>0.3211499798058387</v>
      </c>
      <c r="AM138" s="763">
        <v>0.35872602146228061</v>
      </c>
      <c r="AN138" s="763">
        <v>0.46827654394917578</v>
      </c>
      <c r="AO138" s="763">
        <v>0.17700667969665695</v>
      </c>
      <c r="AP138" s="763">
        <v>0.20574676522459487</v>
      </c>
      <c r="AQ138" s="763">
        <v>0.049327103719829478</v>
      </c>
      <c r="AR138" s="764">
        <v>0.031684058342275952</v>
      </c>
      <c r="AS138" s="394"/>
      <c r="AT138" s="397"/>
      <c r="AU138" s="398"/>
      <c r="AV138" s="398"/>
    </row>
    <row r="139" spans="1:48">
      <c r="A139" s="396">
        <v>896</v>
      </c>
      <c r="B139" s="761" t="s">
        <v>574</v>
      </c>
      <c r="C139" s="762">
        <v>27325</v>
      </c>
      <c r="D139" s="762">
        <v>23585</v>
      </c>
      <c r="E139" s="762">
        <v>18273</v>
      </c>
      <c r="F139" s="762">
        <v>3848</v>
      </c>
      <c r="G139" s="762">
        <v>3716</v>
      </c>
      <c r="H139" s="762">
        <v>3597</v>
      </c>
      <c r="I139" s="762">
        <v>3645</v>
      </c>
      <c r="J139" s="762">
        <v>3467</v>
      </c>
      <c r="K139" s="763">
        <v>0.15037511436413542</v>
      </c>
      <c r="L139" s="763">
        <v>0.18777514907128609</v>
      </c>
      <c r="M139" s="763">
        <v>0.13758003611886388</v>
      </c>
      <c r="N139" s="763">
        <v>0.21595011302415476</v>
      </c>
      <c r="O139" s="763">
        <v>0.68144667291366912</v>
      </c>
      <c r="P139" s="763">
        <v>0.068944493791714</v>
      </c>
      <c r="Q139" s="763">
        <v>0.044031112881942384</v>
      </c>
      <c r="R139" s="763">
        <v>0.050409076655190316</v>
      </c>
      <c r="S139" s="763">
        <v>0.064973346664154955</v>
      </c>
      <c r="T139" s="763">
        <v>0.0666335013364751</v>
      </c>
      <c r="U139" s="763">
        <v>0.023561795756854104</v>
      </c>
      <c r="V139" s="763">
        <v>0.71662021482094362</v>
      </c>
      <c r="W139" s="763">
        <v>0.063341052577567974</v>
      </c>
      <c r="X139" s="763">
        <v>0.03710965076809767</v>
      </c>
      <c r="Y139" s="763">
        <v>0.046991018235586456</v>
      </c>
      <c r="Z139" s="763">
        <v>0.055803424731945744</v>
      </c>
      <c r="AA139" s="763">
        <v>0.062557837610537848</v>
      </c>
      <c r="AB139" s="763">
        <v>0.017576801255320611</v>
      </c>
      <c r="AC139" s="763">
        <v>0.012915676560963072</v>
      </c>
      <c r="AD139" s="763">
        <v>0.026056268166491845</v>
      </c>
      <c r="AE139" s="763">
        <v>0.036152406384221028</v>
      </c>
      <c r="AF139" s="763">
        <v>0.0037223089737825335</v>
      </c>
      <c r="AG139" s="763">
        <v>0.0069522353005543776</v>
      </c>
      <c r="AH139" s="763">
        <v>0.009744139850852403</v>
      </c>
      <c r="AI139" s="763">
        <v>0.0060833265606216073</v>
      </c>
      <c r="AJ139" s="763">
        <v>0.296400941073436</v>
      </c>
      <c r="AK139" s="763">
        <v>0.35941404350077549</v>
      </c>
      <c r="AL139" s="763">
        <v>0.36280488813349876</v>
      </c>
      <c r="AM139" s="763">
        <v>0.3969588713535136</v>
      </c>
      <c r="AN139" s="763">
        <v>0.47325312678929959</v>
      </c>
      <c r="AO139" s="763">
        <v>0.15629876048014232</v>
      </c>
      <c r="AP139" s="763">
        <v>0.21609515605133145</v>
      </c>
      <c r="AQ139" s="763">
        <v>0.052301888355908183</v>
      </c>
      <c r="AR139" s="764">
        <v>0.028917011015860795</v>
      </c>
      <c r="AS139" s="394"/>
      <c r="AT139" s="397"/>
      <c r="AU139" s="398"/>
      <c r="AV139" s="398"/>
    </row>
    <row r="140" spans="1:48">
      <c r="A140" s="396">
        <v>908</v>
      </c>
      <c r="B140" s="761" t="s">
        <v>204</v>
      </c>
      <c r="C140" s="762">
        <v>41700</v>
      </c>
      <c r="D140" s="762">
        <v>36086</v>
      </c>
      <c r="E140" s="762">
        <v>27831</v>
      </c>
      <c r="F140" s="762">
        <v>5831</v>
      </c>
      <c r="G140" s="762">
        <v>5771</v>
      </c>
      <c r="H140" s="762">
        <v>5585</v>
      </c>
      <c r="I140" s="762">
        <v>5446</v>
      </c>
      <c r="J140" s="762">
        <v>5198</v>
      </c>
      <c r="K140" s="763">
        <v>0.15323741007194244</v>
      </c>
      <c r="L140" s="763">
        <v>0.20721047325327818</v>
      </c>
      <c r="M140" s="763">
        <v>0.14365276130933124</v>
      </c>
      <c r="N140" s="763">
        <v>0.24705464888866335</v>
      </c>
      <c r="O140" s="763">
        <v>0.6896424050960247</v>
      </c>
      <c r="P140" s="763">
        <v>0.11635693613110319</v>
      </c>
      <c r="Q140" s="763">
        <v>0.0681048619840029</v>
      </c>
      <c r="R140" s="763">
        <v>0.04216295154055557</v>
      </c>
      <c r="S140" s="763">
        <v>0.041748625461713922</v>
      </c>
      <c r="T140" s="763">
        <v>0.041696450002426978</v>
      </c>
      <c r="U140" s="763">
        <v>0.0002877697841726623</v>
      </c>
      <c r="V140" s="763">
        <v>0.69105455216279188</v>
      </c>
      <c r="W140" s="763">
        <v>0.11765589188265524</v>
      </c>
      <c r="X140" s="763">
        <v>0.065974098789340907</v>
      </c>
      <c r="Y140" s="763">
        <v>0.044609713050186205</v>
      </c>
      <c r="Z140" s="763">
        <v>0.041374031475525756</v>
      </c>
      <c r="AA140" s="763">
        <v>0.037714772317625905</v>
      </c>
      <c r="AB140" s="763">
        <v>0.0016169403218742047</v>
      </c>
      <c r="AC140" s="763">
        <v>0.006267934472543756</v>
      </c>
      <c r="AD140" s="763">
        <v>0.011889881300520542</v>
      </c>
      <c r="AE140" s="763">
        <v>0.017000861406561658</v>
      </c>
      <c r="AF140" s="763">
        <v>0.0033458025348511531</v>
      </c>
      <c r="AG140" s="763">
        <v>0.00449654646530626</v>
      </c>
      <c r="AH140" s="763">
        <v>0.0059353706170069019</v>
      </c>
      <c r="AI140" s="763">
        <v>0.0045274536397953979</v>
      </c>
      <c r="AJ140" s="763">
        <v>0.33090999406805333</v>
      </c>
      <c r="AK140" s="763">
        <v>0.38745500590187559</v>
      </c>
      <c r="AL140" s="763">
        <v>0.39421636325153508</v>
      </c>
      <c r="AM140" s="763">
        <v>0.41358863349216357</v>
      </c>
      <c r="AN140" s="763">
        <v>0.48555017773352377</v>
      </c>
      <c r="AO140" s="763">
        <v>0.1966518097505118</v>
      </c>
      <c r="AP140" s="763">
        <v>0.23488817045903071</v>
      </c>
      <c r="AQ140" s="763">
        <v>0.059316416289178692</v>
      </c>
      <c r="AR140" s="764">
        <v>0.038601088359712647</v>
      </c>
      <c r="AS140" s="394"/>
      <c r="AT140" s="397"/>
      <c r="AU140" s="398"/>
      <c r="AV140" s="398"/>
    </row>
    <row r="141" spans="1:48">
      <c r="A141" s="396">
        <v>909</v>
      </c>
      <c r="B141" s="761" t="s">
        <v>207</v>
      </c>
      <c r="C141" s="762">
        <v>35631</v>
      </c>
      <c r="D141" s="762">
        <v>30751</v>
      </c>
      <c r="E141" s="762">
        <v>26226</v>
      </c>
      <c r="F141" s="762">
        <v>5475</v>
      </c>
      <c r="G141" s="762">
        <v>5300</v>
      </c>
      <c r="H141" s="762">
        <v>5229</v>
      </c>
      <c r="I141" s="762">
        <v>5114</v>
      </c>
      <c r="J141" s="762">
        <v>5108</v>
      </c>
      <c r="K141" s="763">
        <v>0.13928882153181216</v>
      </c>
      <c r="L141" s="763">
        <v>0.18136108848302721</v>
      </c>
      <c r="M141" s="763">
        <v>0.12300770228017989</v>
      </c>
      <c r="N141" s="763">
        <v>0.19869570335505266</v>
      </c>
      <c r="O141" s="763">
        <v>0.69802971323418483</v>
      </c>
      <c r="P141" s="763">
        <v>0.095955736119787222</v>
      </c>
      <c r="Q141" s="763">
        <v>0.062026392743888131</v>
      </c>
      <c r="R141" s="763">
        <v>0.0334676875701622</v>
      </c>
      <c r="S141" s="763">
        <v>0.020850400763663703</v>
      </c>
      <c r="T141" s="763">
        <v>0.062492613893620576</v>
      </c>
      <c r="U141" s="763">
        <v>0.027177455674693339</v>
      </c>
      <c r="V141" s="763">
        <v>0.749904656488177</v>
      </c>
      <c r="W141" s="763">
        <v>0.081614616627785311</v>
      </c>
      <c r="X141" s="763">
        <v>0.054025232843423372</v>
      </c>
      <c r="Y141" s="763">
        <v>0.026661223653745895</v>
      </c>
      <c r="Z141" s="763">
        <v>0.017797045264754795</v>
      </c>
      <c r="AA141" s="763">
        <v>0.049230718017085569</v>
      </c>
      <c r="AB141" s="763">
        <v>0.02076650710502826</v>
      </c>
      <c r="AC141" s="763">
        <v>0.0081601934198640771</v>
      </c>
      <c r="AD141" s="763">
        <v>0.015560512105169741</v>
      </c>
      <c r="AE141" s="763">
        <v>0.021440158223481352</v>
      </c>
      <c r="AF141" s="763">
        <v>0.0034386651513489261</v>
      </c>
      <c r="AG141" s="763">
        <v>0.0058425272748935152</v>
      </c>
      <c r="AH141" s="763">
        <v>0.007181370859114764</v>
      </c>
      <c r="AI141" s="763">
        <v>0.0049324777125102923</v>
      </c>
      <c r="AJ141" s="763">
        <v>0.3328104715222836</v>
      </c>
      <c r="AK141" s="763">
        <v>0.33518651786291659</v>
      </c>
      <c r="AL141" s="763">
        <v>0.34509293922580997</v>
      </c>
      <c r="AM141" s="763">
        <v>0.37767574719418073</v>
      </c>
      <c r="AN141" s="763">
        <v>0.47063879832734434</v>
      </c>
      <c r="AO141" s="763">
        <v>0.17899577294320371</v>
      </c>
      <c r="AP141" s="763">
        <v>0.21213760643820237</v>
      </c>
      <c r="AQ141" s="763">
        <v>0.043299141137995753</v>
      </c>
      <c r="AR141" s="764">
        <v>0.024728403840728597</v>
      </c>
      <c r="AS141" s="394"/>
      <c r="AT141" s="397"/>
      <c r="AU141" s="398"/>
      <c r="AV141" s="398"/>
    </row>
    <row r="142" spans="1:48">
      <c r="A142" s="396">
        <v>916</v>
      </c>
      <c r="B142" s="761" t="s">
        <v>224</v>
      </c>
      <c r="C142" s="762">
        <v>47377</v>
      </c>
      <c r="D142" s="762">
        <v>40807</v>
      </c>
      <c r="E142" s="762">
        <v>33379</v>
      </c>
      <c r="F142" s="762">
        <v>7276</v>
      </c>
      <c r="G142" s="762">
        <v>6811</v>
      </c>
      <c r="H142" s="762">
        <v>6624</v>
      </c>
      <c r="I142" s="762">
        <v>6391</v>
      </c>
      <c r="J142" s="762">
        <v>6277</v>
      </c>
      <c r="K142" s="763">
        <v>0.13029529096396986</v>
      </c>
      <c r="L142" s="763">
        <v>0.18358111684815864</v>
      </c>
      <c r="M142" s="763">
        <v>0.10964977980167169</v>
      </c>
      <c r="N142" s="763">
        <v>0.18266120326171309</v>
      </c>
      <c r="O142" s="763">
        <v>0.699793979150577</v>
      </c>
      <c r="P142" s="763">
        <v>0.087798335836722016</v>
      </c>
      <c r="Q142" s="763">
        <v>0.0786610925686754</v>
      </c>
      <c r="R142" s="763">
        <v>0.039950458459771125</v>
      </c>
      <c r="S142" s="763">
        <v>0.039443537839151138</v>
      </c>
      <c r="T142" s="763">
        <v>0.047728501858061212</v>
      </c>
      <c r="U142" s="763">
        <v>0.0066240942870420105</v>
      </c>
      <c r="V142" s="763">
        <v>0.742945918414134</v>
      </c>
      <c r="W142" s="763">
        <v>0.078418890591200191</v>
      </c>
      <c r="X142" s="763">
        <v>0.06989269358651469</v>
      </c>
      <c r="Y142" s="763">
        <v>0.030617541801647573</v>
      </c>
      <c r="Z142" s="763">
        <v>0.033194291529885858</v>
      </c>
      <c r="AA142" s="763">
        <v>0.039026104438746205</v>
      </c>
      <c r="AB142" s="763">
        <v>0.0059045596378715249</v>
      </c>
      <c r="AC142" s="763">
        <v>0.018094188097770532</v>
      </c>
      <c r="AD142" s="763">
        <v>0.034508718814422766</v>
      </c>
      <c r="AE142" s="763">
        <v>0.050370147830698354</v>
      </c>
      <c r="AF142" s="763">
        <v>0.0039392753006039843</v>
      </c>
      <c r="AG142" s="763">
        <v>0.0068323170577927724</v>
      </c>
      <c r="AH142" s="763">
        <v>0.010231235594660534</v>
      </c>
      <c r="AI142" s="763">
        <v>0.0042894468490823094</v>
      </c>
      <c r="AJ142" s="763">
        <v>0.32779896989897467</v>
      </c>
      <c r="AK142" s="763">
        <v>0.31531129220359277</v>
      </c>
      <c r="AL142" s="763">
        <v>0.33051675289269433</v>
      </c>
      <c r="AM142" s="763">
        <v>0.34666303983217572</v>
      </c>
      <c r="AN142" s="763">
        <v>0.42136416366856588</v>
      </c>
      <c r="AO142" s="763">
        <v>0.1467399013688867</v>
      </c>
      <c r="AP142" s="763">
        <v>0.1935018747573776</v>
      </c>
      <c r="AQ142" s="763">
        <v>0.050043370393195813</v>
      </c>
      <c r="AR142" s="764">
        <v>0.02799168191193508</v>
      </c>
      <c r="AS142" s="394"/>
      <c r="AT142" s="397"/>
      <c r="AU142" s="398"/>
      <c r="AV142" s="398"/>
    </row>
    <row r="143" spans="1:48">
      <c r="A143" s="396">
        <v>919</v>
      </c>
      <c r="B143" s="761" t="s">
        <v>235</v>
      </c>
      <c r="C143" s="762">
        <v>99858</v>
      </c>
      <c r="D143" s="762">
        <v>85756</v>
      </c>
      <c r="E143" s="762">
        <v>69662</v>
      </c>
      <c r="F143" s="762">
        <v>15012</v>
      </c>
      <c r="G143" s="762">
        <v>14453</v>
      </c>
      <c r="H143" s="762">
        <v>13784</v>
      </c>
      <c r="I143" s="762">
        <v>13375</v>
      </c>
      <c r="J143" s="762">
        <v>13038</v>
      </c>
      <c r="K143" s="763">
        <v>0.11045684872518977</v>
      </c>
      <c r="L143" s="763">
        <v>0.14999139301566428</v>
      </c>
      <c r="M143" s="763">
        <v>0.093106715282363445</v>
      </c>
      <c r="N143" s="763">
        <v>0.17999174640267679</v>
      </c>
      <c r="O143" s="763">
        <v>0.75389974630731738</v>
      </c>
      <c r="P143" s="763">
        <v>0.10238401780705696</v>
      </c>
      <c r="Q143" s="763">
        <v>0.081156234657344409</v>
      </c>
      <c r="R143" s="763">
        <v>0.032546183759256928</v>
      </c>
      <c r="S143" s="763">
        <v>0.017327366991445096</v>
      </c>
      <c r="T143" s="763">
        <v>0.012606133346020509</v>
      </c>
      <c r="U143" s="763">
        <v>8.0317131559307241E-05</v>
      </c>
      <c r="V143" s="763">
        <v>0.76746537528788827</v>
      </c>
      <c r="W143" s="763">
        <v>0.094282836029867256</v>
      </c>
      <c r="X143" s="763">
        <v>0.076672365023839478</v>
      </c>
      <c r="Y143" s="763">
        <v>0.031618089394719634</v>
      </c>
      <c r="Z143" s="763">
        <v>0.016526482936863922</v>
      </c>
      <c r="AA143" s="763">
        <v>0.012887712175169349</v>
      </c>
      <c r="AB143" s="763">
        <v>0.00054713915165221637</v>
      </c>
      <c r="AC143" s="763">
        <v>0.036447378802705127</v>
      </c>
      <c r="AD143" s="763">
        <v>0.069012822877896632</v>
      </c>
      <c r="AE143" s="763">
        <v>0.09926348562176858</v>
      </c>
      <c r="AF143" s="763">
        <v>0.0059226341519672022</v>
      </c>
      <c r="AG143" s="763">
        <v>0.010461843340833938</v>
      </c>
      <c r="AH143" s="763">
        <v>0.015417103267724606</v>
      </c>
      <c r="AI143" s="763">
        <v>0.0024927015195509</v>
      </c>
      <c r="AJ143" s="763">
        <v>0.28592204811573751</v>
      </c>
      <c r="AK143" s="763">
        <v>0.31047076105171523</v>
      </c>
      <c r="AL143" s="763">
        <v>0.31643602094580869</v>
      </c>
      <c r="AM143" s="763">
        <v>0.32480330845811967</v>
      </c>
      <c r="AN143" s="763">
        <v>0.38558279181619221</v>
      </c>
      <c r="AO143" s="763">
        <v>0.14044400810829016</v>
      </c>
      <c r="AP143" s="763">
        <v>0.18405746620006369</v>
      </c>
      <c r="AQ143" s="763">
        <v>0.050690800767305255</v>
      </c>
      <c r="AR143" s="764">
        <v>0.02909155651864033</v>
      </c>
      <c r="AS143" s="394"/>
      <c r="AT143" s="397"/>
      <c r="AU143" s="398"/>
      <c r="AV143" s="398"/>
    </row>
    <row r="144" spans="1:48">
      <c r="A144" s="396">
        <v>921</v>
      </c>
      <c r="B144" s="761" t="s">
        <v>238</v>
      </c>
      <c r="C144" s="762">
        <v>9326</v>
      </c>
      <c r="D144" s="762">
        <v>7995</v>
      </c>
      <c r="E144" s="762">
        <v>6244</v>
      </c>
      <c r="F144" s="762">
        <v>1261</v>
      </c>
      <c r="G144" s="762">
        <v>1279</v>
      </c>
      <c r="H144" s="762">
        <v>1266</v>
      </c>
      <c r="I144" s="762">
        <v>1261</v>
      </c>
      <c r="J144" s="762">
        <v>1177</v>
      </c>
      <c r="K144" s="763">
        <v>0.17209950675530775</v>
      </c>
      <c r="L144" s="763">
        <v>0.23875327973509394</v>
      </c>
      <c r="M144" s="763">
        <v>0.16447789878283156</v>
      </c>
      <c r="N144" s="763">
        <v>0.28234604706625127</v>
      </c>
      <c r="O144" s="763">
        <v>0.46281497433133573</v>
      </c>
      <c r="P144" s="763">
        <v>0.25824063251285739</v>
      </c>
      <c r="Q144" s="763">
        <v>0.078301457928948631</v>
      </c>
      <c r="R144" s="763">
        <v>0.09212201049500976</v>
      </c>
      <c r="S144" s="763">
        <v>0.02039067681037654</v>
      </c>
      <c r="T144" s="763">
        <v>0.088130247921471866</v>
      </c>
      <c r="U144" s="763">
        <v>0</v>
      </c>
      <c r="V144" s="763">
        <v>0.48336931956256235</v>
      </c>
      <c r="W144" s="763">
        <v>0.25063529761364628</v>
      </c>
      <c r="X144" s="763">
        <v>0.0725522394602571</v>
      </c>
      <c r="Y144" s="763">
        <v>0.095043368351265659</v>
      </c>
      <c r="Z144" s="763">
        <v>0.017650525688885824</v>
      </c>
      <c r="AA144" s="763">
        <v>0.0807492493233828</v>
      </c>
      <c r="AB144" s="763">
        <v>0</v>
      </c>
      <c r="AC144" s="763">
        <v>0.0062805084902826727</v>
      </c>
      <c r="AD144" s="763">
        <v>0.01367039835495823</v>
      </c>
      <c r="AE144" s="763">
        <v>0.019538893895944123</v>
      </c>
      <c r="AF144" s="763">
        <v>0.001921844971172327</v>
      </c>
      <c r="AG144" s="763">
        <v>0.0035313978416392348</v>
      </c>
      <c r="AH144" s="763">
        <v>0.0059417194500946124</v>
      </c>
      <c r="AI144" s="763">
        <v>0.0091418987756344463</v>
      </c>
      <c r="AJ144" s="763">
        <v>0.28440327507449004</v>
      </c>
      <c r="AK144" s="763">
        <v>0.41145966911780463</v>
      </c>
      <c r="AL144" s="763">
        <v>0.4432039476397921</v>
      </c>
      <c r="AM144" s="763">
        <v>0.44324744836308505</v>
      </c>
      <c r="AN144" s="763">
        <v>0.50277662563447578</v>
      </c>
      <c r="AO144" s="763">
        <v>0.19368968239417034</v>
      </c>
      <c r="AP144" s="763">
        <v>0.24877912549327288</v>
      </c>
      <c r="AQ144" s="763">
        <v>0.067049915653979442</v>
      </c>
      <c r="AR144" s="764">
        <v>0.041377746495141136</v>
      </c>
      <c r="AS144" s="394"/>
      <c r="AT144" s="397"/>
      <c r="AU144" s="398"/>
      <c r="AV144" s="398"/>
    </row>
    <row r="145" spans="1:48">
      <c r="A145" s="396">
        <v>925</v>
      </c>
      <c r="B145" s="761" t="s">
        <v>253</v>
      </c>
      <c r="C145" s="762">
        <v>56073</v>
      </c>
      <c r="D145" s="762">
        <v>48339</v>
      </c>
      <c r="E145" s="762">
        <v>40107</v>
      </c>
      <c r="F145" s="762">
        <v>8601</v>
      </c>
      <c r="G145" s="762">
        <v>8166</v>
      </c>
      <c r="H145" s="762">
        <v>8007</v>
      </c>
      <c r="I145" s="762">
        <v>7787</v>
      </c>
      <c r="J145" s="762">
        <v>7546</v>
      </c>
      <c r="K145" s="763">
        <v>0.17141939971109091</v>
      </c>
      <c r="L145" s="763">
        <v>0.23246847396711176</v>
      </c>
      <c r="M145" s="763">
        <v>0.14226942927668484</v>
      </c>
      <c r="N145" s="763">
        <v>0.22838563992512956</v>
      </c>
      <c r="O145" s="763">
        <v>0.65045804999728873</v>
      </c>
      <c r="P145" s="763">
        <v>0.099099177574193426</v>
      </c>
      <c r="Q145" s="763">
        <v>0.079542495482923359</v>
      </c>
      <c r="R145" s="763">
        <v>0.055192358782447624</v>
      </c>
      <c r="S145" s="763">
        <v>0.048356875344194104</v>
      </c>
      <c r="T145" s="763">
        <v>0.0480261692563061</v>
      </c>
      <c r="U145" s="763">
        <v>0.019324873562646592</v>
      </c>
      <c r="V145" s="763">
        <v>0.68211181271553822</v>
      </c>
      <c r="W145" s="763">
        <v>0.098050857767548238</v>
      </c>
      <c r="X145" s="763">
        <v>0.072721286085465561</v>
      </c>
      <c r="Y145" s="763">
        <v>0.049021993216076629</v>
      </c>
      <c r="Z145" s="763">
        <v>0.043569574157949077</v>
      </c>
      <c r="AA145" s="763">
        <v>0.037427801139340251</v>
      </c>
      <c r="AB145" s="763">
        <v>0.017096674918081995</v>
      </c>
      <c r="AC145" s="763">
        <v>0.022622575257046793</v>
      </c>
      <c r="AD145" s="763">
        <v>0.044156424151704</v>
      </c>
      <c r="AE145" s="763">
        <v>0.064680388314504109</v>
      </c>
      <c r="AF145" s="763">
        <v>0.00553401164378022</v>
      </c>
      <c r="AG145" s="763">
        <v>0.0096546160991545886</v>
      </c>
      <c r="AH145" s="763">
        <v>0.013606562904798357</v>
      </c>
      <c r="AI145" s="763">
        <v>0.0043107570477575</v>
      </c>
      <c r="AJ145" s="763">
        <v>0.29962311337868325</v>
      </c>
      <c r="AK145" s="763">
        <v>0.35713570862131294</v>
      </c>
      <c r="AL145" s="763">
        <v>0.35997342049419656</v>
      </c>
      <c r="AM145" s="763">
        <v>0.39031223572261836</v>
      </c>
      <c r="AN145" s="763">
        <v>0.44495409120109658</v>
      </c>
      <c r="AO145" s="763">
        <v>0.17916571604273268</v>
      </c>
      <c r="AP145" s="763">
        <v>0.21644736463857911</v>
      </c>
      <c r="AQ145" s="763">
        <v>0.0630849843200482</v>
      </c>
      <c r="AR145" s="764">
        <v>0.040000849855071088</v>
      </c>
      <c r="AS145" s="394"/>
      <c r="AT145" s="397"/>
      <c r="AU145" s="398"/>
      <c r="AV145" s="398"/>
    </row>
    <row r="146" spans="1:48">
      <c r="A146" s="396">
        <v>926</v>
      </c>
      <c r="B146" s="761" t="s">
        <v>263</v>
      </c>
      <c r="C146" s="762">
        <v>64218</v>
      </c>
      <c r="D146" s="762">
        <v>55193</v>
      </c>
      <c r="E146" s="762">
        <v>42166</v>
      </c>
      <c r="F146" s="762">
        <v>9142</v>
      </c>
      <c r="G146" s="762">
        <v>8675</v>
      </c>
      <c r="H146" s="762">
        <v>8277</v>
      </c>
      <c r="I146" s="762">
        <v>8192</v>
      </c>
      <c r="J146" s="762">
        <v>7880</v>
      </c>
      <c r="K146" s="763">
        <v>0.1644710205861285</v>
      </c>
      <c r="L146" s="763">
        <v>0.21710548169998428</v>
      </c>
      <c r="M146" s="763">
        <v>0.14891144524024097</v>
      </c>
      <c r="N146" s="763">
        <v>0.25246695736661351</v>
      </c>
      <c r="O146" s="763">
        <v>0.663627111683601</v>
      </c>
      <c r="P146" s="763">
        <v>0.084285937369714028</v>
      </c>
      <c r="Q146" s="763">
        <v>0.065041283889888654</v>
      </c>
      <c r="R146" s="763">
        <v>0.058554603649633732</v>
      </c>
      <c r="S146" s="763">
        <v>0.046505774702806646</v>
      </c>
      <c r="T146" s="763">
        <v>0.06179827986596384</v>
      </c>
      <c r="U146" s="763">
        <v>0.020187008838392025</v>
      </c>
      <c r="V146" s="763">
        <v>0.67604389798288844</v>
      </c>
      <c r="W146" s="763">
        <v>0.082702185927800556</v>
      </c>
      <c r="X146" s="763">
        <v>0.062715428385673413</v>
      </c>
      <c r="Y146" s="763">
        <v>0.055865152519241928</v>
      </c>
      <c r="Z146" s="763">
        <v>0.043880041214666363</v>
      </c>
      <c r="AA146" s="763">
        <v>0.058625153527196876</v>
      </c>
      <c r="AB146" s="763">
        <v>0.020168140442532234</v>
      </c>
      <c r="AC146" s="763">
        <v>0.02638017977589099</v>
      </c>
      <c r="AD146" s="763">
        <v>0.051704785856071932</v>
      </c>
      <c r="AE146" s="763">
        <v>0.072469193390213363</v>
      </c>
      <c r="AF146" s="763">
        <v>0.0056282154208360516</v>
      </c>
      <c r="AG146" s="763">
        <v>0.010441219209319312</v>
      </c>
      <c r="AH146" s="763">
        <v>0.014630608638354966</v>
      </c>
      <c r="AI146" s="763">
        <v>0.0050370831683803708</v>
      </c>
      <c r="AJ146" s="763">
        <v>0.31246597137332438</v>
      </c>
      <c r="AK146" s="763">
        <v>0.39741963581443829</v>
      </c>
      <c r="AL146" s="763">
        <v>0.39692038242010752</v>
      </c>
      <c r="AM146" s="763">
        <v>0.42380031247318534</v>
      </c>
      <c r="AN146" s="763">
        <v>0.4876249771973602</v>
      </c>
      <c r="AO146" s="763">
        <v>0.21507017974654935</v>
      </c>
      <c r="AP146" s="763">
        <v>0.24149531950606085</v>
      </c>
      <c r="AQ146" s="763">
        <v>0.051190181817699611</v>
      </c>
      <c r="AR146" s="764">
        <v>0.036676520206724704</v>
      </c>
      <c r="AS146" s="394"/>
      <c r="AT146" s="397"/>
      <c r="AU146" s="398"/>
      <c r="AV146" s="398"/>
    </row>
    <row r="147" spans="1:48">
      <c r="A147" s="396">
        <v>928</v>
      </c>
      <c r="B147" s="761" t="s">
        <v>269</v>
      </c>
      <c r="C147" s="762">
        <v>65875</v>
      </c>
      <c r="D147" s="762">
        <v>56729</v>
      </c>
      <c r="E147" s="762">
        <v>41565</v>
      </c>
      <c r="F147" s="762">
        <v>9045</v>
      </c>
      <c r="G147" s="762">
        <v>8542</v>
      </c>
      <c r="H147" s="762">
        <v>8292</v>
      </c>
      <c r="I147" s="762">
        <v>8059</v>
      </c>
      <c r="J147" s="762">
        <v>7627</v>
      </c>
      <c r="K147" s="763">
        <v>0.11512713472485768</v>
      </c>
      <c r="L147" s="763">
        <v>0.16543692830693393</v>
      </c>
      <c r="M147" s="763">
        <v>0.11478407313845788</v>
      </c>
      <c r="N147" s="763">
        <v>0.22841085033185846</v>
      </c>
      <c r="O147" s="763">
        <v>0.64524513668208572</v>
      </c>
      <c r="P147" s="763">
        <v>0.082810809997004</v>
      </c>
      <c r="Q147" s="763">
        <v>0.074155708470310139</v>
      </c>
      <c r="R147" s="763">
        <v>0.0791998679647385</v>
      </c>
      <c r="S147" s="763">
        <v>0.056827320589344484</v>
      </c>
      <c r="T147" s="763">
        <v>0.044516755944667551</v>
      </c>
      <c r="U147" s="763">
        <v>0.017244400351849543</v>
      </c>
      <c r="V147" s="763">
        <v>0.66055433089516491</v>
      </c>
      <c r="W147" s="763">
        <v>0.077550201112498982</v>
      </c>
      <c r="X147" s="763">
        <v>0.069023226754975062</v>
      </c>
      <c r="Y147" s="763">
        <v>0.07784890627816235</v>
      </c>
      <c r="Z147" s="763">
        <v>0.054016577412894347</v>
      </c>
      <c r="AA147" s="763">
        <v>0.044320804445413281</v>
      </c>
      <c r="AB147" s="763">
        <v>0.0166859531008909</v>
      </c>
      <c r="AC147" s="763">
        <v>0.04263545200257228</v>
      </c>
      <c r="AD147" s="763">
        <v>0.077631478454135372</v>
      </c>
      <c r="AE147" s="763">
        <v>0.10868111964416265</v>
      </c>
      <c r="AF147" s="763">
        <v>0.0087826029081116645</v>
      </c>
      <c r="AG147" s="763">
        <v>0.017015819064318753</v>
      </c>
      <c r="AH147" s="763">
        <v>0.02420463266828388</v>
      </c>
      <c r="AI147" s="763">
        <v>0.0051139213463828248</v>
      </c>
      <c r="AJ147" s="763">
        <v>0.31987997253312411</v>
      </c>
      <c r="AK147" s="763">
        <v>0.38644096421375151</v>
      </c>
      <c r="AL147" s="763">
        <v>0.38693047756256732</v>
      </c>
      <c r="AM147" s="763">
        <v>0.42770549567164129</v>
      </c>
      <c r="AN147" s="763">
        <v>0.50379988018788868</v>
      </c>
      <c r="AO147" s="763">
        <v>0.20361274141422681</v>
      </c>
      <c r="AP147" s="763">
        <v>0.2386202964279717</v>
      </c>
      <c r="AQ147" s="763">
        <v>0.061151418752836223</v>
      </c>
      <c r="AR147" s="764">
        <v>0.0393708349214916</v>
      </c>
      <c r="AS147" s="394"/>
      <c r="AT147" s="397"/>
      <c r="AU147" s="398"/>
      <c r="AV147" s="398"/>
    </row>
    <row r="148" spans="1:48">
      <c r="A148" s="396">
        <v>929</v>
      </c>
      <c r="B148" s="761" t="s">
        <v>270</v>
      </c>
      <c r="C148" s="762">
        <v>23162</v>
      </c>
      <c r="D148" s="762">
        <v>20081</v>
      </c>
      <c r="E148" s="762">
        <v>15977</v>
      </c>
      <c r="F148" s="762">
        <v>3442</v>
      </c>
      <c r="G148" s="762">
        <v>3212</v>
      </c>
      <c r="H148" s="762">
        <v>3145</v>
      </c>
      <c r="I148" s="762">
        <v>3106</v>
      </c>
      <c r="J148" s="762">
        <v>3072</v>
      </c>
      <c r="K148" s="763">
        <v>0.17213539418012264</v>
      </c>
      <c r="L148" s="763">
        <v>0.22408085589401239</v>
      </c>
      <c r="M148" s="763">
        <v>0.15997997120861238</v>
      </c>
      <c r="N148" s="763">
        <v>0.25020317534809644</v>
      </c>
      <c r="O148" s="763">
        <v>0.59571232812891817</v>
      </c>
      <c r="P148" s="763">
        <v>0.085351907167564467</v>
      </c>
      <c r="Q148" s="763">
        <v>0.072666810440117427</v>
      </c>
      <c r="R148" s="763">
        <v>0.020936379199258715</v>
      </c>
      <c r="S148" s="763">
        <v>0.096786792224874824</v>
      </c>
      <c r="T148" s="763">
        <v>0.10505452124802614</v>
      </c>
      <c r="U148" s="763">
        <v>0.023491261591240042</v>
      </c>
      <c r="V148" s="763">
        <v>0.62116051402564865</v>
      </c>
      <c r="W148" s="763">
        <v>0.085531370295468576</v>
      </c>
      <c r="X148" s="763">
        <v>0.070154135049937408</v>
      </c>
      <c r="Y148" s="763">
        <v>0.022321426891491487</v>
      </c>
      <c r="Z148" s="763">
        <v>0.082128743277572108</v>
      </c>
      <c r="AA148" s="763">
        <v>0.09669487678547288</v>
      </c>
      <c r="AB148" s="763">
        <v>0.022008933674408929</v>
      </c>
      <c r="AC148" s="763">
        <v>0.0043474366868330346</v>
      </c>
      <c r="AD148" s="763">
        <v>0.0074230434725912333</v>
      </c>
      <c r="AE148" s="763">
        <v>0.010630819490015953</v>
      </c>
      <c r="AF148" s="763">
        <v>0.0014413503964794921</v>
      </c>
      <c r="AG148" s="763">
        <v>0.0029450964734459126</v>
      </c>
      <c r="AH148" s="763">
        <v>0.0043220758813447679</v>
      </c>
      <c r="AI148" s="763">
        <v>0.0054272793639764394</v>
      </c>
      <c r="AJ148" s="763">
        <v>0.286719753124976</v>
      </c>
      <c r="AK148" s="763">
        <v>0.32177445293765566</v>
      </c>
      <c r="AL148" s="763">
        <v>0.3378725359128627</v>
      </c>
      <c r="AM148" s="763">
        <v>0.36983834287316991</v>
      </c>
      <c r="AN148" s="763">
        <v>0.42356153140130276</v>
      </c>
      <c r="AO148" s="763">
        <v>0.16403920771166372</v>
      </c>
      <c r="AP148" s="763">
        <v>0.20126054143911909</v>
      </c>
      <c r="AQ148" s="763">
        <v>0.040630506818849242</v>
      </c>
      <c r="AR148" s="764">
        <v>0.029127666786406645</v>
      </c>
      <c r="AS148" s="394"/>
      <c r="AT148" s="397"/>
      <c r="AU148" s="398"/>
      <c r="AV148" s="398"/>
    </row>
    <row r="149" spans="1:48">
      <c r="A149" s="396">
        <v>931</v>
      </c>
      <c r="B149" s="761" t="s">
        <v>274</v>
      </c>
      <c r="C149" s="762">
        <v>52244</v>
      </c>
      <c r="D149" s="762">
        <v>44858</v>
      </c>
      <c r="E149" s="762">
        <v>33438</v>
      </c>
      <c r="F149" s="762">
        <v>7214</v>
      </c>
      <c r="G149" s="762">
        <v>6818</v>
      </c>
      <c r="H149" s="762">
        <v>6669</v>
      </c>
      <c r="I149" s="762">
        <v>6503</v>
      </c>
      <c r="J149" s="762">
        <v>6234</v>
      </c>
      <c r="K149" s="763">
        <v>0.10818467192404871</v>
      </c>
      <c r="L149" s="763">
        <v>0.14445511076625922</v>
      </c>
      <c r="M149" s="763">
        <v>0.098331239906693</v>
      </c>
      <c r="N149" s="763">
        <v>0.18233565113200956</v>
      </c>
      <c r="O149" s="763">
        <v>0.79181804086521812</v>
      </c>
      <c r="P149" s="763">
        <v>0.08325999298782405</v>
      </c>
      <c r="Q149" s="763">
        <v>0.053413733318897205</v>
      </c>
      <c r="R149" s="763">
        <v>0.030743013372802098</v>
      </c>
      <c r="S149" s="763">
        <v>0.024414688330442257</v>
      </c>
      <c r="T149" s="763">
        <v>0.016331390170830986</v>
      </c>
      <c r="U149" s="763">
        <v>1.9140953985146619E-05</v>
      </c>
      <c r="V149" s="763">
        <v>0.79771788132008936</v>
      </c>
      <c r="W149" s="763">
        <v>0.083664968746790108</v>
      </c>
      <c r="X149" s="763">
        <v>0.044746193690046128</v>
      </c>
      <c r="Y149" s="763">
        <v>0.030506194468704159</v>
      </c>
      <c r="Z149" s="763">
        <v>0.026108323332942648</v>
      </c>
      <c r="AA149" s="763">
        <v>0.017256438441427685</v>
      </c>
      <c r="AB149" s="763">
        <v>0</v>
      </c>
      <c r="AC149" s="763">
        <v>0.034513089868278411</v>
      </c>
      <c r="AD149" s="763">
        <v>0.062750927212045754</v>
      </c>
      <c r="AE149" s="763">
        <v>0.088778353776412036</v>
      </c>
      <c r="AF149" s="763">
        <v>0.0093937114970875733</v>
      </c>
      <c r="AG149" s="763">
        <v>0.015602931915724545</v>
      </c>
      <c r="AH149" s="763">
        <v>0.023653468545750757</v>
      </c>
      <c r="AI149" s="763">
        <v>0.0031624079929279516</v>
      </c>
      <c r="AJ149" s="763">
        <v>0.29745729234388157</v>
      </c>
      <c r="AK149" s="763">
        <v>0.36112196335303842</v>
      </c>
      <c r="AL149" s="763">
        <v>0.36098907302745986</v>
      </c>
      <c r="AM149" s="763">
        <v>0.39608582570064738</v>
      </c>
      <c r="AN149" s="763">
        <v>0.4864524589352428</v>
      </c>
      <c r="AO149" s="763">
        <v>0.17817227061010285</v>
      </c>
      <c r="AP149" s="763">
        <v>0.22157527212897471</v>
      </c>
      <c r="AQ149" s="763">
        <v>0.058324494245620577</v>
      </c>
      <c r="AR149" s="764">
        <v>0.033275271317054891</v>
      </c>
      <c r="AS149" s="394"/>
      <c r="AT149" s="397"/>
      <c r="AU149" s="398"/>
      <c r="AV149" s="398"/>
    </row>
    <row r="150" spans="1:48">
      <c r="A150" s="396">
        <v>933</v>
      </c>
      <c r="B150" s="761" t="s">
        <v>292</v>
      </c>
      <c r="C150" s="762">
        <v>41253</v>
      </c>
      <c r="D150" s="762">
        <v>35515</v>
      </c>
      <c r="E150" s="762">
        <v>25991</v>
      </c>
      <c r="F150" s="762">
        <v>5524</v>
      </c>
      <c r="G150" s="762">
        <v>5269</v>
      </c>
      <c r="H150" s="762">
        <v>5188</v>
      </c>
      <c r="I150" s="762">
        <v>5095</v>
      </c>
      <c r="J150" s="762">
        <v>4915</v>
      </c>
      <c r="K150" s="763">
        <v>0.15780670496691149</v>
      </c>
      <c r="L150" s="763">
        <v>0.20061644474752721</v>
      </c>
      <c r="M150" s="763">
        <v>0.14016390288946173</v>
      </c>
      <c r="N150" s="763">
        <v>0.21787008382141035</v>
      </c>
      <c r="O150" s="763">
        <v>0.71036065147377392</v>
      </c>
      <c r="P150" s="763">
        <v>0.10688090371748994</v>
      </c>
      <c r="Q150" s="763">
        <v>0.091224929773268987</v>
      </c>
      <c r="R150" s="763">
        <v>0.023787135173509093</v>
      </c>
      <c r="S150" s="763">
        <v>0.020147108232914161</v>
      </c>
      <c r="T150" s="763">
        <v>0.042361993171181306</v>
      </c>
      <c r="U150" s="763">
        <v>0.0052372784578625774</v>
      </c>
      <c r="V150" s="763">
        <v>0.73110377216090372</v>
      </c>
      <c r="W150" s="763">
        <v>0.10138726034749737</v>
      </c>
      <c r="X150" s="763">
        <v>0.0835978721140635</v>
      </c>
      <c r="Y150" s="763">
        <v>0.021703742270462907</v>
      </c>
      <c r="Z150" s="763">
        <v>0.01766840419502011</v>
      </c>
      <c r="AA150" s="763">
        <v>0.039806090486850486</v>
      </c>
      <c r="AB150" s="763">
        <v>0.00473285842520202</v>
      </c>
      <c r="AC150" s="763">
        <v>0.018953349757281763</v>
      </c>
      <c r="AD150" s="763">
        <v>0.033749935676948083</v>
      </c>
      <c r="AE150" s="763">
        <v>0.04683978023093479</v>
      </c>
      <c r="AF150" s="763">
        <v>0.0050477327901192358</v>
      </c>
      <c r="AG150" s="763">
        <v>0.0082447101648252374</v>
      </c>
      <c r="AH150" s="763">
        <v>0.010864541167152256</v>
      </c>
      <c r="AI150" s="763">
        <v>0.0036316893317887861</v>
      </c>
      <c r="AJ150" s="763">
        <v>0.3077999195035882</v>
      </c>
      <c r="AK150" s="763">
        <v>0.38733751193228322</v>
      </c>
      <c r="AL150" s="763">
        <v>0.38478222108493326</v>
      </c>
      <c r="AM150" s="763">
        <v>0.40989930272771835</v>
      </c>
      <c r="AN150" s="763">
        <v>0.47840464680234696</v>
      </c>
      <c r="AO150" s="763">
        <v>0.19811881973211326</v>
      </c>
      <c r="AP150" s="763">
        <v>0.23271050278396169</v>
      </c>
      <c r="AQ150" s="763">
        <v>0.049383539296789652</v>
      </c>
      <c r="AR150" s="764">
        <v>0.037442761302474543</v>
      </c>
      <c r="AS150" s="394"/>
      <c r="AT150" s="397"/>
      <c r="AU150" s="398"/>
      <c r="AV150" s="398"/>
    </row>
    <row r="151" spans="1:48">
      <c r="A151" s="396">
        <v>935</v>
      </c>
      <c r="B151" s="761" t="s">
        <v>303</v>
      </c>
      <c r="C151" s="762">
        <v>55757</v>
      </c>
      <c r="D151" s="762">
        <v>48066</v>
      </c>
      <c r="E151" s="762">
        <v>37617</v>
      </c>
      <c r="F151" s="762">
        <v>7911</v>
      </c>
      <c r="G151" s="762">
        <v>7633</v>
      </c>
      <c r="H151" s="762">
        <v>7386</v>
      </c>
      <c r="I151" s="762">
        <v>7404</v>
      </c>
      <c r="J151" s="762">
        <v>7283</v>
      </c>
      <c r="K151" s="763">
        <v>0.15468909733307029</v>
      </c>
      <c r="L151" s="763">
        <v>0.19901872437264162</v>
      </c>
      <c r="M151" s="763">
        <v>0.13951139112635241</v>
      </c>
      <c r="N151" s="763">
        <v>0.24060916714263966</v>
      </c>
      <c r="O151" s="763">
        <v>0.70649235811318278</v>
      </c>
      <c r="P151" s="763">
        <v>0.092481356963850528</v>
      </c>
      <c r="Q151" s="763">
        <v>0.056596907792226467</v>
      </c>
      <c r="R151" s="763">
        <v>0.062955944715238993</v>
      </c>
      <c r="S151" s="763">
        <v>0.041387476793206417</v>
      </c>
      <c r="T151" s="763">
        <v>0.033134977885117531</v>
      </c>
      <c r="U151" s="763">
        <v>0.0069509777371776667</v>
      </c>
      <c r="V151" s="763">
        <v>0.73132623624552373</v>
      </c>
      <c r="W151" s="763">
        <v>0.082884034119400443</v>
      </c>
      <c r="X151" s="763">
        <v>0.051883289566983196</v>
      </c>
      <c r="Y151" s="763">
        <v>0.057366319920186662</v>
      </c>
      <c r="Z151" s="763">
        <v>0.037581171434827851</v>
      </c>
      <c r="AA151" s="763">
        <v>0.03329661519365875</v>
      </c>
      <c r="AB151" s="763">
        <v>0.0056623335194194088</v>
      </c>
      <c r="AC151" s="763">
        <v>0.021446888913848688</v>
      </c>
      <c r="AD151" s="763">
        <v>0.040401590221217247</v>
      </c>
      <c r="AE151" s="763">
        <v>0.057934875997984019</v>
      </c>
      <c r="AF151" s="763">
        <v>0.00487662766685496</v>
      </c>
      <c r="AG151" s="763">
        <v>0.0092213414443647057</v>
      </c>
      <c r="AH151" s="763">
        <v>0.013431493631262068</v>
      </c>
      <c r="AI151" s="763">
        <v>0.0051127255383933449</v>
      </c>
      <c r="AJ151" s="763">
        <v>0.30550458032144256</v>
      </c>
      <c r="AK151" s="763">
        <v>0.378366686140546</v>
      </c>
      <c r="AL151" s="763">
        <v>0.39112674346626847</v>
      </c>
      <c r="AM151" s="763">
        <v>0.42419942206428835</v>
      </c>
      <c r="AN151" s="763">
        <v>0.50391543225969693</v>
      </c>
      <c r="AO151" s="763">
        <v>0.21625829166413535</v>
      </c>
      <c r="AP151" s="763">
        <v>0.23965321964066302</v>
      </c>
      <c r="AQ151" s="763">
        <v>0.061752035689565034</v>
      </c>
      <c r="AR151" s="764">
        <v>0.040534143722792959</v>
      </c>
      <c r="AS151" s="394"/>
      <c r="AT151" s="397"/>
      <c r="AU151" s="398"/>
      <c r="AV151" s="398"/>
    </row>
    <row r="152" spans="1:48">
      <c r="A152" s="396">
        <v>936</v>
      </c>
      <c r="B152" s="761" t="s">
        <v>305</v>
      </c>
      <c r="C152" s="762">
        <v>89502</v>
      </c>
      <c r="D152" s="762">
        <v>76742</v>
      </c>
      <c r="E152" s="762">
        <v>55948</v>
      </c>
      <c r="F152" s="762">
        <v>12008</v>
      </c>
      <c r="G152" s="762">
        <v>11693</v>
      </c>
      <c r="H152" s="762">
        <v>10980</v>
      </c>
      <c r="I152" s="762">
        <v>10719</v>
      </c>
      <c r="J152" s="762">
        <v>10548</v>
      </c>
      <c r="K152" s="763">
        <v>0.095662666756050146</v>
      </c>
      <c r="L152" s="763">
        <v>0.12931275772181533</v>
      </c>
      <c r="M152" s="763">
        <v>0.081093157932365767</v>
      </c>
      <c r="N152" s="763">
        <v>0.15577217520653383</v>
      </c>
      <c r="O152" s="763">
        <v>0.861827831309948</v>
      </c>
      <c r="P152" s="763">
        <v>0.060883461458811593</v>
      </c>
      <c r="Q152" s="763">
        <v>0.046763885696092411</v>
      </c>
      <c r="R152" s="763">
        <v>0.018703920502640345</v>
      </c>
      <c r="S152" s="763">
        <v>0.0078091981383389582</v>
      </c>
      <c r="T152" s="763">
        <v>0.003989357024802723</v>
      </c>
      <c r="U152" s="763">
        <v>2.2345869366047684E-05</v>
      </c>
      <c r="V152" s="763">
        <v>0.85714214873045269</v>
      </c>
      <c r="W152" s="763">
        <v>0.063084857691476218</v>
      </c>
      <c r="X152" s="763">
        <v>0.048430144069526504</v>
      </c>
      <c r="Y152" s="763">
        <v>0.018720343406294537</v>
      </c>
      <c r="Z152" s="763">
        <v>0.00885008590789656</v>
      </c>
      <c r="AA152" s="763">
        <v>0.003718783512936673</v>
      </c>
      <c r="AB152" s="763">
        <v>5.3636681416728395E-05</v>
      </c>
      <c r="AC152" s="763">
        <v>0.030639881465317008</v>
      </c>
      <c r="AD152" s="763">
        <v>0.058293773224122512</v>
      </c>
      <c r="AE152" s="763">
        <v>0.082805636335296764</v>
      </c>
      <c r="AF152" s="763">
        <v>0.0055804516590147561</v>
      </c>
      <c r="AG152" s="763">
        <v>0.01004328593474252</v>
      </c>
      <c r="AH152" s="763">
        <v>0.01563659025130084</v>
      </c>
      <c r="AI152" s="763">
        <v>0.0024074597107181994</v>
      </c>
      <c r="AJ152" s="763">
        <v>0.2489569137430131</v>
      </c>
      <c r="AK152" s="763">
        <v>0.29612229390430883</v>
      </c>
      <c r="AL152" s="763">
        <v>0.29990782343715422</v>
      </c>
      <c r="AM152" s="763">
        <v>0.3294557604695782</v>
      </c>
      <c r="AN152" s="763">
        <v>0.40555482343461868</v>
      </c>
      <c r="AO152" s="763">
        <v>0.14778890658098903</v>
      </c>
      <c r="AP152" s="763">
        <v>0.18357047697816037</v>
      </c>
      <c r="AQ152" s="763">
        <v>0.040175453801143943</v>
      </c>
      <c r="AR152" s="764">
        <v>0.027113397479947662</v>
      </c>
      <c r="AS152" s="394"/>
      <c r="AT152" s="397"/>
      <c r="AU152" s="398"/>
      <c r="AV152" s="398"/>
    </row>
    <row r="153" spans="1:48">
      <c r="A153" s="396">
        <v>937</v>
      </c>
      <c r="B153" s="761" t="s">
        <v>319</v>
      </c>
      <c r="C153" s="762">
        <v>44850</v>
      </c>
      <c r="D153" s="762">
        <v>38574</v>
      </c>
      <c r="E153" s="762">
        <v>31326</v>
      </c>
      <c r="F153" s="762">
        <v>6733</v>
      </c>
      <c r="G153" s="762">
        <v>6436</v>
      </c>
      <c r="H153" s="762">
        <v>6170</v>
      </c>
      <c r="I153" s="762">
        <v>6118</v>
      </c>
      <c r="J153" s="762">
        <v>5869</v>
      </c>
      <c r="K153" s="763">
        <v>0.13498327759197323</v>
      </c>
      <c r="L153" s="763">
        <v>0.16683454701184131</v>
      </c>
      <c r="M153" s="763">
        <v>0.1266998659260678</v>
      </c>
      <c r="N153" s="763">
        <v>0.19196653877390793</v>
      </c>
      <c r="O153" s="763">
        <v>0.74060193011174447</v>
      </c>
      <c r="P153" s="763">
        <v>0.12279314813884205</v>
      </c>
      <c r="Q153" s="763">
        <v>0.055736051344826967</v>
      </c>
      <c r="R153" s="763">
        <v>0.042378748211331849</v>
      </c>
      <c r="S153" s="763">
        <v>0.0016286716624598064</v>
      </c>
      <c r="T153" s="763">
        <v>0.019511861880097077</v>
      </c>
      <c r="U153" s="763">
        <v>0.0173495886506977</v>
      </c>
      <c r="V153" s="763">
        <v>0.74682939608493737</v>
      </c>
      <c r="W153" s="763">
        <v>0.11283997748228863</v>
      </c>
      <c r="X153" s="763">
        <v>0.056008036880481372</v>
      </c>
      <c r="Y153" s="763">
        <v>0.041940315466303259</v>
      </c>
      <c r="Z153" s="763">
        <v>0.00435099501079348</v>
      </c>
      <c r="AA153" s="763">
        <v>0.021015687346497156</v>
      </c>
      <c r="AB153" s="763">
        <v>0.01701559172869864</v>
      </c>
      <c r="AC153" s="763">
        <v>0.026917833035335993</v>
      </c>
      <c r="AD153" s="763">
        <v>0.051742702138689936</v>
      </c>
      <c r="AE153" s="763">
        <v>0.072814603041582951</v>
      </c>
      <c r="AF153" s="763">
        <v>0.0046864186656942353</v>
      </c>
      <c r="AG153" s="763">
        <v>0.0090568148940325163</v>
      </c>
      <c r="AH153" s="763">
        <v>0.013813394262952767</v>
      </c>
      <c r="AI153" s="763">
        <v>0.0052379057463565054</v>
      </c>
      <c r="AJ153" s="763">
        <v>0.29330109780900765</v>
      </c>
      <c r="AK153" s="763">
        <v>0.32413741034350496</v>
      </c>
      <c r="AL153" s="763">
        <v>0.3116098611825649</v>
      </c>
      <c r="AM153" s="763">
        <v>0.35780617469730414</v>
      </c>
      <c r="AN153" s="763">
        <v>0.40740518012536669</v>
      </c>
      <c r="AO153" s="763">
        <v>0.17497919438212187</v>
      </c>
      <c r="AP153" s="763">
        <v>0.19755968235731164</v>
      </c>
      <c r="AQ153" s="763">
        <v>0.048211528560058274</v>
      </c>
      <c r="AR153" s="764">
        <v>0.028200705411451563</v>
      </c>
      <c r="AS153" s="394"/>
      <c r="AT153" s="397"/>
      <c r="AU153" s="398"/>
      <c r="AV153" s="398"/>
    </row>
    <row r="154" spans="1:48" ht="15.75" thickBot="1">
      <c r="A154" s="399">
        <v>938</v>
      </c>
      <c r="B154" s="765" t="s">
        <v>321</v>
      </c>
      <c r="C154" s="766">
        <v>65053</v>
      </c>
      <c r="D154" s="766">
        <v>55962</v>
      </c>
      <c r="E154" s="766">
        <v>42390</v>
      </c>
      <c r="F154" s="766">
        <v>9121</v>
      </c>
      <c r="G154" s="766">
        <v>8680</v>
      </c>
      <c r="H154" s="766">
        <v>8408</v>
      </c>
      <c r="I154" s="766">
        <v>8099</v>
      </c>
      <c r="J154" s="766">
        <v>8082</v>
      </c>
      <c r="K154" s="767">
        <v>0.095260787358000421</v>
      </c>
      <c r="L154" s="767">
        <v>0.13792113677761395</v>
      </c>
      <c r="M154" s="767">
        <v>0.090186364708657776</v>
      </c>
      <c r="N154" s="767">
        <v>0.1736354581307876</v>
      </c>
      <c r="O154" s="767">
        <v>0.77684605104579585</v>
      </c>
      <c r="P154" s="767">
        <v>0.095056622583866532</v>
      </c>
      <c r="Q154" s="767">
        <v>0.0927049327229447</v>
      </c>
      <c r="R154" s="767">
        <v>0.015389470466852542</v>
      </c>
      <c r="S154" s="767">
        <v>0.0073362313859639981</v>
      </c>
      <c r="T154" s="767">
        <v>0.0126666917945764</v>
      </c>
      <c r="U154" s="767">
        <v>0</v>
      </c>
      <c r="V154" s="767">
        <v>0.7847151390678101</v>
      </c>
      <c r="W154" s="767">
        <v>0.095116093220186743</v>
      </c>
      <c r="X154" s="767">
        <v>0.085141630146559871</v>
      </c>
      <c r="Y154" s="767">
        <v>0.016005954725863747</v>
      </c>
      <c r="Z154" s="767">
        <v>0.00682060655480241</v>
      </c>
      <c r="AA154" s="767">
        <v>0.012200576284777267</v>
      </c>
      <c r="AB154" s="767">
        <v>0</v>
      </c>
      <c r="AC154" s="767">
        <v>0.024897367617232789</v>
      </c>
      <c r="AD154" s="767">
        <v>0.047345922507173933</v>
      </c>
      <c r="AE154" s="767">
        <v>0.06696678518162</v>
      </c>
      <c r="AF154" s="767">
        <v>0.0052915742970131982</v>
      </c>
      <c r="AG154" s="767">
        <v>0.0091685904068664111</v>
      </c>
      <c r="AH154" s="767">
        <v>0.012735871525028692</v>
      </c>
      <c r="AI154" s="767">
        <v>0.0034027335635214888</v>
      </c>
      <c r="AJ154" s="767">
        <v>0.3134733831175216</v>
      </c>
      <c r="AK154" s="767">
        <v>0.36616224224906119</v>
      </c>
      <c r="AL154" s="767">
        <v>0.37659470621583568</v>
      </c>
      <c r="AM154" s="767">
        <v>0.43496223630557729</v>
      </c>
      <c r="AN154" s="767">
        <v>0.53985008905293108</v>
      </c>
      <c r="AO154" s="767">
        <v>0.20791341671043187</v>
      </c>
      <c r="AP154" s="767">
        <v>0.23911902782929559</v>
      </c>
      <c r="AQ154" s="767">
        <v>0.047690832872687619</v>
      </c>
      <c r="AR154" s="768">
        <v>0.032452203150950897</v>
      </c>
      <c r="AS154" s="394"/>
      <c r="AT154" s="397"/>
      <c r="AU154" s="398"/>
      <c r="AV154" s="398"/>
    </row>
    <row r="155"/>
    <row r="156"/>
    <row r="157"/>
    <row r="158"/>
  </sheetData>
  <sheetProtection algorithmName="SHA-512" hashValue="sbdkl52K81tjdZcmbFQe4ZjFj/N7jbBiBg7O/hJG78R4owfTpdQ4sNF3SKEDHZ0h0HVo/gQdwDTV4T1CyOno0g==" saltValue="7xNGmHBAY7C12WRLHNwUQA==" spinCount="100000" sheet="1" objects="1" scenarios="1"/>
  <sortState ref="A4:AS154">
    <sortCondition ref="A4:A154"/>
  </sortState>
  <pageMargins left="0.7" right="0.7" top="0.75" bottom="0.75" header="0.3" footer="0.3"/>
  <headerFooter scaleWithDoc="1" alignWithMargins="0" differentFirst="0" differentOddEven="0"/>
  <extLst/>
</worksheet>
</file>

<file path=xl/worksheets/sheet9.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7"/>
  <dimension ref="A1:AN157"/>
  <sheetViews>
    <sheetView topLeftCell="A3" showGridLines="0" view="normal" workbookViewId="0">
      <pane xSplit="2" ySplit="1" topLeftCell="X39" activePane="topRight" state="frozen"/>
      <selection pane="topRight" activeCell="AD60" sqref="AD60"/>
    </sheetView>
  </sheetViews>
  <sheetFormatPr defaultColWidth="0" zeroHeight="true" defaultRowHeight="14.25"/>
  <cols>
    <col min="1" max="1" width="7.00390625" style="381" bestFit="1" customWidth="1"/>
    <col min="2" max="2" width="45.625" style="381" customWidth="1"/>
    <col min="3" max="17" width="15.625" style="381" customWidth="1"/>
    <col min="18" max="18" width="15.625" style="386" customWidth="1"/>
    <col min="19" max="20" width="15.625" style="381" customWidth="1"/>
    <col min="21" max="22" width="15.625" style="386" customWidth="1"/>
    <col min="23" max="39" width="15.625" style="381" customWidth="1"/>
    <col min="40" max="40" width="9.00390625" style="381" customWidth="1"/>
    <col min="41" max="16384" width="9.00390625" style="381" hidden="1" customWidth="1"/>
  </cols>
  <sheetData>
    <row r="1" spans="1:39" ht="26.25">
      <c r="A1" s="380" t="s">
        <v>1254</v>
      </c>
      <c r="B1" s="203"/>
      <c r="C1"/>
      <c r="D1"/>
      <c r="E1"/>
      <c r="F1"/>
      <c r="G1"/>
      <c r="H1"/>
      <c r="I1"/>
      <c r="J1"/>
      <c r="K1"/>
      <c r="L1"/>
      <c r="M1"/>
      <c r="N1"/>
      <c r="O1"/>
      <c r="P1"/>
      <c r="Q1"/>
      <c r="R1"/>
      <c r="S1"/>
      <c r="T1"/>
      <c r="U1"/>
      <c r="V1"/>
      <c r="W1"/>
      <c r="X1"/>
      <c r="Y1"/>
      <c r="Z1"/>
      <c r="AA1"/>
      <c r="AB1"/>
      <c r="AC1"/>
      <c r="AD1"/>
      <c r="AE1"/>
      <c r="AF1"/>
      <c r="AG1"/>
      <c r="AH1"/>
      <c r="AI1"/>
      <c r="AJ1"/>
      <c r="AK1"/>
      <c r="AL1"/>
      <c r="AM1"/>
    </row>
    <row r="2" spans="1:39" ht="15.75" thickBot="1">
      <c r="A2" s="204"/>
      <c r="B2" s="205"/>
      <c r="C2"/>
      <c r="D2"/>
      <c r="E2"/>
      <c r="F2"/>
      <c r="G2"/>
      <c r="H2"/>
      <c r="I2"/>
      <c r="J2"/>
      <c r="K2"/>
      <c r="L2"/>
      <c r="M2"/>
      <c r="N2"/>
      <c r="O2"/>
      <c r="P2"/>
      <c r="Q2"/>
      <c r="R2"/>
      <c r="S2"/>
      <c r="T2"/>
      <c r="U2"/>
      <c r="V2"/>
      <c r="W2"/>
      <c r="X2"/>
      <c r="Y2"/>
      <c r="Z2"/>
      <c r="AA2"/>
      <c r="AB2"/>
      <c r="AC2"/>
      <c r="AD2"/>
      <c r="AE2"/>
      <c r="AF2"/>
      <c r="AG2"/>
      <c r="AH2"/>
      <c r="AI2"/>
      <c r="AJ2"/>
      <c r="AK2"/>
      <c r="AL2"/>
      <c r="AM2"/>
    </row>
    <row r="3" spans="1:39" s="387" customFormat="1" ht="75.75" thickBot="1">
      <c r="A3" s="913" t="s">
        <v>580</v>
      </c>
      <c r="B3" s="913" t="s">
        <v>581</v>
      </c>
      <c r="C3" s="914" t="s">
        <v>1106</v>
      </c>
      <c r="D3" s="914" t="s">
        <v>1107</v>
      </c>
      <c r="E3" s="914" t="s">
        <v>1108</v>
      </c>
      <c r="F3" s="914" t="s">
        <v>1252</v>
      </c>
      <c r="G3" s="914" t="s">
        <v>582</v>
      </c>
      <c r="H3" s="914" t="s">
        <v>583</v>
      </c>
      <c r="I3" s="914" t="s">
        <v>584</v>
      </c>
      <c r="J3" s="914" t="s">
        <v>585</v>
      </c>
      <c r="K3" s="914" t="s">
        <v>586</v>
      </c>
      <c r="L3" s="914" t="s">
        <v>1110</v>
      </c>
      <c r="M3" s="914" t="s">
        <v>587</v>
      </c>
      <c r="N3" s="914" t="s">
        <v>588</v>
      </c>
      <c r="O3" s="914" t="s">
        <v>589</v>
      </c>
      <c r="P3" s="914" t="s">
        <v>590</v>
      </c>
      <c r="Q3" s="914" t="s">
        <v>591</v>
      </c>
      <c r="R3" s="914" t="s">
        <v>592</v>
      </c>
      <c r="S3" s="914" t="s">
        <v>593</v>
      </c>
      <c r="T3" s="914" t="s">
        <v>594</v>
      </c>
      <c r="U3" s="914" t="s">
        <v>595</v>
      </c>
      <c r="V3" s="914" t="s">
        <v>596</v>
      </c>
      <c r="W3" s="914" t="s">
        <v>597</v>
      </c>
      <c r="X3" s="914" t="s">
        <v>598</v>
      </c>
      <c r="Y3" s="914" t="s">
        <v>599</v>
      </c>
      <c r="Z3" s="914" t="s">
        <v>600</v>
      </c>
      <c r="AA3" s="914" t="s">
        <v>601</v>
      </c>
      <c r="AB3" s="914" t="s">
        <v>602</v>
      </c>
      <c r="AC3" s="914" t="s">
        <v>603</v>
      </c>
      <c r="AD3" s="914" t="s">
        <v>604</v>
      </c>
      <c r="AE3" s="914" t="s">
        <v>605</v>
      </c>
      <c r="AF3" s="914" t="s">
        <v>606</v>
      </c>
      <c r="AG3" s="914" t="s">
        <v>607</v>
      </c>
      <c r="AH3" s="914" t="s">
        <v>1111</v>
      </c>
      <c r="AI3" s="914" t="s">
        <v>1253</v>
      </c>
      <c r="AJ3" s="914" t="s">
        <v>608</v>
      </c>
      <c r="AK3" s="914" t="s">
        <v>609</v>
      </c>
      <c r="AL3" s="914" t="s">
        <v>610</v>
      </c>
      <c r="AM3" s="914" t="s">
        <v>611</v>
      </c>
    </row>
    <row r="4" spans="1:40" ht="15" customHeight="1">
      <c r="A4" s="909">
        <v>201</v>
      </c>
      <c r="B4" s="910" t="s">
        <v>203</v>
      </c>
      <c r="C4" s="911">
        <v>3750</v>
      </c>
      <c r="D4" s="911">
        <v>4800</v>
      </c>
      <c r="E4" s="911">
        <v>5300</v>
      </c>
      <c r="F4" s="911">
        <v>5000</v>
      </c>
      <c r="G4" s="911">
        <v>6075</v>
      </c>
      <c r="H4" s="911">
        <v>4800</v>
      </c>
      <c r="I4" s="911">
        <v>5300</v>
      </c>
      <c r="J4" s="911">
        <v>3503</v>
      </c>
      <c r="K4" s="911">
        <v>3503</v>
      </c>
      <c r="L4" s="911">
        <v>1750</v>
      </c>
      <c r="M4" s="911">
        <v>1750</v>
      </c>
      <c r="N4" s="911">
        <v>200</v>
      </c>
      <c r="O4" s="911">
        <v>250</v>
      </c>
      <c r="P4" s="911">
        <v>250</v>
      </c>
      <c r="Q4" s="911">
        <v>250</v>
      </c>
      <c r="R4" s="911">
        <v>250</v>
      </c>
      <c r="S4" s="911">
        <v>250</v>
      </c>
      <c r="T4" s="911">
        <v>400</v>
      </c>
      <c r="U4" s="911">
        <v>400</v>
      </c>
      <c r="V4" s="911">
        <v>500</v>
      </c>
      <c r="W4" s="911">
        <v>500</v>
      </c>
      <c r="X4" s="911">
        <v>600</v>
      </c>
      <c r="Y4" s="911">
        <v>600</v>
      </c>
      <c r="Z4" s="911">
        <v>5000</v>
      </c>
      <c r="AA4" s="911" t="s">
        <v>646</v>
      </c>
      <c r="AB4" s="911">
        <v>735</v>
      </c>
      <c r="AC4" s="911" t="s">
        <v>645</v>
      </c>
      <c r="AD4" s="911" t="s">
        <v>352</v>
      </c>
      <c r="AE4" s="911">
        <v>1500</v>
      </c>
      <c r="AF4" s="911">
        <v>0.64527134</v>
      </c>
      <c r="AG4" s="911">
        <v>0.63585523</v>
      </c>
      <c r="AH4" s="911">
        <v>0.58045405</v>
      </c>
      <c r="AI4" s="911">
        <v>0.48019237</v>
      </c>
      <c r="AJ4" s="911" t="s">
        <v>352</v>
      </c>
      <c r="AK4" s="911">
        <v>175000</v>
      </c>
      <c r="AL4" s="911">
        <v>0</v>
      </c>
      <c r="AM4" s="912">
        <v>0.0184</v>
      </c>
      <c r="AN4" s="381">
        <f>SUM(C4:AM4)</f>
        <v>232218.36017299</v>
      </c>
    </row>
    <row r="5" spans="1:40" ht="15" customHeight="1">
      <c r="A5" s="775">
        <v>202</v>
      </c>
      <c r="B5" s="776" t="s">
        <v>199</v>
      </c>
      <c r="C5" s="777">
        <v>3750</v>
      </c>
      <c r="D5" s="777">
        <v>4800</v>
      </c>
      <c r="E5" s="777">
        <v>5300</v>
      </c>
      <c r="F5" s="777">
        <v>5000</v>
      </c>
      <c r="G5" s="777">
        <v>3643</v>
      </c>
      <c r="H5" s="777">
        <v>5069</v>
      </c>
      <c r="I5" s="777">
        <v>5578</v>
      </c>
      <c r="J5" s="777">
        <v>0</v>
      </c>
      <c r="K5" s="777">
        <v>0</v>
      </c>
      <c r="L5" s="777">
        <v>879</v>
      </c>
      <c r="M5" s="777">
        <v>1053</v>
      </c>
      <c r="N5" s="777">
        <v>250</v>
      </c>
      <c r="O5" s="777">
        <v>343</v>
      </c>
      <c r="P5" s="777">
        <v>311</v>
      </c>
      <c r="Q5" s="777">
        <v>451</v>
      </c>
      <c r="R5" s="777">
        <v>415</v>
      </c>
      <c r="S5" s="777">
        <v>558</v>
      </c>
      <c r="T5" s="777">
        <v>504</v>
      </c>
      <c r="U5" s="777">
        <v>657</v>
      </c>
      <c r="V5" s="777">
        <v>569</v>
      </c>
      <c r="W5" s="777">
        <v>729</v>
      </c>
      <c r="X5" s="777">
        <v>808</v>
      </c>
      <c r="Y5" s="777">
        <v>1136</v>
      </c>
      <c r="Z5" s="777">
        <v>1214</v>
      </c>
      <c r="AA5" s="777" t="s">
        <v>646</v>
      </c>
      <c r="AB5" s="777">
        <v>564</v>
      </c>
      <c r="AC5" s="777" t="s">
        <v>647</v>
      </c>
      <c r="AD5" s="777">
        <v>1365</v>
      </c>
      <c r="AE5" s="777">
        <v>808</v>
      </c>
      <c r="AF5" s="777">
        <v>0.64527134</v>
      </c>
      <c r="AG5" s="777">
        <v>0.63585523</v>
      </c>
      <c r="AH5" s="777">
        <v>0.58045405</v>
      </c>
      <c r="AI5" s="777">
        <v>0.48019237</v>
      </c>
      <c r="AJ5" s="777">
        <v>1136</v>
      </c>
      <c r="AK5" s="777">
        <v>150000</v>
      </c>
      <c r="AL5" s="777">
        <v>175000</v>
      </c>
      <c r="AM5" s="778">
        <v>0.0184</v>
      </c>
      <c r="AN5" s="381">
        <f>SUM(C5:AM5)</f>
        <v>371892.36017299</v>
      </c>
    </row>
    <row r="6" spans="1:40" ht="15" customHeight="1">
      <c r="A6" s="775">
        <v>203</v>
      </c>
      <c r="B6" s="776" t="s">
        <v>225</v>
      </c>
      <c r="C6" s="777">
        <v>3750</v>
      </c>
      <c r="D6" s="777">
        <v>4800</v>
      </c>
      <c r="E6" s="777">
        <v>5300</v>
      </c>
      <c r="F6" s="777">
        <v>5000</v>
      </c>
      <c r="G6" s="777">
        <v>3376.17</v>
      </c>
      <c r="H6" s="777">
        <v>4748.15</v>
      </c>
      <c r="I6" s="777">
        <v>5389.82</v>
      </c>
      <c r="J6" s="777">
        <v>531.77</v>
      </c>
      <c r="K6" s="777">
        <v>531.77</v>
      </c>
      <c r="L6" s="777">
        <v>661.76</v>
      </c>
      <c r="M6" s="777">
        <v>963.1</v>
      </c>
      <c r="N6" s="777">
        <v>248.16</v>
      </c>
      <c r="O6" s="777">
        <v>354.52</v>
      </c>
      <c r="P6" s="777">
        <v>295.43</v>
      </c>
      <c r="Q6" s="777">
        <v>478.6</v>
      </c>
      <c r="R6" s="777">
        <v>443.15</v>
      </c>
      <c r="S6" s="777">
        <v>632.22</v>
      </c>
      <c r="T6" s="777">
        <v>478.6</v>
      </c>
      <c r="U6" s="777">
        <v>685.4</v>
      </c>
      <c r="V6" s="777">
        <v>514.05</v>
      </c>
      <c r="W6" s="777">
        <v>738.58</v>
      </c>
      <c r="X6" s="777">
        <v>709.03</v>
      </c>
      <c r="Y6" s="777">
        <v>992.64</v>
      </c>
      <c r="Z6" s="777" t="s">
        <v>352</v>
      </c>
      <c r="AA6" s="777" t="s">
        <v>646</v>
      </c>
      <c r="AB6" s="777">
        <v>632.22</v>
      </c>
      <c r="AC6" s="777" t="s">
        <v>647</v>
      </c>
      <c r="AD6" s="777">
        <v>1701.68</v>
      </c>
      <c r="AE6" s="777">
        <v>1258.53</v>
      </c>
      <c r="AF6" s="777">
        <v>0.64527134</v>
      </c>
      <c r="AG6" s="777">
        <v>0.63585523</v>
      </c>
      <c r="AH6" s="777">
        <v>0.58045405</v>
      </c>
      <c r="AI6" s="777">
        <v>0.48019237</v>
      </c>
      <c r="AJ6" s="777">
        <v>1902.57</v>
      </c>
      <c r="AK6" s="777">
        <v>135188.77</v>
      </c>
      <c r="AL6" s="777">
        <v>135188.77</v>
      </c>
      <c r="AM6" s="778">
        <v>0.032355662022303465</v>
      </c>
      <c r="AN6" s="381">
        <f>SUM(C6:AM6)</f>
        <v>317497.834128652</v>
      </c>
    </row>
    <row r="7" spans="1:40" ht="15" customHeight="1">
      <c r="A7" s="775">
        <v>204</v>
      </c>
      <c r="B7" s="776" t="s">
        <v>226</v>
      </c>
      <c r="C7" s="777">
        <v>3750</v>
      </c>
      <c r="D7" s="777">
        <v>4800</v>
      </c>
      <c r="E7" s="777">
        <v>5300</v>
      </c>
      <c r="F7" s="777">
        <v>5000</v>
      </c>
      <c r="G7" s="777">
        <v>4458.734</v>
      </c>
      <c r="H7" s="777">
        <v>6393.5</v>
      </c>
      <c r="I7" s="777">
        <v>6649.53</v>
      </c>
      <c r="J7" s="777">
        <v>531.77</v>
      </c>
      <c r="K7" s="777">
        <v>531.77</v>
      </c>
      <c r="L7" s="777">
        <v>151.35</v>
      </c>
      <c r="M7" s="777">
        <v>192</v>
      </c>
      <c r="N7" s="777">
        <v>248.16</v>
      </c>
      <c r="O7" s="777">
        <v>248.16</v>
      </c>
      <c r="P7" s="777">
        <v>295.43</v>
      </c>
      <c r="Q7" s="777">
        <v>295.43</v>
      </c>
      <c r="R7" s="777">
        <v>443.15</v>
      </c>
      <c r="S7" s="777">
        <v>443.15</v>
      </c>
      <c r="T7" s="777">
        <v>478.6</v>
      </c>
      <c r="U7" s="777">
        <v>685.3976</v>
      </c>
      <c r="V7" s="777">
        <v>514.05</v>
      </c>
      <c r="W7" s="777">
        <v>738.575</v>
      </c>
      <c r="X7" s="777">
        <v>709.03</v>
      </c>
      <c r="Y7" s="777">
        <v>992.6448</v>
      </c>
      <c r="Z7" s="777" t="s">
        <v>352</v>
      </c>
      <c r="AA7" s="777" t="s">
        <v>646</v>
      </c>
      <c r="AB7" s="777">
        <v>632.22</v>
      </c>
      <c r="AC7" s="777" t="s">
        <v>647</v>
      </c>
      <c r="AD7" s="777">
        <v>1701.68</v>
      </c>
      <c r="AE7" s="777">
        <v>1258.5318</v>
      </c>
      <c r="AF7" s="777">
        <v>0.64527134</v>
      </c>
      <c r="AG7" s="777">
        <v>0.63585523</v>
      </c>
      <c r="AH7" s="777">
        <v>0.58045405</v>
      </c>
      <c r="AI7" s="777">
        <v>0.48019237</v>
      </c>
      <c r="AJ7" s="777">
        <v>1902.5692</v>
      </c>
      <c r="AK7" s="777">
        <v>135188.77</v>
      </c>
      <c r="AL7" s="777">
        <v>135188.77</v>
      </c>
      <c r="AM7" s="778">
        <v>0.009</v>
      </c>
      <c r="AN7" s="381">
        <f>SUM(C7:AM7)</f>
        <v>319725.32317299</v>
      </c>
    </row>
    <row r="8" spans="1:40" ht="15" customHeight="1">
      <c r="A8" s="775">
        <v>205</v>
      </c>
      <c r="B8" s="776" t="s">
        <v>228</v>
      </c>
      <c r="C8" s="777">
        <v>3750</v>
      </c>
      <c r="D8" s="777">
        <v>4800</v>
      </c>
      <c r="E8" s="777">
        <v>5300</v>
      </c>
      <c r="F8" s="777">
        <v>5000</v>
      </c>
      <c r="G8" s="777">
        <v>3649.33</v>
      </c>
      <c r="H8" s="777">
        <v>5132.32</v>
      </c>
      <c r="I8" s="777">
        <v>5825.91</v>
      </c>
      <c r="J8" s="777">
        <v>0</v>
      </c>
      <c r="K8" s="777">
        <v>0</v>
      </c>
      <c r="L8" s="777">
        <v>715.31</v>
      </c>
      <c r="M8" s="777">
        <v>1041.02</v>
      </c>
      <c r="N8" s="777">
        <v>268.24</v>
      </c>
      <c r="O8" s="777">
        <v>383.2</v>
      </c>
      <c r="P8" s="777">
        <v>319.33</v>
      </c>
      <c r="Q8" s="777">
        <v>517.32</v>
      </c>
      <c r="R8" s="777">
        <v>479</v>
      </c>
      <c r="S8" s="777">
        <v>683.37</v>
      </c>
      <c r="T8" s="777">
        <v>517.32</v>
      </c>
      <c r="U8" s="777">
        <v>740.85</v>
      </c>
      <c r="V8" s="777">
        <v>555.64</v>
      </c>
      <c r="W8" s="777">
        <v>798.33</v>
      </c>
      <c r="X8" s="777">
        <v>766.4</v>
      </c>
      <c r="Y8" s="777">
        <v>1072.96</v>
      </c>
      <c r="Z8" s="777">
        <v>551.2286</v>
      </c>
      <c r="AA8" s="777" t="s">
        <v>646</v>
      </c>
      <c r="AB8" s="777">
        <v>683.37</v>
      </c>
      <c r="AC8" s="777" t="s">
        <v>647</v>
      </c>
      <c r="AD8" s="777">
        <v>1839.36</v>
      </c>
      <c r="AE8" s="777">
        <v>1360.36</v>
      </c>
      <c r="AF8" s="777">
        <v>0.64527134</v>
      </c>
      <c r="AG8" s="777">
        <v>0.63585523</v>
      </c>
      <c r="AH8" s="777">
        <v>0.58045405</v>
      </c>
      <c r="AI8" s="777">
        <v>0.48019237</v>
      </c>
      <c r="AJ8" s="777">
        <v>2056.5</v>
      </c>
      <c r="AK8" s="777">
        <v>146126.67</v>
      </c>
      <c r="AL8" s="777">
        <v>146126.67</v>
      </c>
      <c r="AM8" s="778">
        <v>0.005</v>
      </c>
      <c r="AN8" s="381">
        <f>SUM(C8:AM8)</f>
        <v>341062.35537299</v>
      </c>
    </row>
    <row r="9" spans="1:40" ht="15" customHeight="1">
      <c r="A9" s="775">
        <v>206</v>
      </c>
      <c r="B9" s="776" t="s">
        <v>240</v>
      </c>
      <c r="C9" s="777">
        <v>3750</v>
      </c>
      <c r="D9" s="777">
        <v>4800</v>
      </c>
      <c r="E9" s="777">
        <v>5300</v>
      </c>
      <c r="F9" s="777">
        <v>5000</v>
      </c>
      <c r="G9" s="777">
        <v>3382</v>
      </c>
      <c r="H9" s="777">
        <v>4757</v>
      </c>
      <c r="I9" s="777">
        <v>5399</v>
      </c>
      <c r="J9" s="777">
        <v>533</v>
      </c>
      <c r="K9" s="777">
        <v>533</v>
      </c>
      <c r="L9" s="777">
        <v>663</v>
      </c>
      <c r="M9" s="777">
        <v>965</v>
      </c>
      <c r="N9" s="777">
        <v>249</v>
      </c>
      <c r="O9" s="777">
        <v>355</v>
      </c>
      <c r="P9" s="777">
        <v>296</v>
      </c>
      <c r="Q9" s="777">
        <v>479</v>
      </c>
      <c r="R9" s="777">
        <v>444</v>
      </c>
      <c r="S9" s="777">
        <v>633</v>
      </c>
      <c r="T9" s="777">
        <v>479</v>
      </c>
      <c r="U9" s="777">
        <v>687</v>
      </c>
      <c r="V9" s="777">
        <v>515</v>
      </c>
      <c r="W9" s="777">
        <v>740</v>
      </c>
      <c r="X9" s="777">
        <v>710</v>
      </c>
      <c r="Y9" s="777">
        <v>994</v>
      </c>
      <c r="Z9" s="777" t="s">
        <v>352</v>
      </c>
      <c r="AA9" s="777" t="s">
        <v>646</v>
      </c>
      <c r="AB9" s="777">
        <v>633</v>
      </c>
      <c r="AC9" s="777" t="s">
        <v>647</v>
      </c>
      <c r="AD9" s="777">
        <v>1705</v>
      </c>
      <c r="AE9" s="777">
        <v>1261</v>
      </c>
      <c r="AF9" s="777">
        <v>0.64527134</v>
      </c>
      <c r="AG9" s="777">
        <v>0.63585523</v>
      </c>
      <c r="AH9" s="777">
        <v>0.58045405</v>
      </c>
      <c r="AI9" s="777">
        <v>0.48019237</v>
      </c>
      <c r="AJ9" s="777">
        <v>1906</v>
      </c>
      <c r="AK9" s="777">
        <v>135428</v>
      </c>
      <c r="AL9" s="777">
        <v>135428</v>
      </c>
      <c r="AM9" s="778">
        <v>0.014255312847751625</v>
      </c>
      <c r="AN9" s="381">
        <f>SUM(C9:AM9)</f>
        <v>318026.35602830286</v>
      </c>
    </row>
    <row r="10" spans="1:40" ht="15" customHeight="1">
      <c r="A10" s="775">
        <v>207</v>
      </c>
      <c r="B10" s="776" t="s">
        <v>241</v>
      </c>
      <c r="C10" s="777">
        <v>3750</v>
      </c>
      <c r="D10" s="777">
        <v>4800</v>
      </c>
      <c r="E10" s="777">
        <v>5300</v>
      </c>
      <c r="F10" s="777">
        <v>5000</v>
      </c>
      <c r="G10" s="777">
        <v>3901.789765</v>
      </c>
      <c r="H10" s="777">
        <v>5668.499765</v>
      </c>
      <c r="I10" s="777">
        <v>5988.939765</v>
      </c>
      <c r="J10" s="777">
        <v>547.47</v>
      </c>
      <c r="K10" s="777">
        <v>529.45</v>
      </c>
      <c r="L10" s="777">
        <v>331.47</v>
      </c>
      <c r="M10" s="777">
        <v>482.4</v>
      </c>
      <c r="N10" s="777">
        <v>124.3</v>
      </c>
      <c r="O10" s="777">
        <v>177.57</v>
      </c>
      <c r="P10" s="777">
        <v>147.98</v>
      </c>
      <c r="Q10" s="777">
        <v>239.72</v>
      </c>
      <c r="R10" s="777">
        <v>221.96</v>
      </c>
      <c r="S10" s="777">
        <v>316.67</v>
      </c>
      <c r="T10" s="777">
        <v>355.33</v>
      </c>
      <c r="U10" s="777">
        <v>465.94</v>
      </c>
      <c r="V10" s="777">
        <v>373.09</v>
      </c>
      <c r="W10" s="777">
        <v>492.58</v>
      </c>
      <c r="X10" s="777">
        <v>470.75</v>
      </c>
      <c r="Y10" s="777">
        <v>619.84</v>
      </c>
      <c r="Z10" s="777">
        <v>0</v>
      </c>
      <c r="AA10" s="777" t="s">
        <v>646</v>
      </c>
      <c r="AB10" s="777">
        <v>663.58</v>
      </c>
      <c r="AC10" s="777" t="s">
        <v>647</v>
      </c>
      <c r="AD10" s="777">
        <v>1205.44</v>
      </c>
      <c r="AE10" s="777">
        <v>780.32</v>
      </c>
      <c r="AF10" s="777">
        <v>0.64527134</v>
      </c>
      <c r="AG10" s="777">
        <v>0.63585523</v>
      </c>
      <c r="AH10" s="777">
        <v>0.58045405</v>
      </c>
      <c r="AI10" s="777">
        <v>0.48019237</v>
      </c>
      <c r="AJ10" s="777">
        <v>1062.13</v>
      </c>
      <c r="AK10" s="777">
        <v>132713.93</v>
      </c>
      <c r="AL10" s="777">
        <v>132713.93</v>
      </c>
      <c r="AM10" s="778">
        <v>0.0184</v>
      </c>
      <c r="AN10" s="381">
        <f>SUM(C10:AM10)</f>
        <v>309447.43946799</v>
      </c>
    </row>
    <row r="11" spans="1:40" ht="15" customHeight="1">
      <c r="A11" s="775">
        <v>208</v>
      </c>
      <c r="B11" s="776" t="s">
        <v>247</v>
      </c>
      <c r="C11" s="777">
        <v>3750</v>
      </c>
      <c r="D11" s="777">
        <v>4800</v>
      </c>
      <c r="E11" s="777">
        <v>5300</v>
      </c>
      <c r="F11" s="777">
        <v>5000</v>
      </c>
      <c r="G11" s="777">
        <v>4265.76</v>
      </c>
      <c r="H11" s="777">
        <v>6277.92</v>
      </c>
      <c r="I11" s="777">
        <v>6468.69</v>
      </c>
      <c r="J11" s="777">
        <v>89.02</v>
      </c>
      <c r="K11" s="777">
        <v>99.48</v>
      </c>
      <c r="L11" s="777">
        <v>706.48</v>
      </c>
      <c r="M11" s="777">
        <v>774.66</v>
      </c>
      <c r="N11" s="777">
        <v>40.47</v>
      </c>
      <c r="O11" s="777">
        <v>65.57</v>
      </c>
      <c r="P11" s="777">
        <v>48.56</v>
      </c>
      <c r="Q11" s="777">
        <v>88.18</v>
      </c>
      <c r="R11" s="777">
        <v>72.84</v>
      </c>
      <c r="S11" s="777">
        <v>116.44</v>
      </c>
      <c r="T11" s="777">
        <v>78.9</v>
      </c>
      <c r="U11" s="777">
        <v>126.62</v>
      </c>
      <c r="V11" s="777">
        <v>84.97</v>
      </c>
      <c r="W11" s="777">
        <v>135.66</v>
      </c>
      <c r="X11" s="777">
        <v>116.34</v>
      </c>
      <c r="Y11" s="777">
        <v>183.14</v>
      </c>
      <c r="Z11" s="777">
        <v>0</v>
      </c>
      <c r="AA11" s="777" t="s">
        <v>646</v>
      </c>
      <c r="AB11" s="777">
        <v>619.64</v>
      </c>
      <c r="AC11" s="777" t="s">
        <v>647</v>
      </c>
      <c r="AD11" s="777">
        <v>1995.46</v>
      </c>
      <c r="AE11" s="777">
        <v>543.4</v>
      </c>
      <c r="AF11" s="777">
        <v>0.64527134</v>
      </c>
      <c r="AG11" s="777">
        <v>0.63585523</v>
      </c>
      <c r="AH11" s="777">
        <v>0.58045405</v>
      </c>
      <c r="AI11" s="777">
        <v>0.48019237</v>
      </c>
      <c r="AJ11" s="777">
        <v>1864.94</v>
      </c>
      <c r="AK11" s="777">
        <v>170000</v>
      </c>
      <c r="AL11" s="777">
        <v>170000</v>
      </c>
      <c r="AM11" s="778">
        <v>0.005</v>
      </c>
      <c r="AN11" s="381">
        <f>SUM(C11:AM11)</f>
        <v>383715.48677299</v>
      </c>
    </row>
    <row r="12" spans="1:40" ht="15" customHeight="1">
      <c r="A12" s="775">
        <v>209</v>
      </c>
      <c r="B12" s="776" t="s">
        <v>252</v>
      </c>
      <c r="C12" s="777">
        <v>3750</v>
      </c>
      <c r="D12" s="777">
        <v>4800</v>
      </c>
      <c r="E12" s="777">
        <v>5300</v>
      </c>
      <c r="F12" s="777">
        <v>5000</v>
      </c>
      <c r="G12" s="777">
        <v>3382.1451700000002</v>
      </c>
      <c r="H12" s="777">
        <v>4756.54858</v>
      </c>
      <c r="I12" s="777">
        <v>5399.3574100000005</v>
      </c>
      <c r="J12" s="777">
        <v>532.7145</v>
      </c>
      <c r="K12" s="777">
        <v>532.7145</v>
      </c>
      <c r="L12" s="777">
        <v>662.93360000000007</v>
      </c>
      <c r="M12" s="777">
        <v>964.80515</v>
      </c>
      <c r="N12" s="777">
        <v>248.6001</v>
      </c>
      <c r="O12" s="777">
        <v>355.14300000000003</v>
      </c>
      <c r="P12" s="777">
        <v>295.9525</v>
      </c>
      <c r="Q12" s="777">
        <v>479.44305</v>
      </c>
      <c r="R12" s="777">
        <v>443.92875000000004</v>
      </c>
      <c r="S12" s="777">
        <v>633.33835</v>
      </c>
      <c r="T12" s="777">
        <v>479.44305</v>
      </c>
      <c r="U12" s="777">
        <v>686.60980000000006</v>
      </c>
      <c r="V12" s="777">
        <v>514.95735</v>
      </c>
      <c r="W12" s="777">
        <v>739.88125</v>
      </c>
      <c r="X12" s="777">
        <v>710.28600000000006</v>
      </c>
      <c r="Y12" s="777">
        <v>994.4004</v>
      </c>
      <c r="Z12" s="777" t="s">
        <v>352</v>
      </c>
      <c r="AA12" s="777" t="s">
        <v>646</v>
      </c>
      <c r="AB12" s="777">
        <v>633.33835</v>
      </c>
      <c r="AC12" s="777" t="s">
        <v>647</v>
      </c>
      <c r="AD12" s="777">
        <v>1704.6864</v>
      </c>
      <c r="AE12" s="777">
        <v>1260.75765</v>
      </c>
      <c r="AF12" s="777">
        <v>0.64527134</v>
      </c>
      <c r="AG12" s="777">
        <v>0.63585523</v>
      </c>
      <c r="AH12" s="777">
        <v>0.58045405</v>
      </c>
      <c r="AI12" s="777">
        <v>0.48019237</v>
      </c>
      <c r="AJ12" s="777">
        <v>1905.9341</v>
      </c>
      <c r="AK12" s="777">
        <v>135427.864</v>
      </c>
      <c r="AL12" s="777">
        <v>135427.864</v>
      </c>
      <c r="AM12" s="778">
        <v>0.0184</v>
      </c>
      <c r="AN12" s="381">
        <f>SUM(C12:AM12)</f>
        <v>318026.00718299</v>
      </c>
    </row>
    <row r="13" spans="1:40" ht="15" customHeight="1">
      <c r="A13" s="775">
        <v>210</v>
      </c>
      <c r="B13" s="776" t="s">
        <v>297</v>
      </c>
      <c r="C13" s="777">
        <v>3750</v>
      </c>
      <c r="D13" s="777">
        <v>4800</v>
      </c>
      <c r="E13" s="777">
        <v>5300</v>
      </c>
      <c r="F13" s="777">
        <v>5000</v>
      </c>
      <c r="G13" s="777">
        <v>4142.61</v>
      </c>
      <c r="H13" s="777">
        <v>5929.19</v>
      </c>
      <c r="I13" s="777">
        <v>5929.19</v>
      </c>
      <c r="J13" s="777" t="s">
        <v>352</v>
      </c>
      <c r="K13" s="777" t="s">
        <v>352</v>
      </c>
      <c r="L13" s="777">
        <v>1122.11163222564</v>
      </c>
      <c r="M13" s="777">
        <v>1368.37771264879</v>
      </c>
      <c r="N13" s="777">
        <v>112.74315915501</v>
      </c>
      <c r="O13" s="777">
        <v>93.184653333385</v>
      </c>
      <c r="P13" s="777">
        <v>117.574467385526</v>
      </c>
      <c r="Q13" s="777">
        <v>127.44830208181</v>
      </c>
      <c r="R13" s="777">
        <v>224.64490733465</v>
      </c>
      <c r="S13" s="777">
        <v>443.934997114589</v>
      </c>
      <c r="T13" s="777">
        <v>360.630064587261</v>
      </c>
      <c r="U13" s="777">
        <v>718.211315059402</v>
      </c>
      <c r="V13" s="777">
        <v>414.250466799949</v>
      </c>
      <c r="W13" s="777">
        <v>826.658396248399</v>
      </c>
      <c r="X13" s="777">
        <v>408.913869772076</v>
      </c>
      <c r="Y13" s="777">
        <v>1036.24293052842</v>
      </c>
      <c r="Z13" s="777" t="s">
        <v>352</v>
      </c>
      <c r="AA13" s="777" t="s">
        <v>646</v>
      </c>
      <c r="AB13" s="777">
        <v>263.57</v>
      </c>
      <c r="AC13" s="777" t="s">
        <v>647</v>
      </c>
      <c r="AD13" s="777">
        <v>1432.08</v>
      </c>
      <c r="AE13" s="777">
        <v>407</v>
      </c>
      <c r="AF13" s="777">
        <v>0.64527134</v>
      </c>
      <c r="AG13" s="777">
        <v>0.63585523</v>
      </c>
      <c r="AH13" s="777">
        <v>0.58045405</v>
      </c>
      <c r="AI13" s="777">
        <v>0.48019237</v>
      </c>
      <c r="AJ13" s="777">
        <v>1529.91</v>
      </c>
      <c r="AK13" s="777">
        <v>137400</v>
      </c>
      <c r="AL13" s="777">
        <v>137400</v>
      </c>
      <c r="AM13" s="778">
        <v>0.0105</v>
      </c>
      <c r="AN13" s="381">
        <f>SUM(C13:AM13)</f>
        <v>320660.82914726489</v>
      </c>
    </row>
    <row r="14" spans="1:40" ht="15" customHeight="1">
      <c r="A14" s="775">
        <v>211</v>
      </c>
      <c r="B14" s="776" t="s">
        <v>312</v>
      </c>
      <c r="C14" s="777">
        <v>3750</v>
      </c>
      <c r="D14" s="777">
        <v>4800</v>
      </c>
      <c r="E14" s="777">
        <v>5300</v>
      </c>
      <c r="F14" s="777">
        <v>5000</v>
      </c>
      <c r="G14" s="777">
        <v>3382.15</v>
      </c>
      <c r="H14" s="777">
        <v>4756.55</v>
      </c>
      <c r="I14" s="777">
        <v>5399.36</v>
      </c>
      <c r="J14" s="777">
        <v>532.71</v>
      </c>
      <c r="K14" s="777">
        <v>532.71</v>
      </c>
      <c r="L14" s="777">
        <v>662.93</v>
      </c>
      <c r="M14" s="777">
        <v>964.81</v>
      </c>
      <c r="N14" s="777">
        <v>248.6</v>
      </c>
      <c r="O14" s="777">
        <v>355.14</v>
      </c>
      <c r="P14" s="777">
        <v>295.95</v>
      </c>
      <c r="Q14" s="777">
        <v>479.44</v>
      </c>
      <c r="R14" s="777">
        <v>443.93</v>
      </c>
      <c r="S14" s="777">
        <v>633.34</v>
      </c>
      <c r="T14" s="777">
        <v>479.44</v>
      </c>
      <c r="U14" s="777">
        <v>686.61</v>
      </c>
      <c r="V14" s="777">
        <v>514.96</v>
      </c>
      <c r="W14" s="777">
        <v>739.88</v>
      </c>
      <c r="X14" s="777">
        <v>710.29</v>
      </c>
      <c r="Y14" s="777">
        <v>994.4</v>
      </c>
      <c r="Z14" s="777">
        <v>0</v>
      </c>
      <c r="AA14" s="777" t="s">
        <v>646</v>
      </c>
      <c r="AB14" s="777">
        <v>633.34</v>
      </c>
      <c r="AC14" s="777" t="s">
        <v>647</v>
      </c>
      <c r="AD14" s="777">
        <v>1704.69</v>
      </c>
      <c r="AE14" s="777">
        <v>1260.76</v>
      </c>
      <c r="AF14" s="777">
        <v>0.64527134</v>
      </c>
      <c r="AG14" s="777">
        <v>0.63585523</v>
      </c>
      <c r="AH14" s="777">
        <v>0.58045405</v>
      </c>
      <c r="AI14" s="777">
        <v>0.48019237</v>
      </c>
      <c r="AJ14" s="777">
        <v>1905.93</v>
      </c>
      <c r="AK14" s="777">
        <v>135427.86</v>
      </c>
      <c r="AL14" s="777">
        <v>135427.86</v>
      </c>
      <c r="AM14" s="778">
        <v>0.0184</v>
      </c>
      <c r="AN14" s="381">
        <f>SUM(C14:AM14)</f>
        <v>318026.00017298997</v>
      </c>
    </row>
    <row r="15" spans="1:40" ht="15" customHeight="1">
      <c r="A15" s="775">
        <v>212</v>
      </c>
      <c r="B15" s="776" t="s">
        <v>317</v>
      </c>
      <c r="C15" s="777">
        <v>3750</v>
      </c>
      <c r="D15" s="777">
        <v>4800</v>
      </c>
      <c r="E15" s="777">
        <v>5300</v>
      </c>
      <c r="F15" s="777">
        <v>5000</v>
      </c>
      <c r="G15" s="777">
        <v>3828.6411966</v>
      </c>
      <c r="H15" s="777">
        <v>4824.1398582</v>
      </c>
      <c r="I15" s="777">
        <v>5972.7232602</v>
      </c>
      <c r="J15" s="777">
        <v>2541.16</v>
      </c>
      <c r="K15" s="777">
        <v>2687.07</v>
      </c>
      <c r="L15" s="777" t="s">
        <v>352</v>
      </c>
      <c r="M15" s="777" t="s">
        <v>352</v>
      </c>
      <c r="N15" s="777" t="s">
        <v>352</v>
      </c>
      <c r="O15" s="777" t="s">
        <v>352</v>
      </c>
      <c r="P15" s="777" t="s">
        <v>352</v>
      </c>
      <c r="Q15" s="777" t="s">
        <v>352</v>
      </c>
      <c r="R15" s="777" t="s">
        <v>352</v>
      </c>
      <c r="S15" s="777" t="s">
        <v>352</v>
      </c>
      <c r="T15" s="777" t="s">
        <v>352</v>
      </c>
      <c r="U15" s="777" t="s">
        <v>352</v>
      </c>
      <c r="V15" s="777" t="s">
        <v>352</v>
      </c>
      <c r="W15" s="777" t="s">
        <v>352</v>
      </c>
      <c r="X15" s="777" t="s">
        <v>352</v>
      </c>
      <c r="Y15" s="777" t="s">
        <v>352</v>
      </c>
      <c r="Z15" s="777" t="s">
        <v>352</v>
      </c>
      <c r="AA15" s="777" t="s">
        <v>646</v>
      </c>
      <c r="AB15" s="777">
        <v>542.07</v>
      </c>
      <c r="AC15" s="777" t="s">
        <v>647</v>
      </c>
      <c r="AD15" s="777">
        <v>1474.43</v>
      </c>
      <c r="AE15" s="777">
        <v>1780.6</v>
      </c>
      <c r="AF15" s="777">
        <v>0.64527134</v>
      </c>
      <c r="AG15" s="777">
        <v>0.63585523</v>
      </c>
      <c r="AH15" s="777">
        <v>0.58045405</v>
      </c>
      <c r="AI15" s="777">
        <v>0.48019237</v>
      </c>
      <c r="AJ15" s="777">
        <v>1543.6</v>
      </c>
      <c r="AK15" s="777">
        <v>100000</v>
      </c>
      <c r="AL15" s="777">
        <v>100000</v>
      </c>
      <c r="AM15" s="778">
        <v>0.01</v>
      </c>
      <c r="AN15" s="381">
        <f>SUM(C15:AM15)</f>
        <v>244046.78608799</v>
      </c>
    </row>
    <row r="16" spans="1:40" ht="15" customHeight="1">
      <c r="A16" s="775">
        <v>213</v>
      </c>
      <c r="B16" s="776" t="s">
        <v>322</v>
      </c>
      <c r="C16" s="777">
        <v>3750</v>
      </c>
      <c r="D16" s="777">
        <v>4800</v>
      </c>
      <c r="E16" s="777">
        <v>5300</v>
      </c>
      <c r="F16" s="777">
        <v>5000</v>
      </c>
      <c r="G16" s="777">
        <v>3957.9231</v>
      </c>
      <c r="H16" s="777">
        <v>5513.1731</v>
      </c>
      <c r="I16" s="777">
        <v>6161.9831</v>
      </c>
      <c r="J16" s="777" t="s">
        <v>352</v>
      </c>
      <c r="K16" s="777" t="s">
        <v>352</v>
      </c>
      <c r="L16" s="777">
        <v>954.16</v>
      </c>
      <c r="M16" s="777">
        <v>1220.32</v>
      </c>
      <c r="N16" s="777" t="s">
        <v>352</v>
      </c>
      <c r="O16" s="777" t="s">
        <v>352</v>
      </c>
      <c r="P16" s="777" t="s">
        <v>352</v>
      </c>
      <c r="Q16" s="777" t="s">
        <v>352</v>
      </c>
      <c r="R16" s="777" t="s">
        <v>352</v>
      </c>
      <c r="S16" s="777" t="s">
        <v>352</v>
      </c>
      <c r="T16" s="777" t="s">
        <v>352</v>
      </c>
      <c r="U16" s="777">
        <v>14.01</v>
      </c>
      <c r="V16" s="777" t="s">
        <v>352</v>
      </c>
      <c r="W16" s="777">
        <v>28.03</v>
      </c>
      <c r="X16" s="777" t="s">
        <v>352</v>
      </c>
      <c r="Y16" s="777">
        <v>42.04</v>
      </c>
      <c r="Z16" s="777">
        <v>0</v>
      </c>
      <c r="AA16" s="777" t="s">
        <v>646</v>
      </c>
      <c r="AB16" s="777">
        <v>599.55</v>
      </c>
      <c r="AC16" s="777" t="s">
        <v>647</v>
      </c>
      <c r="AD16" s="777">
        <v>3208.58</v>
      </c>
      <c r="AE16" s="777">
        <v>722.34</v>
      </c>
      <c r="AF16" s="777">
        <v>0.64527134</v>
      </c>
      <c r="AG16" s="777">
        <v>0.63585523</v>
      </c>
      <c r="AH16" s="777">
        <v>0.58045405</v>
      </c>
      <c r="AI16" s="777">
        <v>0.48019237</v>
      </c>
      <c r="AJ16" s="777">
        <v>1851.21</v>
      </c>
      <c r="AK16" s="777">
        <v>129989.2</v>
      </c>
      <c r="AL16" s="777">
        <v>129989.2</v>
      </c>
      <c r="AM16" s="778">
        <v>0.0184</v>
      </c>
      <c r="AN16" s="381">
        <f>SUM(C16:AM16)</f>
        <v>303104.07947299</v>
      </c>
    </row>
    <row r="17" spans="1:40" ht="15" customHeight="1">
      <c r="A17" s="775">
        <v>301</v>
      </c>
      <c r="B17" s="776" t="s">
        <v>172</v>
      </c>
      <c r="C17" s="777">
        <v>3750</v>
      </c>
      <c r="D17" s="777">
        <v>4800</v>
      </c>
      <c r="E17" s="777">
        <v>5300</v>
      </c>
      <c r="F17" s="777">
        <v>5000</v>
      </c>
      <c r="G17" s="777">
        <v>3375</v>
      </c>
      <c r="H17" s="777">
        <v>4365</v>
      </c>
      <c r="I17" s="777">
        <v>5010</v>
      </c>
      <c r="J17" s="777">
        <v>508.4325</v>
      </c>
      <c r="K17" s="777">
        <v>508.4325</v>
      </c>
      <c r="L17" s="777">
        <v>632.716</v>
      </c>
      <c r="M17" s="777">
        <v>920.82775</v>
      </c>
      <c r="N17" s="777">
        <v>237.26850000000002</v>
      </c>
      <c r="O17" s="777">
        <v>338.955</v>
      </c>
      <c r="P17" s="777">
        <v>282.4625</v>
      </c>
      <c r="Q17" s="777">
        <v>457.58925</v>
      </c>
      <c r="R17" s="777">
        <v>423.69375</v>
      </c>
      <c r="S17" s="777">
        <v>604.46975</v>
      </c>
      <c r="T17" s="777">
        <v>457.58925</v>
      </c>
      <c r="U17" s="777">
        <v>655.313</v>
      </c>
      <c r="V17" s="777">
        <v>491.48475</v>
      </c>
      <c r="W17" s="777">
        <v>706.15625</v>
      </c>
      <c r="X17" s="777">
        <v>677.91</v>
      </c>
      <c r="Y17" s="777">
        <v>949.07400000000007</v>
      </c>
      <c r="Z17" s="777" t="s">
        <v>352</v>
      </c>
      <c r="AA17" s="777" t="s">
        <v>646</v>
      </c>
      <c r="AB17" s="777">
        <v>604.46975</v>
      </c>
      <c r="AC17" s="777" t="s">
        <v>647</v>
      </c>
      <c r="AD17" s="777">
        <v>1626.984</v>
      </c>
      <c r="AE17" s="777">
        <v>1203.29025</v>
      </c>
      <c r="AF17" s="777">
        <v>0.64527134</v>
      </c>
      <c r="AG17" s="777">
        <v>0.63585523</v>
      </c>
      <c r="AH17" s="777">
        <v>0.58045405</v>
      </c>
      <c r="AI17" s="777">
        <v>0.48019237</v>
      </c>
      <c r="AJ17" s="777">
        <v>1819.06</v>
      </c>
      <c r="AK17" s="777">
        <v>129254.84</v>
      </c>
      <c r="AL17" s="777">
        <v>129254.84</v>
      </c>
      <c r="AM17" s="778">
        <v>0.0184</v>
      </c>
      <c r="AN17" s="381">
        <f>SUM(C17:AM17)</f>
        <v>304218.21892298997</v>
      </c>
    </row>
    <row r="18" spans="1:40" ht="15" customHeight="1">
      <c r="A18" s="775">
        <v>302</v>
      </c>
      <c r="B18" s="776" t="s">
        <v>174</v>
      </c>
      <c r="C18" s="777">
        <v>3750</v>
      </c>
      <c r="D18" s="777">
        <v>4800</v>
      </c>
      <c r="E18" s="777">
        <v>5300</v>
      </c>
      <c r="F18" s="777">
        <v>5000</v>
      </c>
      <c r="G18" s="777">
        <v>3139.90014</v>
      </c>
      <c r="H18" s="777">
        <v>4415.86236</v>
      </c>
      <c r="I18" s="777">
        <v>5012.6302200000009</v>
      </c>
      <c r="J18" s="777">
        <v>494.56</v>
      </c>
      <c r="K18" s="777">
        <v>494.56</v>
      </c>
      <c r="L18" s="777">
        <v>615.45</v>
      </c>
      <c r="M18" s="777">
        <v>895.7</v>
      </c>
      <c r="N18" s="777">
        <v>230.79</v>
      </c>
      <c r="O18" s="777">
        <v>329.71</v>
      </c>
      <c r="P18" s="777">
        <v>274.76</v>
      </c>
      <c r="Q18" s="777">
        <v>445.1</v>
      </c>
      <c r="R18" s="777">
        <v>412.13</v>
      </c>
      <c r="S18" s="777">
        <v>587.98</v>
      </c>
      <c r="T18" s="777">
        <v>445.1</v>
      </c>
      <c r="U18" s="777">
        <v>637.43</v>
      </c>
      <c r="V18" s="777">
        <v>478.07</v>
      </c>
      <c r="W18" s="777">
        <v>686.89</v>
      </c>
      <c r="X18" s="777">
        <v>659.41</v>
      </c>
      <c r="Y18" s="777">
        <v>923.18</v>
      </c>
      <c r="Z18" s="777">
        <v>0</v>
      </c>
      <c r="AA18" s="777" t="s">
        <v>650</v>
      </c>
      <c r="AB18" s="777">
        <v>587.98</v>
      </c>
      <c r="AC18" s="777" t="s">
        <v>651</v>
      </c>
      <c r="AD18" s="777">
        <v>1582.59</v>
      </c>
      <c r="AE18" s="777">
        <v>1170.46</v>
      </c>
      <c r="AF18" s="777">
        <v>0.64527134</v>
      </c>
      <c r="AG18" s="777">
        <v>0.63585523</v>
      </c>
      <c r="AH18" s="777">
        <v>0.58045405</v>
      </c>
      <c r="AI18" s="777">
        <v>0.48019237</v>
      </c>
      <c r="AJ18" s="777">
        <v>1769.42</v>
      </c>
      <c r="AK18" s="777">
        <v>125727.89</v>
      </c>
      <c r="AL18" s="777">
        <v>125727.89</v>
      </c>
      <c r="AM18" s="778">
        <v>0.0184</v>
      </c>
      <c r="AN18" s="381">
        <f>SUM(C18:AM18)</f>
        <v>296597.80289299</v>
      </c>
    </row>
    <row r="19" spans="1:40" ht="15" customHeight="1">
      <c r="A19" s="775">
        <v>303</v>
      </c>
      <c r="B19" s="776" t="s">
        <v>181</v>
      </c>
      <c r="C19" s="777">
        <v>3750</v>
      </c>
      <c r="D19" s="777">
        <v>4800</v>
      </c>
      <c r="E19" s="777">
        <v>5300</v>
      </c>
      <c r="F19" s="777">
        <v>5000</v>
      </c>
      <c r="G19" s="777">
        <v>3108.86</v>
      </c>
      <c r="H19" s="777">
        <v>4372.2</v>
      </c>
      <c r="I19" s="777">
        <v>4963.07</v>
      </c>
      <c r="J19" s="777">
        <v>487.23</v>
      </c>
      <c r="K19" s="777">
        <v>487.23</v>
      </c>
      <c r="L19" s="777">
        <v>606</v>
      </c>
      <c r="M19" s="777">
        <v>882.43</v>
      </c>
      <c r="N19" s="777">
        <v>227.38</v>
      </c>
      <c r="O19" s="777">
        <v>324.82</v>
      </c>
      <c r="P19" s="777">
        <v>270.69</v>
      </c>
      <c r="Q19" s="777">
        <v>438.51</v>
      </c>
      <c r="R19" s="777">
        <v>406.03</v>
      </c>
      <c r="S19" s="777">
        <v>579.27</v>
      </c>
      <c r="T19" s="777">
        <v>438.51</v>
      </c>
      <c r="U19" s="777">
        <v>627.99</v>
      </c>
      <c r="V19" s="777">
        <v>471</v>
      </c>
      <c r="W19" s="777">
        <v>676.71</v>
      </c>
      <c r="X19" s="777">
        <v>649.64</v>
      </c>
      <c r="Y19" s="777">
        <v>909.5</v>
      </c>
      <c r="Z19" s="777" t="s">
        <v>352</v>
      </c>
      <c r="AA19" s="777" t="s">
        <v>646</v>
      </c>
      <c r="AB19" s="777">
        <v>579.27</v>
      </c>
      <c r="AC19" s="777" t="s">
        <v>647</v>
      </c>
      <c r="AD19" s="777">
        <v>1559.15</v>
      </c>
      <c r="AE19" s="777">
        <v>1153.12</v>
      </c>
      <c r="AF19" s="777">
        <v>0.64527134</v>
      </c>
      <c r="AG19" s="777">
        <v>0.63585523</v>
      </c>
      <c r="AH19" s="777">
        <v>0.58045405</v>
      </c>
      <c r="AI19" s="777">
        <v>0.48019237</v>
      </c>
      <c r="AJ19" s="777">
        <v>1743.21</v>
      </c>
      <c r="AK19" s="777">
        <v>123865</v>
      </c>
      <c r="AL19" s="777">
        <v>123865</v>
      </c>
      <c r="AM19" s="778">
        <v>0.0105</v>
      </c>
      <c r="AN19" s="381">
        <f>SUM(C19:AM19)</f>
        <v>292544.17227299</v>
      </c>
    </row>
    <row r="20" spans="1:40" ht="15" customHeight="1">
      <c r="A20" s="775">
        <v>304</v>
      </c>
      <c r="B20" s="776" t="s">
        <v>191</v>
      </c>
      <c r="C20" s="777">
        <v>3750</v>
      </c>
      <c r="D20" s="777">
        <v>4800</v>
      </c>
      <c r="E20" s="777">
        <v>5300</v>
      </c>
      <c r="F20" s="777">
        <v>5000</v>
      </c>
      <c r="G20" s="777">
        <v>3517.71</v>
      </c>
      <c r="H20" s="777">
        <v>5082.7</v>
      </c>
      <c r="I20" s="777">
        <v>5610.06</v>
      </c>
      <c r="J20" s="777" t="s">
        <v>352</v>
      </c>
      <c r="K20" s="777" t="s">
        <v>352</v>
      </c>
      <c r="L20" s="777" t="s">
        <v>352</v>
      </c>
      <c r="M20" s="777" t="s">
        <v>352</v>
      </c>
      <c r="N20" s="777">
        <v>356.65</v>
      </c>
      <c r="O20" s="777">
        <v>376.09</v>
      </c>
      <c r="P20" s="777">
        <v>361.74</v>
      </c>
      <c r="Q20" s="777">
        <v>398.91</v>
      </c>
      <c r="R20" s="777">
        <v>369.03</v>
      </c>
      <c r="S20" s="777">
        <v>494.66</v>
      </c>
      <c r="T20" s="777">
        <v>610.88</v>
      </c>
      <c r="U20" s="777">
        <v>658.86</v>
      </c>
      <c r="V20" s="777">
        <v>926.59</v>
      </c>
      <c r="W20" s="777">
        <v>1012.34</v>
      </c>
      <c r="X20" s="777">
        <v>1307.36</v>
      </c>
      <c r="Y20" s="777">
        <v>1436.47</v>
      </c>
      <c r="Z20" s="777">
        <v>1064.83</v>
      </c>
      <c r="AA20" s="777" t="s">
        <v>648</v>
      </c>
      <c r="AB20" s="777">
        <v>1317.89</v>
      </c>
      <c r="AC20" s="777" t="s">
        <v>649</v>
      </c>
      <c r="AD20" s="777">
        <v>1467.11</v>
      </c>
      <c r="AE20" s="777">
        <v>1267.66</v>
      </c>
      <c r="AF20" s="777">
        <v>0.64527134</v>
      </c>
      <c r="AG20" s="777">
        <v>0.63585523</v>
      </c>
      <c r="AH20" s="777">
        <v>0.58045405</v>
      </c>
      <c r="AI20" s="777">
        <v>0.48019237</v>
      </c>
      <c r="AJ20" s="777">
        <v>1627.27</v>
      </c>
      <c r="AK20" s="777">
        <v>175000</v>
      </c>
      <c r="AL20" s="777">
        <v>175000</v>
      </c>
      <c r="AM20" s="778">
        <v>0.005</v>
      </c>
      <c r="AN20" s="381">
        <f>SUM(C20:AM20)</f>
        <v>398117.15677299</v>
      </c>
    </row>
    <row r="21" spans="1:40" ht="15" customHeight="1">
      <c r="A21" s="775">
        <v>305</v>
      </c>
      <c r="B21" s="776" t="s">
        <v>194</v>
      </c>
      <c r="C21" s="777">
        <v>3750</v>
      </c>
      <c r="D21" s="777">
        <v>4800</v>
      </c>
      <c r="E21" s="777">
        <v>5300</v>
      </c>
      <c r="F21" s="777">
        <v>5000</v>
      </c>
      <c r="G21" s="777">
        <v>3093</v>
      </c>
      <c r="H21" s="777">
        <v>4350</v>
      </c>
      <c r="I21" s="777">
        <v>4938</v>
      </c>
      <c r="J21" s="777">
        <v>487</v>
      </c>
      <c r="K21" s="777">
        <v>487</v>
      </c>
      <c r="L21" s="777">
        <v>606</v>
      </c>
      <c r="M21" s="777">
        <v>882</v>
      </c>
      <c r="N21" s="777">
        <v>227</v>
      </c>
      <c r="O21" s="777">
        <v>325</v>
      </c>
      <c r="P21" s="777">
        <v>270</v>
      </c>
      <c r="Q21" s="777">
        <v>438</v>
      </c>
      <c r="R21" s="777">
        <v>406</v>
      </c>
      <c r="S21" s="777">
        <v>579</v>
      </c>
      <c r="T21" s="777">
        <v>438</v>
      </c>
      <c r="U21" s="777">
        <v>628</v>
      </c>
      <c r="V21" s="777">
        <v>471</v>
      </c>
      <c r="W21" s="777">
        <v>676</v>
      </c>
      <c r="X21" s="777">
        <v>650</v>
      </c>
      <c r="Y21" s="777">
        <v>910</v>
      </c>
      <c r="Z21" s="777" t="s">
        <v>352</v>
      </c>
      <c r="AA21" s="777" t="s">
        <v>646</v>
      </c>
      <c r="AB21" s="777">
        <v>579</v>
      </c>
      <c r="AC21" s="777" t="s">
        <v>647</v>
      </c>
      <c r="AD21" s="777">
        <v>1559</v>
      </c>
      <c r="AE21" s="777">
        <v>1153</v>
      </c>
      <c r="AF21" s="777">
        <v>0.64527134</v>
      </c>
      <c r="AG21" s="777">
        <v>0.63585523</v>
      </c>
      <c r="AH21" s="777">
        <v>0.58045405</v>
      </c>
      <c r="AI21" s="777">
        <v>0.48019237</v>
      </c>
      <c r="AJ21" s="777">
        <v>1743</v>
      </c>
      <c r="AK21" s="777">
        <v>123865</v>
      </c>
      <c r="AL21" s="777">
        <v>123865</v>
      </c>
      <c r="AM21" s="778">
        <v>0.0145</v>
      </c>
      <c r="AN21" s="381">
        <f>SUM(C21:AM21)</f>
        <v>292477.35627299</v>
      </c>
    </row>
    <row r="22" spans="1:40" ht="15" customHeight="1">
      <c r="A22" s="775">
        <v>306</v>
      </c>
      <c r="B22" s="776" t="s">
        <v>206</v>
      </c>
      <c r="C22" s="777">
        <v>3750</v>
      </c>
      <c r="D22" s="777">
        <v>4800</v>
      </c>
      <c r="E22" s="777">
        <v>5300</v>
      </c>
      <c r="F22" s="777">
        <v>5000</v>
      </c>
      <c r="G22" s="777">
        <v>3396.132216696</v>
      </c>
      <c r="H22" s="777">
        <v>4389.413314196</v>
      </c>
      <c r="I22" s="777">
        <v>4689.886126296</v>
      </c>
      <c r="J22" s="777">
        <v>450</v>
      </c>
      <c r="K22" s="777">
        <v>450</v>
      </c>
      <c r="L22" s="777">
        <v>560</v>
      </c>
      <c r="M22" s="777">
        <v>815</v>
      </c>
      <c r="N22" s="777">
        <v>190</v>
      </c>
      <c r="O22" s="777">
        <v>258</v>
      </c>
      <c r="P22" s="777">
        <v>245</v>
      </c>
      <c r="Q22" s="777">
        <v>378</v>
      </c>
      <c r="R22" s="777">
        <v>356</v>
      </c>
      <c r="S22" s="777">
        <v>443</v>
      </c>
      <c r="T22" s="777">
        <v>407</v>
      </c>
      <c r="U22" s="777">
        <v>520</v>
      </c>
      <c r="V22" s="777">
        <v>487</v>
      </c>
      <c r="W22" s="777">
        <v>659</v>
      </c>
      <c r="X22" s="777">
        <v>813</v>
      </c>
      <c r="Y22" s="777">
        <v>1165</v>
      </c>
      <c r="Z22" s="777">
        <v>500</v>
      </c>
      <c r="AA22" s="777" t="s">
        <v>646</v>
      </c>
      <c r="AB22" s="777">
        <v>528</v>
      </c>
      <c r="AC22" s="777" t="s">
        <v>647</v>
      </c>
      <c r="AD22" s="777">
        <v>1520</v>
      </c>
      <c r="AE22" s="777">
        <v>721</v>
      </c>
      <c r="AF22" s="777">
        <v>0.64527134</v>
      </c>
      <c r="AG22" s="777">
        <v>0.63585523</v>
      </c>
      <c r="AH22" s="777">
        <v>0.58045405</v>
      </c>
      <c r="AI22" s="777">
        <v>0.48019237</v>
      </c>
      <c r="AJ22" s="777">
        <v>1388</v>
      </c>
      <c r="AK22" s="777">
        <v>140000</v>
      </c>
      <c r="AL22" s="777">
        <v>140000</v>
      </c>
      <c r="AM22" s="778">
        <v>0.005</v>
      </c>
      <c r="AN22" s="381">
        <f>SUM(C22:AM22)</f>
        <v>324180.778430178</v>
      </c>
    </row>
    <row r="23" spans="1:40" ht="15" customHeight="1">
      <c r="A23" s="775">
        <v>307</v>
      </c>
      <c r="B23" s="776" t="s">
        <v>218</v>
      </c>
      <c r="C23" s="777">
        <v>3750</v>
      </c>
      <c r="D23" s="777">
        <v>4800</v>
      </c>
      <c r="E23" s="777">
        <v>5300</v>
      </c>
      <c r="F23" s="777">
        <v>5000</v>
      </c>
      <c r="G23" s="777">
        <v>3274.52198</v>
      </c>
      <c r="H23" s="777">
        <v>4605.19052</v>
      </c>
      <c r="I23" s="777">
        <v>5227.54454</v>
      </c>
      <c r="J23" s="777">
        <v>515.76299999999992</v>
      </c>
      <c r="K23" s="777">
        <v>515.76299999999992</v>
      </c>
      <c r="L23" s="777">
        <v>641.8384</v>
      </c>
      <c r="M23" s="777">
        <v>934.1040999999999</v>
      </c>
      <c r="N23" s="777">
        <v>240.68939999999998</v>
      </c>
      <c r="O23" s="777">
        <v>343.842</v>
      </c>
      <c r="P23" s="777">
        <v>286.53499999999997</v>
      </c>
      <c r="Q23" s="777">
        <v>464.1867</v>
      </c>
      <c r="R23" s="777">
        <v>429.80249999999995</v>
      </c>
      <c r="S23" s="777">
        <v>613.1849</v>
      </c>
      <c r="T23" s="777">
        <v>464.1867</v>
      </c>
      <c r="U23" s="777">
        <v>664.76119999999992</v>
      </c>
      <c r="V23" s="777">
        <v>498.5709</v>
      </c>
      <c r="W23" s="777">
        <v>716.3375</v>
      </c>
      <c r="X23" s="777">
        <v>687.684</v>
      </c>
      <c r="Y23" s="777">
        <v>962.75759999999991</v>
      </c>
      <c r="Z23" s="777" t="s">
        <v>352</v>
      </c>
      <c r="AA23" s="777" t="s">
        <v>646</v>
      </c>
      <c r="AB23" s="777">
        <v>613.1849</v>
      </c>
      <c r="AC23" s="777" t="s">
        <v>647</v>
      </c>
      <c r="AD23" s="777">
        <v>1650.4415999999999</v>
      </c>
      <c r="AE23" s="777">
        <v>1136</v>
      </c>
      <c r="AF23" s="777">
        <v>0.64527134</v>
      </c>
      <c r="AG23" s="777">
        <v>0.63585523</v>
      </c>
      <c r="AH23" s="777">
        <v>0.58045405</v>
      </c>
      <c r="AI23" s="777">
        <v>0.48019237</v>
      </c>
      <c r="AJ23" s="777">
        <v>1717.3333333333358</v>
      </c>
      <c r="AK23" s="777">
        <v>131118.416</v>
      </c>
      <c r="AL23" s="777">
        <v>131118.416</v>
      </c>
      <c r="AM23" s="778">
        <v>0.005</v>
      </c>
      <c r="AN23" s="381">
        <f>SUM(C23:AM23)</f>
        <v>308293.40254632337</v>
      </c>
    </row>
    <row r="24" spans="1:40" ht="15" customHeight="1">
      <c r="A24" s="775">
        <v>308</v>
      </c>
      <c r="B24" s="776" t="s">
        <v>221</v>
      </c>
      <c r="C24" s="777">
        <v>3750</v>
      </c>
      <c r="D24" s="777">
        <v>4800</v>
      </c>
      <c r="E24" s="777">
        <v>5300</v>
      </c>
      <c r="F24" s="777">
        <v>5000</v>
      </c>
      <c r="G24" s="777">
        <v>3145.978453</v>
      </c>
      <c r="H24" s="777">
        <v>4351.2384219999994</v>
      </c>
      <c r="I24" s="777">
        <v>4936.1397565000007</v>
      </c>
      <c r="J24" s="777">
        <v>641.287899022819</v>
      </c>
      <c r="K24" s="777">
        <v>709.798488610711</v>
      </c>
      <c r="L24" s="777">
        <v>561.19280392000007</v>
      </c>
      <c r="M24" s="777">
        <v>816.735955705</v>
      </c>
      <c r="N24" s="777">
        <v>193.26909</v>
      </c>
      <c r="O24" s="777">
        <v>276.0987</v>
      </c>
      <c r="P24" s="777">
        <v>230.08225</v>
      </c>
      <c r="Q24" s="777">
        <v>372.733245</v>
      </c>
      <c r="R24" s="777">
        <v>345.123375</v>
      </c>
      <c r="S24" s="777">
        <v>492.376015</v>
      </c>
      <c r="T24" s="777">
        <v>372.733245</v>
      </c>
      <c r="U24" s="777">
        <v>541.34332</v>
      </c>
      <c r="V24" s="777">
        <v>417.60858947705287</v>
      </c>
      <c r="W24" s="777">
        <v>585.023875</v>
      </c>
      <c r="X24" s="777">
        <v>569.603731758338</v>
      </c>
      <c r="Y24" s="777">
        <v>788.18136</v>
      </c>
      <c r="Z24" s="777">
        <v>0</v>
      </c>
      <c r="AA24" s="777" t="s">
        <v>646</v>
      </c>
      <c r="AB24" s="777">
        <v>579.2659</v>
      </c>
      <c r="AC24" s="777" t="s">
        <v>647</v>
      </c>
      <c r="AD24" s="777">
        <v>1559.1456</v>
      </c>
      <c r="AE24" s="777">
        <v>1153.1181000000001</v>
      </c>
      <c r="AF24" s="777">
        <v>0.64527134</v>
      </c>
      <c r="AG24" s="777">
        <v>0.63585523</v>
      </c>
      <c r="AH24" s="777">
        <v>0.58045405</v>
      </c>
      <c r="AI24" s="777">
        <v>0.48019237</v>
      </c>
      <c r="AJ24" s="777">
        <v>1743.2114000000001</v>
      </c>
      <c r="AK24" s="777">
        <v>129585.6376</v>
      </c>
      <c r="AL24" s="777">
        <v>129585.6376</v>
      </c>
      <c r="AM24" s="778">
        <v>0.0184</v>
      </c>
      <c r="AN24" s="381">
        <f>SUM(C24:AM24)</f>
        <v>303404.92494798393</v>
      </c>
    </row>
    <row r="25" spans="1:40" ht="15" customHeight="1">
      <c r="A25" s="775">
        <v>309</v>
      </c>
      <c r="B25" s="776" t="s">
        <v>230</v>
      </c>
      <c r="C25" s="777">
        <v>3750</v>
      </c>
      <c r="D25" s="777">
        <v>4800</v>
      </c>
      <c r="E25" s="777">
        <v>5300</v>
      </c>
      <c r="F25" s="777">
        <v>5000</v>
      </c>
      <c r="G25" s="777">
        <v>3642.88</v>
      </c>
      <c r="H25" s="777">
        <v>5423.12</v>
      </c>
      <c r="I25" s="777">
        <v>5423.12</v>
      </c>
      <c r="J25" s="777">
        <v>1190.67</v>
      </c>
      <c r="K25" s="777">
        <v>1459.73</v>
      </c>
      <c r="L25" s="777">
        <v>0</v>
      </c>
      <c r="M25" s="777">
        <v>0</v>
      </c>
      <c r="N25" s="777">
        <v>215.5</v>
      </c>
      <c r="O25" s="777">
        <v>379.02</v>
      </c>
      <c r="P25" s="777">
        <v>263.39</v>
      </c>
      <c r="Q25" s="777">
        <v>455.66</v>
      </c>
      <c r="R25" s="777">
        <v>335.21</v>
      </c>
      <c r="S25" s="777">
        <v>593.72</v>
      </c>
      <c r="T25" s="777">
        <v>430.97</v>
      </c>
      <c r="U25" s="777">
        <v>754.46</v>
      </c>
      <c r="V25" s="777">
        <v>526.74</v>
      </c>
      <c r="W25" s="777">
        <v>922.14</v>
      </c>
      <c r="X25" s="777">
        <v>721.09</v>
      </c>
      <c r="Y25" s="777">
        <v>1167.68</v>
      </c>
      <c r="Z25" s="777">
        <v>710.2</v>
      </c>
      <c r="AA25" s="777" t="s">
        <v>646</v>
      </c>
      <c r="AB25" s="777">
        <v>355.1</v>
      </c>
      <c r="AC25" s="777" t="s">
        <v>647</v>
      </c>
      <c r="AD25" s="777">
        <v>710.2</v>
      </c>
      <c r="AE25" s="777">
        <v>815.77</v>
      </c>
      <c r="AF25" s="777">
        <v>0.64527134</v>
      </c>
      <c r="AG25" s="777">
        <v>0.63585523</v>
      </c>
      <c r="AH25" s="777">
        <v>0.58045405</v>
      </c>
      <c r="AI25" s="777">
        <v>0.48019237</v>
      </c>
      <c r="AJ25" s="777">
        <v>815.77</v>
      </c>
      <c r="AK25" s="777">
        <v>170000</v>
      </c>
      <c r="AL25" s="777">
        <v>0</v>
      </c>
      <c r="AM25" s="778">
        <v>0.012123328240572</v>
      </c>
      <c r="AN25" s="381">
        <f>SUM(C25:AM25)</f>
        <v>216164.49389631822</v>
      </c>
    </row>
    <row r="26" spans="1:40" ht="15" customHeight="1">
      <c r="A26" s="775">
        <v>310</v>
      </c>
      <c r="B26" s="776" t="s">
        <v>231</v>
      </c>
      <c r="C26" s="777">
        <v>3750</v>
      </c>
      <c r="D26" s="777">
        <v>4800</v>
      </c>
      <c r="E26" s="777">
        <v>5300</v>
      </c>
      <c r="F26" s="777">
        <v>5000</v>
      </c>
      <c r="G26" s="777">
        <v>3164.28575279737</v>
      </c>
      <c r="H26" s="777">
        <v>4450.1554084071</v>
      </c>
      <c r="I26" s="777">
        <v>5051.55802116052</v>
      </c>
      <c r="J26" s="777">
        <v>494.11350000000004</v>
      </c>
      <c r="K26" s="777">
        <v>494.11350000000004</v>
      </c>
      <c r="L26" s="777">
        <v>614.8968</v>
      </c>
      <c r="M26" s="777">
        <v>894.89445</v>
      </c>
      <c r="N26" s="777">
        <v>230.5863</v>
      </c>
      <c r="O26" s="777">
        <v>329.409</v>
      </c>
      <c r="P26" s="777">
        <v>274.5075</v>
      </c>
      <c r="Q26" s="777">
        <v>444.70215</v>
      </c>
      <c r="R26" s="777">
        <v>411.76125</v>
      </c>
      <c r="S26" s="777">
        <v>587.44605</v>
      </c>
      <c r="T26" s="777">
        <v>444.70215</v>
      </c>
      <c r="U26" s="777">
        <v>636.8574</v>
      </c>
      <c r="V26" s="777">
        <v>477.64305</v>
      </c>
      <c r="W26" s="777">
        <v>686.26875000000007</v>
      </c>
      <c r="X26" s="777">
        <v>658.818</v>
      </c>
      <c r="Y26" s="777">
        <v>922.34520000000009</v>
      </c>
      <c r="Z26" s="777">
        <v>0</v>
      </c>
      <c r="AA26" s="777" t="s">
        <v>646</v>
      </c>
      <c r="AB26" s="777">
        <v>587.45</v>
      </c>
      <c r="AC26" s="777" t="s">
        <v>647</v>
      </c>
      <c r="AD26" s="777">
        <v>1581.16</v>
      </c>
      <c r="AE26" s="777">
        <v>1169.4</v>
      </c>
      <c r="AF26" s="777">
        <v>0.64527134</v>
      </c>
      <c r="AG26" s="777">
        <v>0.63585523</v>
      </c>
      <c r="AH26" s="777">
        <v>0.58045405</v>
      </c>
      <c r="AI26" s="777">
        <v>0.48019237</v>
      </c>
      <c r="AJ26" s="777">
        <v>1767.83</v>
      </c>
      <c r="AK26" s="777">
        <v>125614.63</v>
      </c>
      <c r="AL26" s="777">
        <v>125614.63</v>
      </c>
      <c r="AM26" s="778">
        <v>0.04235</v>
      </c>
      <c r="AN26" s="381">
        <f>SUM(C26:AM26)</f>
        <v>296456.54835535504</v>
      </c>
    </row>
    <row r="27" spans="1:40" ht="15" customHeight="1">
      <c r="A27" s="775">
        <v>311</v>
      </c>
      <c r="B27" s="776" t="s">
        <v>233</v>
      </c>
      <c r="C27" s="777">
        <v>3750</v>
      </c>
      <c r="D27" s="777">
        <v>4800</v>
      </c>
      <c r="E27" s="777">
        <v>5300</v>
      </c>
      <c r="F27" s="777">
        <v>5000</v>
      </c>
      <c r="G27" s="777">
        <v>3093.39</v>
      </c>
      <c r="H27" s="777">
        <v>4350.45</v>
      </c>
      <c r="I27" s="777">
        <v>4938.38</v>
      </c>
      <c r="J27" s="777">
        <v>487.23</v>
      </c>
      <c r="K27" s="777">
        <v>487.23</v>
      </c>
      <c r="L27" s="777">
        <v>606.33</v>
      </c>
      <c r="M27" s="777">
        <v>882.43</v>
      </c>
      <c r="N27" s="777">
        <v>227.38</v>
      </c>
      <c r="O27" s="777">
        <v>324.82</v>
      </c>
      <c r="P27" s="777">
        <v>270.69</v>
      </c>
      <c r="Q27" s="777">
        <v>438.51</v>
      </c>
      <c r="R27" s="777">
        <v>406.03</v>
      </c>
      <c r="S27" s="777">
        <v>579.27</v>
      </c>
      <c r="T27" s="777">
        <v>438.51</v>
      </c>
      <c r="U27" s="777">
        <v>627.99</v>
      </c>
      <c r="V27" s="777">
        <v>470.99</v>
      </c>
      <c r="W27" s="777">
        <v>676.71</v>
      </c>
      <c r="X27" s="777">
        <v>649.64</v>
      </c>
      <c r="Y27" s="777">
        <v>909.5</v>
      </c>
      <c r="Z27" s="777">
        <v>0</v>
      </c>
      <c r="AA27" s="777" t="s">
        <v>646</v>
      </c>
      <c r="AB27" s="777">
        <v>579.27</v>
      </c>
      <c r="AC27" s="777" t="s">
        <v>647</v>
      </c>
      <c r="AD27" s="777">
        <v>1559.15</v>
      </c>
      <c r="AE27" s="777">
        <v>1153.12</v>
      </c>
      <c r="AF27" s="777">
        <v>0.64527134</v>
      </c>
      <c r="AG27" s="777">
        <v>0.63585523</v>
      </c>
      <c r="AH27" s="777">
        <v>0.58045405</v>
      </c>
      <c r="AI27" s="777">
        <v>0.48019237</v>
      </c>
      <c r="AJ27" s="777">
        <v>1743.21</v>
      </c>
      <c r="AK27" s="777">
        <v>123865.46</v>
      </c>
      <c r="AL27" s="777">
        <v>123865.46</v>
      </c>
      <c r="AM27" s="778">
        <v>0.005</v>
      </c>
      <c r="AN27" s="381">
        <f>SUM(C27:AM27)</f>
        <v>292483.49677299004</v>
      </c>
    </row>
    <row r="28" spans="1:40" ht="15" customHeight="1">
      <c r="A28" s="775">
        <v>312</v>
      </c>
      <c r="B28" s="776" t="s">
        <v>236</v>
      </c>
      <c r="C28" s="777">
        <v>3750</v>
      </c>
      <c r="D28" s="777">
        <v>4800</v>
      </c>
      <c r="E28" s="777">
        <v>5300</v>
      </c>
      <c r="F28" s="777">
        <v>5000</v>
      </c>
      <c r="G28" s="777">
        <v>3437.2761241884559</v>
      </c>
      <c r="H28" s="777">
        <v>4456.9755409427744</v>
      </c>
      <c r="I28" s="777">
        <v>5093.6831553191778</v>
      </c>
      <c r="J28" s="777" t="s">
        <v>352</v>
      </c>
      <c r="K28" s="777" t="s">
        <v>352</v>
      </c>
      <c r="L28" s="777">
        <v>1031.14</v>
      </c>
      <c r="M28" s="777">
        <v>1340.48</v>
      </c>
      <c r="N28" s="777">
        <v>67.4024</v>
      </c>
      <c r="O28" s="777">
        <v>87.62312</v>
      </c>
      <c r="P28" s="777">
        <v>134.8048</v>
      </c>
      <c r="Q28" s="777">
        <v>175.24624</v>
      </c>
      <c r="R28" s="777">
        <v>202.2072</v>
      </c>
      <c r="S28" s="777">
        <v>262.86936000000003</v>
      </c>
      <c r="T28" s="777">
        <v>269.60892597599997</v>
      </c>
      <c r="U28" s="777">
        <v>350.4916037688</v>
      </c>
      <c r="V28" s="777">
        <v>337.01115747</v>
      </c>
      <c r="W28" s="777">
        <v>438.114504711</v>
      </c>
      <c r="X28" s="777">
        <v>404.413388964</v>
      </c>
      <c r="Y28" s="777">
        <v>525.7374056532</v>
      </c>
      <c r="Z28" s="777">
        <v>0</v>
      </c>
      <c r="AA28" s="777" t="s">
        <v>646</v>
      </c>
      <c r="AB28" s="777">
        <v>768.64</v>
      </c>
      <c r="AC28" s="777" t="s">
        <v>647</v>
      </c>
      <c r="AD28" s="777">
        <v>1158.19</v>
      </c>
      <c r="AE28" s="777">
        <v>613.6</v>
      </c>
      <c r="AF28" s="777">
        <v>0.64527134</v>
      </c>
      <c r="AG28" s="777">
        <v>0.63585523</v>
      </c>
      <c r="AH28" s="777">
        <v>0.58045405</v>
      </c>
      <c r="AI28" s="777">
        <v>0.48019237</v>
      </c>
      <c r="AJ28" s="777">
        <v>1716</v>
      </c>
      <c r="AK28" s="777">
        <v>140000</v>
      </c>
      <c r="AL28" s="777">
        <v>140000</v>
      </c>
      <c r="AM28" s="778">
        <v>0.005</v>
      </c>
      <c r="AN28" s="381">
        <f>SUM(C28:AM28)</f>
        <v>321723.86169998336</v>
      </c>
    </row>
    <row r="29" spans="1:40" ht="15" customHeight="1">
      <c r="A29" s="775">
        <v>313</v>
      </c>
      <c r="B29" s="776" t="s">
        <v>237</v>
      </c>
      <c r="C29" s="777">
        <v>3750</v>
      </c>
      <c r="D29" s="777">
        <v>4800</v>
      </c>
      <c r="E29" s="777">
        <v>5300</v>
      </c>
      <c r="F29" s="777">
        <v>5000</v>
      </c>
      <c r="G29" s="777">
        <v>3231.9</v>
      </c>
      <c r="H29" s="777">
        <v>4507.86</v>
      </c>
      <c r="I29" s="777">
        <v>5104.63</v>
      </c>
      <c r="J29" s="777">
        <v>494.56</v>
      </c>
      <c r="K29" s="777">
        <v>494.56</v>
      </c>
      <c r="L29" s="777">
        <v>615.45</v>
      </c>
      <c r="M29" s="777">
        <v>895.7</v>
      </c>
      <c r="N29" s="777">
        <v>230.79</v>
      </c>
      <c r="O29" s="777">
        <v>329.71</v>
      </c>
      <c r="P29" s="777">
        <v>274.76</v>
      </c>
      <c r="Q29" s="777">
        <v>445.1</v>
      </c>
      <c r="R29" s="777">
        <v>412.13</v>
      </c>
      <c r="S29" s="777">
        <v>587.98</v>
      </c>
      <c r="T29" s="777">
        <v>445.1</v>
      </c>
      <c r="U29" s="777">
        <v>637.43</v>
      </c>
      <c r="V29" s="777">
        <v>478.07</v>
      </c>
      <c r="W29" s="777">
        <v>686.89</v>
      </c>
      <c r="X29" s="777">
        <v>659.41</v>
      </c>
      <c r="Y29" s="777">
        <v>923.18</v>
      </c>
      <c r="Z29" s="777" t="s">
        <v>352</v>
      </c>
      <c r="AA29" s="777" t="s">
        <v>646</v>
      </c>
      <c r="AB29" s="777">
        <v>587.98</v>
      </c>
      <c r="AC29" s="777" t="s">
        <v>647</v>
      </c>
      <c r="AD29" s="777">
        <v>1582.59</v>
      </c>
      <c r="AE29" s="777">
        <v>1170.46</v>
      </c>
      <c r="AF29" s="777">
        <v>0.64527134</v>
      </c>
      <c r="AG29" s="777">
        <v>0.63585523</v>
      </c>
      <c r="AH29" s="777">
        <v>0.58045405</v>
      </c>
      <c r="AI29" s="777">
        <v>0.48019237</v>
      </c>
      <c r="AJ29" s="777">
        <v>1769.42</v>
      </c>
      <c r="AK29" s="777">
        <v>125727.89</v>
      </c>
      <c r="AL29" s="777">
        <v>125727.89</v>
      </c>
      <c r="AM29" s="778">
        <v>0.0184</v>
      </c>
      <c r="AN29" s="381">
        <f>SUM(C29:AM29)</f>
        <v>296873.80017299</v>
      </c>
    </row>
    <row r="30" spans="1:40" ht="15" customHeight="1">
      <c r="A30" s="775">
        <v>314</v>
      </c>
      <c r="B30" s="776" t="s">
        <v>244</v>
      </c>
      <c r="C30" s="777">
        <v>3750</v>
      </c>
      <c r="D30" s="777">
        <v>4800</v>
      </c>
      <c r="E30" s="777">
        <v>5300</v>
      </c>
      <c r="F30" s="777">
        <v>5000</v>
      </c>
      <c r="G30" s="777">
        <v>3133.8709166902645</v>
      </c>
      <c r="H30" s="777">
        <v>4407.3897526923829</v>
      </c>
      <c r="I30" s="777">
        <v>5003.0039826348238</v>
      </c>
      <c r="J30" s="777">
        <v>813.057072735981</v>
      </c>
      <c r="K30" s="777">
        <v>1104.7341570470894</v>
      </c>
      <c r="L30" s="777">
        <v>725.72858821017871</v>
      </c>
      <c r="M30" s="777">
        <v>1034.3268871965547</v>
      </c>
      <c r="N30" s="777" t="s">
        <v>352</v>
      </c>
      <c r="O30" s="777" t="s">
        <v>352</v>
      </c>
      <c r="P30" s="777" t="s">
        <v>352</v>
      </c>
      <c r="Q30" s="777" t="s">
        <v>352</v>
      </c>
      <c r="R30" s="777" t="s">
        <v>352</v>
      </c>
      <c r="S30" s="777" t="s">
        <v>352</v>
      </c>
      <c r="T30" s="777" t="s">
        <v>352</v>
      </c>
      <c r="U30" s="777" t="s">
        <v>352</v>
      </c>
      <c r="V30" s="777" t="s">
        <v>352</v>
      </c>
      <c r="W30" s="777" t="s">
        <v>352</v>
      </c>
      <c r="X30" s="777" t="s">
        <v>352</v>
      </c>
      <c r="Y30" s="777" t="s">
        <v>352</v>
      </c>
      <c r="Z30" s="777">
        <v>0</v>
      </c>
      <c r="AA30" s="777" t="s">
        <v>646</v>
      </c>
      <c r="AB30" s="777">
        <v>587.9757</v>
      </c>
      <c r="AC30" s="777" t="s">
        <v>647</v>
      </c>
      <c r="AD30" s="777">
        <v>1582.5888</v>
      </c>
      <c r="AE30" s="777">
        <v>1170.4563</v>
      </c>
      <c r="AF30" s="777">
        <v>0.64527134</v>
      </c>
      <c r="AG30" s="777">
        <v>0.63585523</v>
      </c>
      <c r="AH30" s="777">
        <v>0.58045405</v>
      </c>
      <c r="AI30" s="777">
        <v>0.48019237</v>
      </c>
      <c r="AJ30" s="777">
        <v>1769.4222</v>
      </c>
      <c r="AK30" s="777">
        <v>175000</v>
      </c>
      <c r="AL30" s="777">
        <v>175000</v>
      </c>
      <c r="AM30" s="778">
        <v>0.005</v>
      </c>
      <c r="AN30" s="381">
        <f>SUM(C30:AM30)</f>
        <v>390184.90113019728</v>
      </c>
    </row>
    <row r="31" spans="1:40" ht="15" customHeight="1">
      <c r="A31" s="775">
        <v>315</v>
      </c>
      <c r="B31" s="776" t="s">
        <v>258</v>
      </c>
      <c r="C31" s="777">
        <v>3750</v>
      </c>
      <c r="D31" s="777">
        <v>4800</v>
      </c>
      <c r="E31" s="777">
        <v>5300</v>
      </c>
      <c r="F31" s="777">
        <v>5000</v>
      </c>
      <c r="G31" s="777">
        <v>3284.4790791</v>
      </c>
      <c r="H31" s="777">
        <v>4619.19171901</v>
      </c>
      <c r="I31" s="777">
        <v>5243.4256387</v>
      </c>
      <c r="J31" s="777">
        <v>515.76299999999992</v>
      </c>
      <c r="K31" s="777">
        <v>515.76299999999992</v>
      </c>
      <c r="L31" s="777">
        <v>641.8384</v>
      </c>
      <c r="M31" s="777">
        <v>934.1040999999999</v>
      </c>
      <c r="N31" s="777">
        <v>240.68939999999998</v>
      </c>
      <c r="O31" s="777">
        <v>343.842</v>
      </c>
      <c r="P31" s="777">
        <v>286.53499999999997</v>
      </c>
      <c r="Q31" s="777">
        <v>464.1867</v>
      </c>
      <c r="R31" s="777">
        <v>429.80249999999995</v>
      </c>
      <c r="S31" s="777">
        <v>613.1849</v>
      </c>
      <c r="T31" s="777">
        <v>464.1867</v>
      </c>
      <c r="U31" s="777">
        <v>664.76119999999992</v>
      </c>
      <c r="V31" s="777">
        <v>498.5709</v>
      </c>
      <c r="W31" s="777">
        <v>716.3375</v>
      </c>
      <c r="X31" s="777">
        <v>687.684</v>
      </c>
      <c r="Y31" s="777">
        <v>962.75759999999991</v>
      </c>
      <c r="Z31" s="777" t="s">
        <v>352</v>
      </c>
      <c r="AA31" s="777" t="s">
        <v>646</v>
      </c>
      <c r="AB31" s="777">
        <v>613.1849</v>
      </c>
      <c r="AC31" s="777" t="s">
        <v>647</v>
      </c>
      <c r="AD31" s="777">
        <v>1650.4415999999999</v>
      </c>
      <c r="AE31" s="777">
        <v>1220.6390999999999</v>
      </c>
      <c r="AF31" s="777">
        <v>0.64527134</v>
      </c>
      <c r="AG31" s="777">
        <v>0.63585523</v>
      </c>
      <c r="AH31" s="777">
        <v>0.58045405</v>
      </c>
      <c r="AI31" s="777">
        <v>0.48019237</v>
      </c>
      <c r="AJ31" s="777">
        <v>1845.2854</v>
      </c>
      <c r="AK31" s="777">
        <v>131118.416</v>
      </c>
      <c r="AL31" s="777">
        <v>131118.416</v>
      </c>
      <c r="AM31" s="778">
        <v>0.0184</v>
      </c>
      <c r="AN31" s="381">
        <f>SUM(C31:AM31)</f>
        <v>308545.8465098</v>
      </c>
    </row>
    <row r="32" spans="1:40" ht="15" customHeight="1">
      <c r="A32" s="775">
        <v>316</v>
      </c>
      <c r="B32" s="776" t="s">
        <v>262</v>
      </c>
      <c r="C32" s="777">
        <v>3750</v>
      </c>
      <c r="D32" s="777">
        <v>4800</v>
      </c>
      <c r="E32" s="777">
        <v>5300</v>
      </c>
      <c r="F32" s="777">
        <v>5000</v>
      </c>
      <c r="G32" s="777">
        <v>3227.98</v>
      </c>
      <c r="H32" s="777">
        <v>4539.74</v>
      </c>
      <c r="I32" s="777">
        <v>5153.25</v>
      </c>
      <c r="J32" s="777">
        <v>508.43</v>
      </c>
      <c r="K32" s="777">
        <v>508.43</v>
      </c>
      <c r="L32" s="777">
        <v>632.72</v>
      </c>
      <c r="M32" s="777">
        <v>920.83</v>
      </c>
      <c r="N32" s="777">
        <v>237.26850000000002</v>
      </c>
      <c r="O32" s="777">
        <v>338.955</v>
      </c>
      <c r="P32" s="777">
        <v>282.4625</v>
      </c>
      <c r="Q32" s="777">
        <v>457.58925</v>
      </c>
      <c r="R32" s="777">
        <v>423.69375</v>
      </c>
      <c r="S32" s="777">
        <v>604.46975</v>
      </c>
      <c r="T32" s="777">
        <v>457.58925</v>
      </c>
      <c r="U32" s="777">
        <v>655.313</v>
      </c>
      <c r="V32" s="777">
        <v>491.48475</v>
      </c>
      <c r="W32" s="777">
        <v>706.15625</v>
      </c>
      <c r="X32" s="777">
        <v>677.91</v>
      </c>
      <c r="Y32" s="777">
        <v>949.07400000000007</v>
      </c>
      <c r="Z32" s="777" t="s">
        <v>352</v>
      </c>
      <c r="AA32" s="777" t="s">
        <v>646</v>
      </c>
      <c r="AB32" s="777">
        <v>604.47</v>
      </c>
      <c r="AC32" s="777" t="s">
        <v>647</v>
      </c>
      <c r="AD32" s="777">
        <v>1626.98</v>
      </c>
      <c r="AE32" s="777">
        <v>2249.07</v>
      </c>
      <c r="AF32" s="777">
        <v>0.64527134</v>
      </c>
      <c r="AG32" s="777">
        <v>0.63585523</v>
      </c>
      <c r="AH32" s="777">
        <v>0.58045405</v>
      </c>
      <c r="AI32" s="777">
        <v>0.48019237</v>
      </c>
      <c r="AJ32" s="777">
        <v>3400</v>
      </c>
      <c r="AK32" s="777">
        <v>175000</v>
      </c>
      <c r="AL32" s="777">
        <v>175000</v>
      </c>
      <c r="AM32" s="778">
        <v>0.0184</v>
      </c>
      <c r="AN32" s="381">
        <f>SUM(C32:AM32)</f>
        <v>398506.22617299</v>
      </c>
    </row>
    <row r="33" spans="1:40" ht="15" customHeight="1">
      <c r="A33" s="775">
        <v>317</v>
      </c>
      <c r="B33" s="776" t="s">
        <v>279</v>
      </c>
      <c r="C33" s="777">
        <v>3750</v>
      </c>
      <c r="D33" s="777">
        <v>4800</v>
      </c>
      <c r="E33" s="777">
        <v>5300</v>
      </c>
      <c r="F33" s="777">
        <v>5000</v>
      </c>
      <c r="G33" s="777">
        <v>3258.49</v>
      </c>
      <c r="H33" s="777">
        <v>4516.89</v>
      </c>
      <c r="I33" s="777">
        <v>5219.2400000000007</v>
      </c>
      <c r="J33" s="777">
        <v>1120.25</v>
      </c>
      <c r="K33" s="777">
        <v>1223.55</v>
      </c>
      <c r="L33" s="777">
        <v>0</v>
      </c>
      <c r="M33" s="777">
        <v>0</v>
      </c>
      <c r="N33" s="777">
        <v>130.1</v>
      </c>
      <c r="O33" s="777">
        <v>165.1</v>
      </c>
      <c r="P33" s="777">
        <v>183.1</v>
      </c>
      <c r="Q33" s="777">
        <v>234.1</v>
      </c>
      <c r="R33" s="777">
        <v>287.1</v>
      </c>
      <c r="S33" s="777">
        <v>367.1</v>
      </c>
      <c r="T33" s="777">
        <v>422</v>
      </c>
      <c r="U33" s="777">
        <v>595.1</v>
      </c>
      <c r="V33" s="777">
        <v>454.46</v>
      </c>
      <c r="W33" s="777">
        <v>600.1</v>
      </c>
      <c r="X33" s="777">
        <v>100.3</v>
      </c>
      <c r="Y33" s="777">
        <v>250.1</v>
      </c>
      <c r="Z33" s="777">
        <v>1227</v>
      </c>
      <c r="AA33" s="777" t="s">
        <v>646</v>
      </c>
      <c r="AB33" s="777">
        <v>408</v>
      </c>
      <c r="AC33" s="777" t="s">
        <v>647</v>
      </c>
      <c r="AD33" s="777">
        <v>800</v>
      </c>
      <c r="AE33" s="777">
        <v>1105.84</v>
      </c>
      <c r="AF33" s="777">
        <v>0.64527134</v>
      </c>
      <c r="AG33" s="777">
        <v>0.63585523</v>
      </c>
      <c r="AH33" s="777">
        <v>0.58045405</v>
      </c>
      <c r="AI33" s="777">
        <v>0.48019237</v>
      </c>
      <c r="AJ33" s="777">
        <v>1677.16</v>
      </c>
      <c r="AK33" s="777">
        <v>123343</v>
      </c>
      <c r="AL33" s="777">
        <v>123343</v>
      </c>
      <c r="AM33" s="778">
        <v>0.005</v>
      </c>
      <c r="AN33" s="381">
        <f>SUM(C33:AM33)</f>
        <v>289883.42677299003</v>
      </c>
    </row>
    <row r="34" spans="1:40" ht="15" customHeight="1">
      <c r="A34" s="775">
        <v>318</v>
      </c>
      <c r="B34" s="776" t="s">
        <v>281</v>
      </c>
      <c r="C34" s="777">
        <v>3750</v>
      </c>
      <c r="D34" s="777">
        <v>4800</v>
      </c>
      <c r="E34" s="777">
        <v>5300</v>
      </c>
      <c r="F34" s="777">
        <v>5000</v>
      </c>
      <c r="G34" s="777">
        <v>3175.0479401438265</v>
      </c>
      <c r="H34" s="777">
        <v>4465.292171580073</v>
      </c>
      <c r="I34" s="777">
        <v>5068.7417830838094</v>
      </c>
      <c r="J34" s="777">
        <v>494.559</v>
      </c>
      <c r="K34" s="777">
        <v>494.559</v>
      </c>
      <c r="L34" s="777">
        <v>615.45120000000009</v>
      </c>
      <c r="M34" s="777">
        <v>895.70130000000006</v>
      </c>
      <c r="N34" s="777">
        <v>230.79420000000002</v>
      </c>
      <c r="O34" s="777">
        <v>329.706</v>
      </c>
      <c r="P34" s="777">
        <v>274.75500000000005</v>
      </c>
      <c r="Q34" s="777">
        <v>445.10310000000004</v>
      </c>
      <c r="R34" s="777">
        <v>412.13250000000005</v>
      </c>
      <c r="S34" s="777">
        <v>587.97570000000007</v>
      </c>
      <c r="T34" s="777">
        <v>445.10310000000004</v>
      </c>
      <c r="U34" s="777">
        <v>637.43160000000012</v>
      </c>
      <c r="V34" s="777">
        <v>478.07370000000003</v>
      </c>
      <c r="W34" s="777">
        <v>686.8875</v>
      </c>
      <c r="X34" s="777">
        <v>659.412</v>
      </c>
      <c r="Y34" s="777">
        <v>923.17680000000007</v>
      </c>
      <c r="Z34" s="777">
        <v>0</v>
      </c>
      <c r="AA34" s="777" t="s">
        <v>646</v>
      </c>
      <c r="AB34" s="777">
        <v>587.9757</v>
      </c>
      <c r="AC34" s="777" t="s">
        <v>647</v>
      </c>
      <c r="AD34" s="777">
        <v>1582.5888</v>
      </c>
      <c r="AE34" s="777">
        <v>1170.4563</v>
      </c>
      <c r="AF34" s="777">
        <v>0.64527134</v>
      </c>
      <c r="AG34" s="777">
        <v>0.63585523</v>
      </c>
      <c r="AH34" s="777">
        <v>0.58045405</v>
      </c>
      <c r="AI34" s="777">
        <v>0.48019237</v>
      </c>
      <c r="AJ34" s="777">
        <v>1769.4222</v>
      </c>
      <c r="AK34" s="777">
        <v>125727.888</v>
      </c>
      <c r="AL34" s="777">
        <v>125727.888</v>
      </c>
      <c r="AM34" s="778">
        <v>0.005</v>
      </c>
      <c r="AN34" s="381">
        <f>SUM(C34:AM34)</f>
        <v>296738.46936779772</v>
      </c>
    </row>
    <row r="35" spans="1:40" ht="15" customHeight="1">
      <c r="A35" s="775">
        <v>319</v>
      </c>
      <c r="B35" s="776" t="s">
        <v>306</v>
      </c>
      <c r="C35" s="777">
        <v>3750</v>
      </c>
      <c r="D35" s="777">
        <v>4800</v>
      </c>
      <c r="E35" s="777">
        <v>5300</v>
      </c>
      <c r="F35" s="777">
        <v>5000</v>
      </c>
      <c r="G35" s="777">
        <v>3139.90014</v>
      </c>
      <c r="H35" s="777">
        <v>4415.86236</v>
      </c>
      <c r="I35" s="777">
        <v>5012.6302200000009</v>
      </c>
      <c r="J35" s="777">
        <v>494.559</v>
      </c>
      <c r="K35" s="777">
        <v>494.559</v>
      </c>
      <c r="L35" s="777">
        <v>615.45120000000009</v>
      </c>
      <c r="M35" s="777">
        <v>895.70130000000006</v>
      </c>
      <c r="N35" s="777">
        <v>230.79420000000002</v>
      </c>
      <c r="O35" s="777">
        <v>329.706</v>
      </c>
      <c r="P35" s="777">
        <v>274.75500000000005</v>
      </c>
      <c r="Q35" s="777">
        <v>445.10310000000004</v>
      </c>
      <c r="R35" s="777">
        <v>412.13250000000005</v>
      </c>
      <c r="S35" s="777">
        <v>587.97570000000007</v>
      </c>
      <c r="T35" s="777">
        <v>445.10310000000004</v>
      </c>
      <c r="U35" s="777">
        <v>637.43160000000012</v>
      </c>
      <c r="V35" s="777">
        <v>478.07370000000003</v>
      </c>
      <c r="W35" s="777">
        <v>686.8875</v>
      </c>
      <c r="X35" s="777">
        <v>659.412</v>
      </c>
      <c r="Y35" s="777">
        <v>923.17680000000007</v>
      </c>
      <c r="Z35" s="777">
        <v>0</v>
      </c>
      <c r="AA35" s="777" t="s">
        <v>646</v>
      </c>
      <c r="AB35" s="777">
        <v>587.97570000000007</v>
      </c>
      <c r="AC35" s="777" t="s">
        <v>647</v>
      </c>
      <c r="AD35" s="777">
        <v>1582.5888000000002</v>
      </c>
      <c r="AE35" s="777">
        <v>1170.4563</v>
      </c>
      <c r="AF35" s="777">
        <v>0.64527134</v>
      </c>
      <c r="AG35" s="777">
        <v>0.63585523</v>
      </c>
      <c r="AH35" s="777">
        <v>0.58045405</v>
      </c>
      <c r="AI35" s="777">
        <v>0.48019237</v>
      </c>
      <c r="AJ35" s="777">
        <v>1769.712</v>
      </c>
      <c r="AK35" s="777">
        <v>125727.888</v>
      </c>
      <c r="AL35" s="777">
        <v>125727.888</v>
      </c>
      <c r="AM35" s="778">
        <v>0.0184</v>
      </c>
      <c r="AN35" s="381">
        <f>SUM(C35:AM35)</f>
        <v>296598.08339299</v>
      </c>
    </row>
    <row r="36" spans="1:40" ht="15" customHeight="1">
      <c r="A36" s="775">
        <v>320</v>
      </c>
      <c r="B36" s="776" t="s">
        <v>316</v>
      </c>
      <c r="C36" s="777">
        <v>3750</v>
      </c>
      <c r="D36" s="777">
        <v>4800</v>
      </c>
      <c r="E36" s="777">
        <v>5300</v>
      </c>
      <c r="F36" s="777">
        <v>5000</v>
      </c>
      <c r="G36" s="777">
        <v>3091</v>
      </c>
      <c r="H36" s="777">
        <v>4348</v>
      </c>
      <c r="I36" s="777">
        <v>4935</v>
      </c>
      <c r="J36" s="777">
        <v>487</v>
      </c>
      <c r="K36" s="777">
        <v>487</v>
      </c>
      <c r="L36" s="777">
        <v>606</v>
      </c>
      <c r="M36" s="777">
        <v>882</v>
      </c>
      <c r="N36" s="777">
        <v>227</v>
      </c>
      <c r="O36" s="777">
        <v>325</v>
      </c>
      <c r="P36" s="777">
        <v>271</v>
      </c>
      <c r="Q36" s="777">
        <v>438</v>
      </c>
      <c r="R36" s="777">
        <v>406</v>
      </c>
      <c r="S36" s="777">
        <v>579</v>
      </c>
      <c r="T36" s="777">
        <v>438</v>
      </c>
      <c r="U36" s="777">
        <v>628</v>
      </c>
      <c r="V36" s="777">
        <v>471</v>
      </c>
      <c r="W36" s="777">
        <v>676</v>
      </c>
      <c r="X36" s="777">
        <v>649</v>
      </c>
      <c r="Y36" s="777">
        <v>909</v>
      </c>
      <c r="Z36" s="777" t="s">
        <v>352</v>
      </c>
      <c r="AA36" s="777" t="s">
        <v>646</v>
      </c>
      <c r="AB36" s="777">
        <v>579</v>
      </c>
      <c r="AC36" s="777" t="s">
        <v>647</v>
      </c>
      <c r="AD36" s="777">
        <v>1558</v>
      </c>
      <c r="AE36" s="777">
        <v>1152</v>
      </c>
      <c r="AF36" s="777">
        <v>0.64527134</v>
      </c>
      <c r="AG36" s="777">
        <v>0.63585523</v>
      </c>
      <c r="AH36" s="777">
        <v>0.58045405</v>
      </c>
      <c r="AI36" s="777">
        <v>0.48019237</v>
      </c>
      <c r="AJ36" s="777">
        <v>1742</v>
      </c>
      <c r="AK36" s="777">
        <v>123785</v>
      </c>
      <c r="AL36" s="777">
        <v>123785</v>
      </c>
      <c r="AM36" s="778">
        <v>0.0163115205792285</v>
      </c>
      <c r="AN36" s="381">
        <f>SUM(C36:AM36)</f>
        <v>292306.3580845106</v>
      </c>
    </row>
    <row r="37" spans="1:40" ht="15" customHeight="1">
      <c r="A37" s="775">
        <v>330</v>
      </c>
      <c r="B37" s="776" t="s">
        <v>182</v>
      </c>
      <c r="C37" s="777">
        <v>3750</v>
      </c>
      <c r="D37" s="777">
        <v>4800</v>
      </c>
      <c r="E37" s="777">
        <v>5300</v>
      </c>
      <c r="F37" s="777">
        <v>5000</v>
      </c>
      <c r="G37" s="777">
        <v>2866.5076856000005</v>
      </c>
      <c r="H37" s="777">
        <v>4031.0590424</v>
      </c>
      <c r="I37" s="777">
        <v>4576.8120528000009</v>
      </c>
      <c r="J37" s="777">
        <v>451.52</v>
      </c>
      <c r="K37" s="777">
        <v>451.52</v>
      </c>
      <c r="L37" s="777">
        <v>561.89</v>
      </c>
      <c r="M37" s="777">
        <v>817.75</v>
      </c>
      <c r="N37" s="777">
        <v>210.71</v>
      </c>
      <c r="O37" s="777">
        <v>301.01</v>
      </c>
      <c r="P37" s="777">
        <v>250.84</v>
      </c>
      <c r="Q37" s="777">
        <v>406.36</v>
      </c>
      <c r="R37" s="777">
        <v>376.26</v>
      </c>
      <c r="S37" s="777">
        <v>536.8</v>
      </c>
      <c r="T37" s="777">
        <v>406.36</v>
      </c>
      <c r="U37" s="777">
        <v>581.95</v>
      </c>
      <c r="V37" s="777">
        <v>436.47</v>
      </c>
      <c r="W37" s="777">
        <v>627.11</v>
      </c>
      <c r="X37" s="777">
        <v>602.02</v>
      </c>
      <c r="Y37" s="777">
        <v>842.83</v>
      </c>
      <c r="Z37" s="777" t="s">
        <v>352</v>
      </c>
      <c r="AA37" s="777" t="s">
        <v>646</v>
      </c>
      <c r="AB37" s="777">
        <v>536.8</v>
      </c>
      <c r="AC37" s="777" t="s">
        <v>647</v>
      </c>
      <c r="AD37" s="777">
        <v>1444.85</v>
      </c>
      <c r="AE37" s="777">
        <v>1068.58905</v>
      </c>
      <c r="AF37" s="777">
        <v>0.64527134</v>
      </c>
      <c r="AG37" s="777">
        <v>0.63585523</v>
      </c>
      <c r="AH37" s="777">
        <v>0.58045405</v>
      </c>
      <c r="AI37" s="777">
        <v>0.48019237</v>
      </c>
      <c r="AJ37" s="777">
        <v>1615.4257</v>
      </c>
      <c r="AK37" s="777">
        <v>142636.9</v>
      </c>
      <c r="AL37" s="777">
        <v>142636.9</v>
      </c>
      <c r="AM37" s="778">
        <v>0.0184</v>
      </c>
      <c r="AN37" s="381">
        <f>SUM(C37:AM37)</f>
        <v>328127.60370379</v>
      </c>
    </row>
    <row r="38" spans="1:40" ht="15" customHeight="1">
      <c r="A38" s="775">
        <v>331</v>
      </c>
      <c r="B38" s="776" t="s">
        <v>205</v>
      </c>
      <c r="C38" s="777">
        <v>3750</v>
      </c>
      <c r="D38" s="777">
        <v>4800</v>
      </c>
      <c r="E38" s="777">
        <v>5300</v>
      </c>
      <c r="F38" s="777">
        <v>5000</v>
      </c>
      <c r="G38" s="777">
        <v>2875.5936622027416</v>
      </c>
      <c r="H38" s="777">
        <v>4040.5062322027416</v>
      </c>
      <c r="I38" s="777">
        <v>4585.3361422027419</v>
      </c>
      <c r="J38" s="777">
        <v>451.5165</v>
      </c>
      <c r="K38" s="777">
        <v>451.5165</v>
      </c>
      <c r="L38" s="777">
        <v>561.8872</v>
      </c>
      <c r="M38" s="777">
        <v>817.74655000000007</v>
      </c>
      <c r="N38" s="777">
        <v>210.70770000000002</v>
      </c>
      <c r="O38" s="777">
        <v>301.011</v>
      </c>
      <c r="P38" s="777">
        <v>250.84250000000003</v>
      </c>
      <c r="Q38" s="777">
        <v>406.36485000000005</v>
      </c>
      <c r="R38" s="777">
        <v>376.26375</v>
      </c>
      <c r="S38" s="777">
        <v>536.80295</v>
      </c>
      <c r="T38" s="777">
        <v>406.36485000000005</v>
      </c>
      <c r="U38" s="777">
        <v>581.9546</v>
      </c>
      <c r="V38" s="777">
        <v>436.46595</v>
      </c>
      <c r="W38" s="777">
        <v>627.10625</v>
      </c>
      <c r="X38" s="777">
        <v>602.022</v>
      </c>
      <c r="Y38" s="777">
        <v>842.83080000000007</v>
      </c>
      <c r="Z38" s="777" t="s">
        <v>352</v>
      </c>
      <c r="AA38" s="777" t="s">
        <v>646</v>
      </c>
      <c r="AB38" s="777">
        <v>536.80295</v>
      </c>
      <c r="AC38" s="777" t="s">
        <v>647</v>
      </c>
      <c r="AD38" s="777">
        <v>1444.8528000000001</v>
      </c>
      <c r="AE38" s="777">
        <v>1068.58905</v>
      </c>
      <c r="AF38" s="777">
        <v>0.64527134</v>
      </c>
      <c r="AG38" s="777">
        <v>0.63585523</v>
      </c>
      <c r="AH38" s="777">
        <v>0.58045405</v>
      </c>
      <c r="AI38" s="777">
        <v>0.48019237</v>
      </c>
      <c r="AJ38" s="777">
        <v>1615.4257</v>
      </c>
      <c r="AK38" s="777">
        <v>114785.528</v>
      </c>
      <c r="AL38" s="777">
        <v>114785.528</v>
      </c>
      <c r="AM38" s="778">
        <v>0.0184</v>
      </c>
      <c r="AN38" s="381">
        <f>SUM(C38:AM38)</f>
        <v>272451.92665959825</v>
      </c>
    </row>
    <row r="39" spans="1:40" ht="15" customHeight="1">
      <c r="A39" s="775">
        <v>332</v>
      </c>
      <c r="B39" s="776" t="s">
        <v>216</v>
      </c>
      <c r="C39" s="777">
        <v>3750</v>
      </c>
      <c r="D39" s="777">
        <v>4800</v>
      </c>
      <c r="E39" s="777">
        <v>5300</v>
      </c>
      <c r="F39" s="777">
        <v>5000</v>
      </c>
      <c r="G39" s="777">
        <v>2866.62809</v>
      </c>
      <c r="H39" s="777">
        <v>4031.54066</v>
      </c>
      <c r="I39" s="777">
        <v>4576.37057</v>
      </c>
      <c r="J39" s="777">
        <v>451.51650000000006</v>
      </c>
      <c r="K39" s="777">
        <v>451.51650000000006</v>
      </c>
      <c r="L39" s="777">
        <v>561.8872</v>
      </c>
      <c r="M39" s="777">
        <v>817.74655000000007</v>
      </c>
      <c r="N39" s="777">
        <v>210.70770000000002</v>
      </c>
      <c r="O39" s="777">
        <v>301.011</v>
      </c>
      <c r="P39" s="777">
        <v>250.84250000000003</v>
      </c>
      <c r="Q39" s="777">
        <v>406.36485000000005</v>
      </c>
      <c r="R39" s="777">
        <v>376.26375</v>
      </c>
      <c r="S39" s="777">
        <v>536.80295</v>
      </c>
      <c r="T39" s="777">
        <v>406.36485000000005</v>
      </c>
      <c r="U39" s="777">
        <v>581.9546</v>
      </c>
      <c r="V39" s="777">
        <v>436.46595</v>
      </c>
      <c r="W39" s="777">
        <v>627.10625</v>
      </c>
      <c r="X39" s="777">
        <v>602.022</v>
      </c>
      <c r="Y39" s="777">
        <v>842.83080000000007</v>
      </c>
      <c r="Z39" s="777">
        <v>0</v>
      </c>
      <c r="AA39" s="777" t="s">
        <v>646</v>
      </c>
      <c r="AB39" s="777">
        <v>536.80295</v>
      </c>
      <c r="AC39" s="777" t="s">
        <v>647</v>
      </c>
      <c r="AD39" s="777">
        <v>1444.8528</v>
      </c>
      <c r="AE39" s="777">
        <v>1068.58905</v>
      </c>
      <c r="AF39" s="777">
        <v>0.64527134</v>
      </c>
      <c r="AG39" s="777">
        <v>0.63585523</v>
      </c>
      <c r="AH39" s="777">
        <v>0.58045405</v>
      </c>
      <c r="AI39" s="777">
        <v>0.48019237</v>
      </c>
      <c r="AJ39" s="777">
        <v>1615.4257</v>
      </c>
      <c r="AK39" s="777">
        <v>114785.528</v>
      </c>
      <c r="AL39" s="777">
        <v>114785.528</v>
      </c>
      <c r="AM39" s="778">
        <v>0.0184</v>
      </c>
      <c r="AN39" s="381">
        <f>SUM(C39:AM39)</f>
        <v>272425.02994299</v>
      </c>
    </row>
    <row r="40" spans="1:40" ht="15" customHeight="1">
      <c r="A40" s="775">
        <v>333</v>
      </c>
      <c r="B40" s="776" t="s">
        <v>286</v>
      </c>
      <c r="C40" s="777">
        <v>3750</v>
      </c>
      <c r="D40" s="777">
        <v>4800</v>
      </c>
      <c r="E40" s="777">
        <v>5300</v>
      </c>
      <c r="F40" s="777">
        <v>5000</v>
      </c>
      <c r="G40" s="777">
        <v>3180.7379245982156</v>
      </c>
      <c r="H40" s="777">
        <v>4534.67624132456</v>
      </c>
      <c r="I40" s="777">
        <v>4534.67624132456</v>
      </c>
      <c r="J40" s="777" t="s">
        <v>352</v>
      </c>
      <c r="K40" s="777" t="s">
        <v>352</v>
      </c>
      <c r="L40" s="777" t="s">
        <v>352</v>
      </c>
      <c r="M40" s="777" t="s">
        <v>352</v>
      </c>
      <c r="N40" s="777" t="s">
        <v>352</v>
      </c>
      <c r="O40" s="777" t="s">
        <v>352</v>
      </c>
      <c r="P40" s="777">
        <v>71.45</v>
      </c>
      <c r="Q40" s="777">
        <v>343.01</v>
      </c>
      <c r="R40" s="777">
        <v>460</v>
      </c>
      <c r="S40" s="777">
        <v>667</v>
      </c>
      <c r="T40" s="777">
        <v>506</v>
      </c>
      <c r="U40" s="777">
        <v>734</v>
      </c>
      <c r="V40" s="777">
        <v>557</v>
      </c>
      <c r="W40" s="777">
        <v>807</v>
      </c>
      <c r="X40" s="777">
        <v>612</v>
      </c>
      <c r="Y40" s="777">
        <v>888</v>
      </c>
      <c r="Z40" s="777">
        <v>0</v>
      </c>
      <c r="AA40" s="777" t="s">
        <v>650</v>
      </c>
      <c r="AB40" s="777">
        <v>846</v>
      </c>
      <c r="AC40" s="777" t="s">
        <v>651</v>
      </c>
      <c r="AD40" s="777">
        <v>1227</v>
      </c>
      <c r="AE40" s="777">
        <v>1225</v>
      </c>
      <c r="AF40" s="777">
        <v>0.64527134</v>
      </c>
      <c r="AG40" s="777">
        <v>0.63585523</v>
      </c>
      <c r="AH40" s="777">
        <v>0.58045405</v>
      </c>
      <c r="AI40" s="777">
        <v>0.48019237</v>
      </c>
      <c r="AJ40" s="777">
        <v>1776</v>
      </c>
      <c r="AK40" s="777">
        <v>129057</v>
      </c>
      <c r="AL40" s="777">
        <v>129057</v>
      </c>
      <c r="AM40" s="778">
        <v>0.0184</v>
      </c>
      <c r="AN40" s="381">
        <f>SUM(C40:AM40)</f>
        <v>299935.91058023734</v>
      </c>
    </row>
    <row r="41" spans="1:40" ht="15" customHeight="1">
      <c r="A41" s="775">
        <v>334</v>
      </c>
      <c r="B41" s="776" t="s">
        <v>291</v>
      </c>
      <c r="C41" s="777">
        <v>3750</v>
      </c>
      <c r="D41" s="777">
        <v>4800</v>
      </c>
      <c r="E41" s="777">
        <v>5300</v>
      </c>
      <c r="F41" s="777">
        <v>5000</v>
      </c>
      <c r="G41" s="777">
        <v>2856.31</v>
      </c>
      <c r="H41" s="777">
        <v>4017.03</v>
      </c>
      <c r="I41" s="777">
        <v>4559.9</v>
      </c>
      <c r="J41" s="777">
        <v>441.46</v>
      </c>
      <c r="K41" s="777">
        <v>441.46</v>
      </c>
      <c r="L41" s="777">
        <v>541.79</v>
      </c>
      <c r="M41" s="777">
        <v>787.6</v>
      </c>
      <c r="N41" s="777">
        <v>200.66</v>
      </c>
      <c r="O41" s="777">
        <v>290.96</v>
      </c>
      <c r="P41" s="777">
        <v>240.79</v>
      </c>
      <c r="Q41" s="777">
        <v>391.29</v>
      </c>
      <c r="R41" s="777">
        <v>361.19</v>
      </c>
      <c r="S41" s="777">
        <v>516.7</v>
      </c>
      <c r="T41" s="777">
        <v>391.29</v>
      </c>
      <c r="U41" s="777">
        <v>561.85</v>
      </c>
      <c r="V41" s="777">
        <v>421.39</v>
      </c>
      <c r="W41" s="777">
        <v>601.99</v>
      </c>
      <c r="X41" s="777">
        <v>576.9</v>
      </c>
      <c r="Y41" s="777">
        <v>812.68</v>
      </c>
      <c r="Z41" s="777" t="s">
        <v>352</v>
      </c>
      <c r="AA41" s="777" t="s">
        <v>646</v>
      </c>
      <c r="AB41" s="777">
        <v>536.8</v>
      </c>
      <c r="AC41" s="777" t="s">
        <v>647</v>
      </c>
      <c r="AD41" s="777">
        <v>1444.85</v>
      </c>
      <c r="AE41" s="777">
        <v>1068.59</v>
      </c>
      <c r="AF41" s="777">
        <v>0.64527134</v>
      </c>
      <c r="AG41" s="777">
        <v>0.63585523</v>
      </c>
      <c r="AH41" s="777">
        <v>0.58045405</v>
      </c>
      <c r="AI41" s="777">
        <v>0.48019237</v>
      </c>
      <c r="AJ41" s="777">
        <v>1615.43</v>
      </c>
      <c r="AK41" s="777">
        <v>114786</v>
      </c>
      <c r="AL41" s="777">
        <v>114786</v>
      </c>
      <c r="AM41" s="778">
        <v>0.0184</v>
      </c>
      <c r="AN41" s="381">
        <f>SUM(C41:AM41)</f>
        <v>272103.27017299</v>
      </c>
    </row>
    <row r="42" spans="1:40" ht="15" customHeight="1">
      <c r="A42" s="775">
        <v>335</v>
      </c>
      <c r="B42" s="776" t="s">
        <v>315</v>
      </c>
      <c r="C42" s="777">
        <v>3750</v>
      </c>
      <c r="D42" s="777">
        <v>4800</v>
      </c>
      <c r="E42" s="777">
        <v>5300</v>
      </c>
      <c r="F42" s="777">
        <v>5000</v>
      </c>
      <c r="G42" s="777">
        <v>2876.019</v>
      </c>
      <c r="H42" s="777">
        <v>4332.7498</v>
      </c>
      <c r="I42" s="777">
        <v>4332.7498</v>
      </c>
      <c r="J42" s="777">
        <v>1228</v>
      </c>
      <c r="K42" s="777">
        <v>1473</v>
      </c>
      <c r="L42" s="777">
        <v>0</v>
      </c>
      <c r="M42" s="777">
        <v>0</v>
      </c>
      <c r="N42" s="777">
        <v>210</v>
      </c>
      <c r="O42" s="777">
        <v>300</v>
      </c>
      <c r="P42" s="777">
        <v>250</v>
      </c>
      <c r="Q42" s="777">
        <v>405</v>
      </c>
      <c r="R42" s="777">
        <v>375</v>
      </c>
      <c r="S42" s="777">
        <v>535</v>
      </c>
      <c r="T42" s="777">
        <v>405</v>
      </c>
      <c r="U42" s="777">
        <v>580</v>
      </c>
      <c r="V42" s="777">
        <v>435</v>
      </c>
      <c r="W42" s="777">
        <v>625</v>
      </c>
      <c r="X42" s="777">
        <v>600</v>
      </c>
      <c r="Y42" s="777">
        <v>840</v>
      </c>
      <c r="Z42" s="777">
        <v>0</v>
      </c>
      <c r="AA42" s="777" t="s">
        <v>646</v>
      </c>
      <c r="AB42" s="777">
        <v>535</v>
      </c>
      <c r="AC42" s="777" t="s">
        <v>647</v>
      </c>
      <c r="AD42" s="777">
        <v>535</v>
      </c>
      <c r="AE42" s="777">
        <v>820.83591</v>
      </c>
      <c r="AF42" s="777">
        <v>0.64527134</v>
      </c>
      <c r="AG42" s="777">
        <v>0.63585523</v>
      </c>
      <c r="AH42" s="777">
        <v>0.58045405</v>
      </c>
      <c r="AI42" s="777">
        <v>0.48019237</v>
      </c>
      <c r="AJ42" s="777">
        <v>1240.88934</v>
      </c>
      <c r="AK42" s="777">
        <v>175000</v>
      </c>
      <c r="AL42" s="777">
        <v>175000</v>
      </c>
      <c r="AM42" s="778">
        <v>0.0184</v>
      </c>
      <c r="AN42" s="381">
        <f>SUM(C42:AM42)</f>
        <v>391786.60402299004</v>
      </c>
    </row>
    <row r="43" spans="1:40" ht="15" customHeight="1">
      <c r="A43" s="775">
        <v>336</v>
      </c>
      <c r="B43" s="776" t="s">
        <v>328</v>
      </c>
      <c r="C43" s="777">
        <v>3750</v>
      </c>
      <c r="D43" s="777">
        <v>4800</v>
      </c>
      <c r="E43" s="777">
        <v>5300</v>
      </c>
      <c r="F43" s="777">
        <v>5000</v>
      </c>
      <c r="G43" s="777">
        <v>2866.63</v>
      </c>
      <c r="H43" s="777">
        <v>4031.54</v>
      </c>
      <c r="I43" s="777">
        <v>4576.37</v>
      </c>
      <c r="J43" s="777">
        <v>451.52</v>
      </c>
      <c r="K43" s="777">
        <v>451.52</v>
      </c>
      <c r="L43" s="777">
        <v>561.89</v>
      </c>
      <c r="M43" s="777">
        <v>817.75</v>
      </c>
      <c r="N43" s="777">
        <v>210.71</v>
      </c>
      <c r="O43" s="777">
        <v>301.01</v>
      </c>
      <c r="P43" s="777">
        <v>250.84</v>
      </c>
      <c r="Q43" s="777">
        <v>406.36</v>
      </c>
      <c r="R43" s="777">
        <v>376.26</v>
      </c>
      <c r="S43" s="777">
        <v>536.8</v>
      </c>
      <c r="T43" s="777">
        <v>406.36</v>
      </c>
      <c r="U43" s="777">
        <v>581.95</v>
      </c>
      <c r="V43" s="777">
        <v>436.47</v>
      </c>
      <c r="W43" s="777">
        <v>627.11</v>
      </c>
      <c r="X43" s="777">
        <v>602.02</v>
      </c>
      <c r="Y43" s="777">
        <v>842.83</v>
      </c>
      <c r="Z43" s="777" t="s">
        <v>352</v>
      </c>
      <c r="AA43" s="777" t="s">
        <v>646</v>
      </c>
      <c r="AB43" s="777">
        <v>536.8</v>
      </c>
      <c r="AC43" s="777" t="s">
        <v>647</v>
      </c>
      <c r="AD43" s="777">
        <v>1444.85</v>
      </c>
      <c r="AE43" s="777">
        <v>1068.59</v>
      </c>
      <c r="AF43" s="777">
        <v>0.64527134</v>
      </c>
      <c r="AG43" s="777">
        <v>0.63585523</v>
      </c>
      <c r="AH43" s="777">
        <v>0.58045405</v>
      </c>
      <c r="AI43" s="777">
        <v>0.48019237</v>
      </c>
      <c r="AJ43" s="777">
        <v>1615.43</v>
      </c>
      <c r="AK43" s="777">
        <v>114785.53</v>
      </c>
      <c r="AL43" s="777">
        <v>114785.53</v>
      </c>
      <c r="AM43" s="778">
        <v>0.0184</v>
      </c>
      <c r="AN43" s="381">
        <f>SUM(C43:AM43)</f>
        <v>272425.03017299</v>
      </c>
    </row>
    <row r="44" spans="1:40" ht="15" customHeight="1">
      <c r="A44" s="775">
        <v>340</v>
      </c>
      <c r="B44" s="776" t="s">
        <v>246</v>
      </c>
      <c r="C44" s="777">
        <v>3750</v>
      </c>
      <c r="D44" s="777">
        <v>4800</v>
      </c>
      <c r="E44" s="777">
        <v>5300</v>
      </c>
      <c r="F44" s="777">
        <v>5000</v>
      </c>
      <c r="G44" s="777">
        <v>2860.19984</v>
      </c>
      <c r="H44" s="777">
        <v>4022.50016</v>
      </c>
      <c r="I44" s="777">
        <v>4566.10832</v>
      </c>
      <c r="J44" s="777">
        <v>450.504</v>
      </c>
      <c r="K44" s="777">
        <v>450.504</v>
      </c>
      <c r="L44" s="777">
        <v>560.6272</v>
      </c>
      <c r="M44" s="777">
        <v>815.91280000000006</v>
      </c>
      <c r="N44" s="777">
        <v>210.2352</v>
      </c>
      <c r="O44" s="777">
        <v>300.336</v>
      </c>
      <c r="P44" s="777">
        <v>250.28</v>
      </c>
      <c r="Q44" s="777">
        <v>405.4536</v>
      </c>
      <c r="R44" s="777">
        <v>375.42</v>
      </c>
      <c r="S44" s="777">
        <v>535.5992</v>
      </c>
      <c r="T44" s="777">
        <v>405.4536</v>
      </c>
      <c r="U44" s="777">
        <v>580.6496</v>
      </c>
      <c r="V44" s="777">
        <v>435.48720000000003</v>
      </c>
      <c r="W44" s="777">
        <v>625.7</v>
      </c>
      <c r="X44" s="777">
        <v>600.672</v>
      </c>
      <c r="Y44" s="777">
        <v>840.9408</v>
      </c>
      <c r="Z44" s="777" t="s">
        <v>352</v>
      </c>
      <c r="AA44" s="777" t="s">
        <v>646</v>
      </c>
      <c r="AB44" s="777">
        <v>535.5992</v>
      </c>
      <c r="AC44" s="777" t="s">
        <v>647</v>
      </c>
      <c r="AD44" s="777">
        <v>1441.6128</v>
      </c>
      <c r="AE44" s="777">
        <v>1066.1928</v>
      </c>
      <c r="AF44" s="777">
        <v>0.64527134</v>
      </c>
      <c r="AG44" s="777">
        <v>0.63585523</v>
      </c>
      <c r="AH44" s="777">
        <v>0.58045405</v>
      </c>
      <c r="AI44" s="777">
        <v>0.48019237</v>
      </c>
      <c r="AJ44" s="777">
        <v>1611.8032</v>
      </c>
      <c r="AK44" s="777">
        <v>114528.128</v>
      </c>
      <c r="AL44" s="777">
        <v>114528.128</v>
      </c>
      <c r="AM44" s="778">
        <v>0.0184</v>
      </c>
      <c r="AN44" s="381">
        <f>SUM(C44:AM44)</f>
        <v>271856.40769299</v>
      </c>
    </row>
    <row r="45" spans="1:40" ht="15" customHeight="1">
      <c r="A45" s="775">
        <v>341</v>
      </c>
      <c r="B45" s="776" t="s">
        <v>254</v>
      </c>
      <c r="C45" s="777">
        <v>3750</v>
      </c>
      <c r="D45" s="777">
        <v>4800</v>
      </c>
      <c r="E45" s="777">
        <v>5300</v>
      </c>
      <c r="F45" s="777">
        <v>5000</v>
      </c>
      <c r="G45" s="777">
        <v>2901.9586785251</v>
      </c>
      <c r="H45" s="777">
        <v>4081.2285510374</v>
      </c>
      <c r="I45" s="777">
        <v>4632.7733751322994</v>
      </c>
      <c r="J45" s="777">
        <v>450</v>
      </c>
      <c r="K45" s="777">
        <v>450</v>
      </c>
      <c r="L45" s="777">
        <v>560</v>
      </c>
      <c r="M45" s="777">
        <v>815</v>
      </c>
      <c r="N45" s="777">
        <v>210</v>
      </c>
      <c r="O45" s="777">
        <v>300</v>
      </c>
      <c r="P45" s="777">
        <v>250</v>
      </c>
      <c r="Q45" s="777">
        <v>405</v>
      </c>
      <c r="R45" s="777">
        <v>375</v>
      </c>
      <c r="S45" s="777">
        <v>535</v>
      </c>
      <c r="T45" s="777">
        <v>405</v>
      </c>
      <c r="U45" s="777">
        <v>580</v>
      </c>
      <c r="V45" s="777">
        <v>435</v>
      </c>
      <c r="W45" s="777">
        <v>625</v>
      </c>
      <c r="X45" s="777">
        <v>600</v>
      </c>
      <c r="Y45" s="777">
        <v>840</v>
      </c>
      <c r="Z45" s="777" t="s">
        <v>352</v>
      </c>
      <c r="AA45" s="777" t="s">
        <v>646</v>
      </c>
      <c r="AB45" s="777">
        <v>535</v>
      </c>
      <c r="AC45" s="777" t="s">
        <v>647</v>
      </c>
      <c r="AD45" s="777">
        <v>1440</v>
      </c>
      <c r="AE45" s="777">
        <v>1065</v>
      </c>
      <c r="AF45" s="777">
        <v>0.64527134</v>
      </c>
      <c r="AG45" s="777">
        <v>0.63585523</v>
      </c>
      <c r="AH45" s="777">
        <v>0.58045405</v>
      </c>
      <c r="AI45" s="777">
        <v>0.48019237</v>
      </c>
      <c r="AJ45" s="777">
        <v>1610</v>
      </c>
      <c r="AK45" s="777">
        <v>114400</v>
      </c>
      <c r="AL45" s="777">
        <v>114400</v>
      </c>
      <c r="AM45" s="778">
        <v>0.0184</v>
      </c>
      <c r="AN45" s="381">
        <f>SUM(C45:AM45)</f>
        <v>271753.3207776848</v>
      </c>
    </row>
    <row r="46" spans="1:40" ht="15" customHeight="1">
      <c r="A46" s="775">
        <v>342</v>
      </c>
      <c r="B46" s="776" t="s">
        <v>298</v>
      </c>
      <c r="C46" s="777">
        <v>3750</v>
      </c>
      <c r="D46" s="777">
        <v>4800</v>
      </c>
      <c r="E46" s="777">
        <v>5300</v>
      </c>
      <c r="F46" s="777">
        <v>5000</v>
      </c>
      <c r="G46" s="777">
        <v>3143.94</v>
      </c>
      <c r="H46" s="777">
        <v>4117.7300000000005</v>
      </c>
      <c r="I46" s="777">
        <v>5065.1</v>
      </c>
      <c r="J46" s="777" t="s">
        <v>352</v>
      </c>
      <c r="K46" s="777" t="s">
        <v>352</v>
      </c>
      <c r="L46" s="777">
        <v>1467.4</v>
      </c>
      <c r="M46" s="777">
        <v>2131.95</v>
      </c>
      <c r="N46" s="777" t="s">
        <v>352</v>
      </c>
      <c r="O46" s="777" t="s">
        <v>352</v>
      </c>
      <c r="P46" s="777" t="s">
        <v>352</v>
      </c>
      <c r="Q46" s="777" t="s">
        <v>352</v>
      </c>
      <c r="R46" s="777" t="s">
        <v>352</v>
      </c>
      <c r="S46" s="777" t="s">
        <v>352</v>
      </c>
      <c r="T46" s="777">
        <v>101.27</v>
      </c>
      <c r="U46" s="777" t="s">
        <v>352</v>
      </c>
      <c r="V46" s="777">
        <v>189.25</v>
      </c>
      <c r="W46" s="777" t="s">
        <v>352</v>
      </c>
      <c r="X46" s="777">
        <v>706.33</v>
      </c>
      <c r="Y46" s="777">
        <v>322.03</v>
      </c>
      <c r="Z46" s="777" t="s">
        <v>352</v>
      </c>
      <c r="AA46" s="777" t="s">
        <v>645</v>
      </c>
      <c r="AB46" s="777" t="s">
        <v>352</v>
      </c>
      <c r="AC46" s="777" t="s">
        <v>645</v>
      </c>
      <c r="AD46" s="777" t="s">
        <v>352</v>
      </c>
      <c r="AE46" s="777">
        <v>313.76</v>
      </c>
      <c r="AF46" s="777">
        <v>0.64527134</v>
      </c>
      <c r="AG46" s="777">
        <v>0.63585523</v>
      </c>
      <c r="AH46" s="777">
        <v>0.58045405</v>
      </c>
      <c r="AI46" s="777">
        <v>0.48019237</v>
      </c>
      <c r="AJ46" s="777">
        <v>587.36</v>
      </c>
      <c r="AK46" s="777">
        <v>100000</v>
      </c>
      <c r="AL46" s="777">
        <v>100000</v>
      </c>
      <c r="AM46" s="778">
        <v>0.0184</v>
      </c>
      <c r="AN46" s="381">
        <f>SUM(C46:AM46)</f>
        <v>236998.48017299</v>
      </c>
    </row>
    <row r="47" spans="1:40" ht="15" customHeight="1">
      <c r="A47" s="775">
        <v>343</v>
      </c>
      <c r="B47" s="776" t="s">
        <v>287</v>
      </c>
      <c r="C47" s="777">
        <v>3750</v>
      </c>
      <c r="D47" s="777">
        <v>4800</v>
      </c>
      <c r="E47" s="777">
        <v>5300</v>
      </c>
      <c r="F47" s="777">
        <v>5000</v>
      </c>
      <c r="G47" s="777">
        <v>2984.52</v>
      </c>
      <c r="H47" s="777">
        <v>4212</v>
      </c>
      <c r="I47" s="777">
        <v>4242</v>
      </c>
      <c r="J47" s="777">
        <v>400</v>
      </c>
      <c r="K47" s="777">
        <v>778.5</v>
      </c>
      <c r="L47" s="777">
        <v>450</v>
      </c>
      <c r="M47" s="777">
        <v>800</v>
      </c>
      <c r="N47" s="777">
        <v>150</v>
      </c>
      <c r="O47" s="777">
        <v>300</v>
      </c>
      <c r="P47" s="777">
        <v>200</v>
      </c>
      <c r="Q47" s="777">
        <v>405</v>
      </c>
      <c r="R47" s="777">
        <v>300</v>
      </c>
      <c r="S47" s="777">
        <v>535</v>
      </c>
      <c r="T47" s="777">
        <v>350</v>
      </c>
      <c r="U47" s="777">
        <v>580</v>
      </c>
      <c r="V47" s="777">
        <v>410</v>
      </c>
      <c r="W47" s="777">
        <v>625</v>
      </c>
      <c r="X47" s="777">
        <v>520</v>
      </c>
      <c r="Y47" s="777">
        <v>840</v>
      </c>
      <c r="Z47" s="777">
        <v>0</v>
      </c>
      <c r="AA47" s="777" t="s">
        <v>646</v>
      </c>
      <c r="AB47" s="777">
        <v>1034.5</v>
      </c>
      <c r="AC47" s="777" t="s">
        <v>647</v>
      </c>
      <c r="AD47" s="777">
        <v>1034.5</v>
      </c>
      <c r="AE47" s="777">
        <v>920</v>
      </c>
      <c r="AF47" s="777">
        <v>0.64527134</v>
      </c>
      <c r="AG47" s="777">
        <v>0.63585523</v>
      </c>
      <c r="AH47" s="777">
        <v>0.58045405</v>
      </c>
      <c r="AI47" s="777">
        <v>0.48019237</v>
      </c>
      <c r="AJ47" s="777">
        <v>1600</v>
      </c>
      <c r="AK47" s="777">
        <v>114528</v>
      </c>
      <c r="AL47" s="777">
        <v>114528</v>
      </c>
      <c r="AM47" s="778">
        <v>0.0184</v>
      </c>
      <c r="AN47" s="381">
        <f>SUM(C47:AM47)</f>
        <v>271579.38017299</v>
      </c>
    </row>
    <row r="48" spans="1:40" ht="15" customHeight="1">
      <c r="A48" s="775">
        <v>344</v>
      </c>
      <c r="B48" s="776" t="s">
        <v>326</v>
      </c>
      <c r="C48" s="777">
        <v>3750</v>
      </c>
      <c r="D48" s="777">
        <v>4800</v>
      </c>
      <c r="E48" s="777">
        <v>5300</v>
      </c>
      <c r="F48" s="777">
        <v>5000</v>
      </c>
      <c r="G48" s="777">
        <v>2860.2</v>
      </c>
      <c r="H48" s="777">
        <v>4022.5</v>
      </c>
      <c r="I48" s="777">
        <v>4566.11</v>
      </c>
      <c r="J48" s="777">
        <v>450.5</v>
      </c>
      <c r="K48" s="777">
        <v>450.5</v>
      </c>
      <c r="L48" s="777">
        <v>560.63</v>
      </c>
      <c r="M48" s="777">
        <v>815.91</v>
      </c>
      <c r="N48" s="777">
        <v>210.24</v>
      </c>
      <c r="O48" s="777">
        <v>300.34</v>
      </c>
      <c r="P48" s="777">
        <v>250.28</v>
      </c>
      <c r="Q48" s="777">
        <v>405.45</v>
      </c>
      <c r="R48" s="777">
        <v>375.42</v>
      </c>
      <c r="S48" s="777">
        <v>535.6</v>
      </c>
      <c r="T48" s="777">
        <v>405.45</v>
      </c>
      <c r="U48" s="777">
        <v>580.65</v>
      </c>
      <c r="V48" s="777">
        <v>435.49</v>
      </c>
      <c r="W48" s="777">
        <v>625.7</v>
      </c>
      <c r="X48" s="777">
        <v>600.67</v>
      </c>
      <c r="Y48" s="777">
        <v>840.94</v>
      </c>
      <c r="Z48" s="777">
        <v>0</v>
      </c>
      <c r="AA48" s="777" t="s">
        <v>646</v>
      </c>
      <c r="AB48" s="777">
        <v>535.6</v>
      </c>
      <c r="AC48" s="777" t="s">
        <v>647</v>
      </c>
      <c r="AD48" s="777">
        <v>1441.61</v>
      </c>
      <c r="AE48" s="777">
        <v>1066.19</v>
      </c>
      <c r="AF48" s="777">
        <v>0.64527134</v>
      </c>
      <c r="AG48" s="777">
        <v>0.63585523</v>
      </c>
      <c r="AH48" s="777">
        <v>0.58045405</v>
      </c>
      <c r="AI48" s="777">
        <v>0.48019237</v>
      </c>
      <c r="AJ48" s="777">
        <v>1611.8</v>
      </c>
      <c r="AK48" s="777">
        <v>114528.13</v>
      </c>
      <c r="AL48" s="777">
        <v>114528.13</v>
      </c>
      <c r="AM48" s="778">
        <v>0.0184</v>
      </c>
      <c r="AN48" s="381">
        <f>SUM(C48:AM48)</f>
        <v>271856.40017299</v>
      </c>
    </row>
    <row r="49" spans="1:40" ht="15" customHeight="1">
      <c r="A49" s="775">
        <v>350</v>
      </c>
      <c r="B49" s="776" t="s">
        <v>187</v>
      </c>
      <c r="C49" s="777">
        <v>3750</v>
      </c>
      <c r="D49" s="777">
        <v>4800</v>
      </c>
      <c r="E49" s="777">
        <v>5300</v>
      </c>
      <c r="F49" s="777">
        <v>5000</v>
      </c>
      <c r="G49" s="777">
        <v>2872.2849499999998</v>
      </c>
      <c r="H49" s="777">
        <v>4039.4963</v>
      </c>
      <c r="I49" s="777">
        <v>4585.40135</v>
      </c>
      <c r="J49" s="777">
        <v>452.40749999999997</v>
      </c>
      <c r="K49" s="777">
        <v>452.40749999999997</v>
      </c>
      <c r="L49" s="777">
        <v>562.996</v>
      </c>
      <c r="M49" s="777">
        <v>819.36025</v>
      </c>
      <c r="N49" s="777">
        <v>211.12349999999998</v>
      </c>
      <c r="O49" s="777">
        <v>301.605</v>
      </c>
      <c r="P49" s="777">
        <v>251.33749999999998</v>
      </c>
      <c r="Q49" s="777">
        <v>407.16675</v>
      </c>
      <c r="R49" s="777">
        <v>377.00624999999997</v>
      </c>
      <c r="S49" s="777">
        <v>537.86225</v>
      </c>
      <c r="T49" s="777">
        <v>407.16675</v>
      </c>
      <c r="U49" s="777">
        <v>583.103</v>
      </c>
      <c r="V49" s="777">
        <v>437.32725</v>
      </c>
      <c r="W49" s="777">
        <v>638.39725</v>
      </c>
      <c r="X49" s="777">
        <v>603.21</v>
      </c>
      <c r="Y49" s="777">
        <v>844.49399999999991</v>
      </c>
      <c r="Z49" s="777">
        <v>0</v>
      </c>
      <c r="AA49" s="777" t="s">
        <v>646</v>
      </c>
      <c r="AB49" s="777">
        <v>537.86225</v>
      </c>
      <c r="AC49" s="777" t="s">
        <v>647</v>
      </c>
      <c r="AD49" s="777">
        <v>1447.704</v>
      </c>
      <c r="AE49" s="777">
        <v>1049.1832599999998</v>
      </c>
      <c r="AF49" s="777">
        <v>0.64527134</v>
      </c>
      <c r="AG49" s="777">
        <v>0.63585523</v>
      </c>
      <c r="AH49" s="777">
        <v>0.58045405</v>
      </c>
      <c r="AI49" s="777">
        <v>0.48019237</v>
      </c>
      <c r="AJ49" s="777">
        <v>1618.6135</v>
      </c>
      <c r="AK49" s="777">
        <v>115012.04</v>
      </c>
      <c r="AL49" s="777">
        <v>115012.04</v>
      </c>
      <c r="AM49" s="778">
        <v>0.0184</v>
      </c>
      <c r="AN49" s="381">
        <f>SUM(C49:AM49)</f>
        <v>272913.95653299</v>
      </c>
    </row>
    <row r="50" spans="1:40" ht="15" customHeight="1">
      <c r="A50" s="775">
        <v>351</v>
      </c>
      <c r="B50" s="776" t="s">
        <v>196</v>
      </c>
      <c r="C50" s="777">
        <v>3750</v>
      </c>
      <c r="D50" s="777">
        <v>4800</v>
      </c>
      <c r="E50" s="777">
        <v>5300</v>
      </c>
      <c r="F50" s="777">
        <v>5000</v>
      </c>
      <c r="G50" s="777">
        <v>2873</v>
      </c>
      <c r="H50" s="777">
        <v>4040</v>
      </c>
      <c r="I50" s="777">
        <v>4586</v>
      </c>
      <c r="J50" s="777">
        <v>452</v>
      </c>
      <c r="K50" s="777">
        <v>452</v>
      </c>
      <c r="L50" s="777">
        <v>563</v>
      </c>
      <c r="M50" s="777">
        <v>819</v>
      </c>
      <c r="N50" s="777">
        <v>211</v>
      </c>
      <c r="O50" s="777">
        <v>302</v>
      </c>
      <c r="P50" s="777">
        <v>251</v>
      </c>
      <c r="Q50" s="777">
        <v>407</v>
      </c>
      <c r="R50" s="777">
        <v>377</v>
      </c>
      <c r="S50" s="777">
        <v>538</v>
      </c>
      <c r="T50" s="777">
        <v>407</v>
      </c>
      <c r="U50" s="777">
        <v>583</v>
      </c>
      <c r="V50" s="777">
        <v>437</v>
      </c>
      <c r="W50" s="777">
        <v>628</v>
      </c>
      <c r="X50" s="777">
        <v>603</v>
      </c>
      <c r="Y50" s="777">
        <v>845</v>
      </c>
      <c r="Z50" s="777">
        <v>0</v>
      </c>
      <c r="AA50" s="777" t="s">
        <v>646</v>
      </c>
      <c r="AB50" s="777">
        <v>541</v>
      </c>
      <c r="AC50" s="777" t="s">
        <v>647</v>
      </c>
      <c r="AD50" s="777">
        <v>1448</v>
      </c>
      <c r="AE50" s="777">
        <v>1071</v>
      </c>
      <c r="AF50" s="777">
        <v>0.64527134</v>
      </c>
      <c r="AG50" s="777">
        <v>0.63585523</v>
      </c>
      <c r="AH50" s="777">
        <v>0.58045405</v>
      </c>
      <c r="AI50" s="777">
        <v>0.48019237</v>
      </c>
      <c r="AJ50" s="777">
        <v>1619</v>
      </c>
      <c r="AK50" s="777">
        <v>120000</v>
      </c>
      <c r="AL50" s="777">
        <v>115023</v>
      </c>
      <c r="AM50" s="778">
        <v>0.0184</v>
      </c>
      <c r="AN50" s="381">
        <f>SUM(C50:AM50)</f>
        <v>277928.36017299</v>
      </c>
    </row>
    <row r="51" spans="1:40" ht="15" customHeight="1">
      <c r="A51" s="775">
        <v>352</v>
      </c>
      <c r="B51" s="776" t="s">
        <v>256</v>
      </c>
      <c r="C51" s="777">
        <v>3750</v>
      </c>
      <c r="D51" s="777">
        <v>4800</v>
      </c>
      <c r="E51" s="777">
        <v>5300</v>
      </c>
      <c r="F51" s="777">
        <v>5000</v>
      </c>
      <c r="G51" s="777">
        <v>3209.2615152</v>
      </c>
      <c r="H51" s="777">
        <v>4248.1570698000005</v>
      </c>
      <c r="I51" s="777">
        <v>4880.7570051600005</v>
      </c>
      <c r="J51" s="777" t="s">
        <v>352</v>
      </c>
      <c r="K51" s="777" t="s">
        <v>352</v>
      </c>
      <c r="L51" s="777">
        <v>507.10958123999995</v>
      </c>
      <c r="M51" s="777">
        <v>486.53739203999993</v>
      </c>
      <c r="N51" s="777">
        <v>304.46840016</v>
      </c>
      <c r="O51" s="777">
        <v>146.06254332</v>
      </c>
      <c r="P51" s="777">
        <v>363.10425683999995</v>
      </c>
      <c r="Q51" s="777">
        <v>204.69839999999996</v>
      </c>
      <c r="R51" s="777">
        <v>393.96254063999993</v>
      </c>
      <c r="S51" s="777">
        <v>241.72834056</v>
      </c>
      <c r="T51" s="777">
        <v>447.45023255999996</v>
      </c>
      <c r="U51" s="777">
        <v>385.73366495999994</v>
      </c>
      <c r="V51" s="777">
        <v>501.96141647999991</v>
      </c>
      <c r="W51" s="777">
        <v>451.56467039999995</v>
      </c>
      <c r="X51" s="777">
        <v>586.3073922</v>
      </c>
      <c r="Y51" s="777">
        <v>513.28123799999992</v>
      </c>
      <c r="Z51" s="777" t="s">
        <v>352</v>
      </c>
      <c r="AA51" s="777" t="s">
        <v>646</v>
      </c>
      <c r="AB51" s="777">
        <v>390.87159479999997</v>
      </c>
      <c r="AC51" s="777" t="s">
        <v>647</v>
      </c>
      <c r="AD51" s="777">
        <v>2123.04992544</v>
      </c>
      <c r="AE51" s="777">
        <v>672.71058683999991</v>
      </c>
      <c r="AF51" s="777">
        <v>0.64527134</v>
      </c>
      <c r="AG51" s="777">
        <v>0.63585523</v>
      </c>
      <c r="AH51" s="777">
        <v>0.58045405</v>
      </c>
      <c r="AI51" s="777">
        <v>0.48019237</v>
      </c>
      <c r="AJ51" s="777">
        <v>2881.15</v>
      </c>
      <c r="AK51" s="777">
        <v>155000</v>
      </c>
      <c r="AL51" s="777">
        <v>155000</v>
      </c>
      <c r="AM51" s="778">
        <v>0.0184</v>
      </c>
      <c r="AN51" s="381">
        <f>SUM(C51:AM51)</f>
        <v>352792.28793963004</v>
      </c>
    </row>
    <row r="52" spans="1:40" ht="15" customHeight="1">
      <c r="A52" s="775">
        <v>353</v>
      </c>
      <c r="B52" s="776" t="s">
        <v>273</v>
      </c>
      <c r="C52" s="777">
        <v>3750</v>
      </c>
      <c r="D52" s="777">
        <v>4800</v>
      </c>
      <c r="E52" s="777">
        <v>5300</v>
      </c>
      <c r="F52" s="777">
        <v>5000</v>
      </c>
      <c r="G52" s="777">
        <v>2857</v>
      </c>
      <c r="H52" s="777">
        <v>4018</v>
      </c>
      <c r="I52" s="777">
        <v>4561</v>
      </c>
      <c r="J52" s="777">
        <v>450</v>
      </c>
      <c r="K52" s="777">
        <v>450</v>
      </c>
      <c r="L52" s="777">
        <v>560</v>
      </c>
      <c r="M52" s="777">
        <v>815</v>
      </c>
      <c r="N52" s="777">
        <v>210</v>
      </c>
      <c r="O52" s="777">
        <v>300</v>
      </c>
      <c r="P52" s="777">
        <v>250</v>
      </c>
      <c r="Q52" s="777">
        <v>405</v>
      </c>
      <c r="R52" s="777">
        <v>375</v>
      </c>
      <c r="S52" s="777">
        <v>535</v>
      </c>
      <c r="T52" s="777">
        <v>405</v>
      </c>
      <c r="U52" s="777">
        <v>580</v>
      </c>
      <c r="V52" s="777">
        <v>435</v>
      </c>
      <c r="W52" s="777">
        <v>625</v>
      </c>
      <c r="X52" s="777">
        <v>600</v>
      </c>
      <c r="Y52" s="777">
        <v>840</v>
      </c>
      <c r="Z52" s="777" t="s">
        <v>352</v>
      </c>
      <c r="AA52" s="777" t="s">
        <v>646</v>
      </c>
      <c r="AB52" s="777">
        <v>535</v>
      </c>
      <c r="AC52" s="777" t="s">
        <v>647</v>
      </c>
      <c r="AD52" s="777">
        <v>1440</v>
      </c>
      <c r="AE52" s="777">
        <v>1065</v>
      </c>
      <c r="AF52" s="777">
        <v>0.64527134</v>
      </c>
      <c r="AG52" s="777">
        <v>0.63585523</v>
      </c>
      <c r="AH52" s="777">
        <v>0.58045405</v>
      </c>
      <c r="AI52" s="777">
        <v>0.48019237</v>
      </c>
      <c r="AJ52" s="777">
        <v>1610</v>
      </c>
      <c r="AK52" s="777">
        <v>114400</v>
      </c>
      <c r="AL52" s="777">
        <v>114400</v>
      </c>
      <c r="AM52" s="778">
        <v>0.0184</v>
      </c>
      <c r="AN52" s="381">
        <f>SUM(C52:AM52)</f>
        <v>271573.36017299</v>
      </c>
    </row>
    <row r="53" spans="1:40" ht="15" customHeight="1">
      <c r="A53" s="775">
        <v>354</v>
      </c>
      <c r="B53" s="776" t="s">
        <v>282</v>
      </c>
      <c r="C53" s="777">
        <v>3750</v>
      </c>
      <c r="D53" s="777">
        <v>4800</v>
      </c>
      <c r="E53" s="777">
        <v>5300</v>
      </c>
      <c r="F53" s="777">
        <v>5000</v>
      </c>
      <c r="G53" s="777">
        <v>2857</v>
      </c>
      <c r="H53" s="777">
        <v>4018</v>
      </c>
      <c r="I53" s="777">
        <v>4561</v>
      </c>
      <c r="J53" s="777">
        <v>450</v>
      </c>
      <c r="K53" s="777">
        <v>450</v>
      </c>
      <c r="L53" s="777">
        <v>560</v>
      </c>
      <c r="M53" s="777">
        <v>815</v>
      </c>
      <c r="N53" s="777">
        <v>210</v>
      </c>
      <c r="O53" s="777">
        <v>300</v>
      </c>
      <c r="P53" s="777">
        <v>250</v>
      </c>
      <c r="Q53" s="777">
        <v>405</v>
      </c>
      <c r="R53" s="777">
        <v>375</v>
      </c>
      <c r="S53" s="777">
        <v>535</v>
      </c>
      <c r="T53" s="777">
        <v>405</v>
      </c>
      <c r="U53" s="777">
        <v>580</v>
      </c>
      <c r="V53" s="777">
        <v>435</v>
      </c>
      <c r="W53" s="777">
        <v>625</v>
      </c>
      <c r="X53" s="777">
        <v>600</v>
      </c>
      <c r="Y53" s="777">
        <v>840</v>
      </c>
      <c r="Z53" s="777" t="s">
        <v>352</v>
      </c>
      <c r="AA53" s="777" t="s">
        <v>646</v>
      </c>
      <c r="AB53" s="777">
        <v>535</v>
      </c>
      <c r="AC53" s="777" t="s">
        <v>647</v>
      </c>
      <c r="AD53" s="777">
        <v>1440</v>
      </c>
      <c r="AE53" s="777">
        <v>1065</v>
      </c>
      <c r="AF53" s="777">
        <v>0.64527134</v>
      </c>
      <c r="AG53" s="777">
        <v>0.63585523</v>
      </c>
      <c r="AH53" s="777">
        <v>0.58045405</v>
      </c>
      <c r="AI53" s="777">
        <v>0.48019237</v>
      </c>
      <c r="AJ53" s="777">
        <v>1610</v>
      </c>
      <c r="AK53" s="777">
        <v>114400</v>
      </c>
      <c r="AL53" s="777">
        <v>114400</v>
      </c>
      <c r="AM53" s="778">
        <v>0.0184</v>
      </c>
      <c r="AN53" s="381">
        <f>SUM(C53:AM53)</f>
        <v>271573.36017299</v>
      </c>
    </row>
    <row r="54" spans="1:40" ht="15" customHeight="1">
      <c r="A54" s="775">
        <v>355</v>
      </c>
      <c r="B54" s="776" t="s">
        <v>285</v>
      </c>
      <c r="C54" s="777">
        <v>3750</v>
      </c>
      <c r="D54" s="777">
        <v>4800</v>
      </c>
      <c r="E54" s="777">
        <v>5300</v>
      </c>
      <c r="F54" s="777">
        <v>5000</v>
      </c>
      <c r="G54" s="777">
        <v>2885.25065</v>
      </c>
      <c r="H54" s="777">
        <v>4057.7381</v>
      </c>
      <c r="I54" s="777">
        <v>4606.1074499999995</v>
      </c>
      <c r="J54" s="777">
        <v>452.4525</v>
      </c>
      <c r="K54" s="777">
        <v>452.4525</v>
      </c>
      <c r="L54" s="777">
        <v>563.052</v>
      </c>
      <c r="M54" s="777">
        <v>819.44175</v>
      </c>
      <c r="N54" s="777">
        <v>211.1445</v>
      </c>
      <c r="O54" s="777">
        <v>301.635</v>
      </c>
      <c r="P54" s="777">
        <v>251.36249999999998</v>
      </c>
      <c r="Q54" s="777">
        <v>407.20725</v>
      </c>
      <c r="R54" s="777">
        <v>377.04375</v>
      </c>
      <c r="S54" s="777">
        <v>537.91575</v>
      </c>
      <c r="T54" s="777">
        <v>407.20725</v>
      </c>
      <c r="U54" s="777">
        <v>583.161</v>
      </c>
      <c r="V54" s="777">
        <v>437.37075</v>
      </c>
      <c r="W54" s="777">
        <v>628.40625</v>
      </c>
      <c r="X54" s="777">
        <v>603.27</v>
      </c>
      <c r="Y54" s="777">
        <v>844.578</v>
      </c>
      <c r="Z54" s="777">
        <v>0</v>
      </c>
      <c r="AA54" s="777" t="s">
        <v>646</v>
      </c>
      <c r="AB54" s="777">
        <v>537.91575</v>
      </c>
      <c r="AC54" s="777" t="s">
        <v>647</v>
      </c>
      <c r="AD54" s="777">
        <v>1447.848</v>
      </c>
      <c r="AE54" s="777">
        <v>1070.80425</v>
      </c>
      <c r="AF54" s="777">
        <v>0.64527134</v>
      </c>
      <c r="AG54" s="777">
        <v>0.63585523</v>
      </c>
      <c r="AH54" s="777">
        <v>0.58045405</v>
      </c>
      <c r="AI54" s="777">
        <v>0.48019237</v>
      </c>
      <c r="AJ54" s="777">
        <v>1618.7745</v>
      </c>
      <c r="AK54" s="777">
        <v>115023.48</v>
      </c>
      <c r="AL54" s="777">
        <v>115023.48</v>
      </c>
      <c r="AM54" s="778">
        <v>0.0184</v>
      </c>
      <c r="AN54" s="381">
        <f>SUM(C54:AM54)</f>
        <v>273001.45962299</v>
      </c>
    </row>
    <row r="55" spans="1:40" ht="15" customHeight="1">
      <c r="A55" s="775">
        <v>356</v>
      </c>
      <c r="B55" s="776" t="s">
        <v>300</v>
      </c>
      <c r="C55" s="777">
        <v>3750</v>
      </c>
      <c r="D55" s="777">
        <v>4800</v>
      </c>
      <c r="E55" s="777">
        <v>5300</v>
      </c>
      <c r="F55" s="777">
        <v>5000</v>
      </c>
      <c r="G55" s="777">
        <v>3022.76</v>
      </c>
      <c r="H55" s="777">
        <v>4040.06</v>
      </c>
      <c r="I55" s="777">
        <v>4586.04</v>
      </c>
      <c r="J55" s="777">
        <v>0</v>
      </c>
      <c r="K55" s="777">
        <v>452.47</v>
      </c>
      <c r="L55" s="777">
        <v>1038.71</v>
      </c>
      <c r="M55" s="777">
        <v>819.47</v>
      </c>
      <c r="N55" s="777">
        <v>111.65</v>
      </c>
      <c r="O55" s="777">
        <v>301.65</v>
      </c>
      <c r="P55" s="777">
        <v>111.65</v>
      </c>
      <c r="Q55" s="777">
        <v>407.22</v>
      </c>
      <c r="R55" s="777">
        <v>166.42</v>
      </c>
      <c r="S55" s="777">
        <v>537.94</v>
      </c>
      <c r="T55" s="777">
        <v>222.25</v>
      </c>
      <c r="U55" s="777">
        <v>583.18</v>
      </c>
      <c r="V55" s="777">
        <v>228.56</v>
      </c>
      <c r="W55" s="777">
        <v>628.43</v>
      </c>
      <c r="X55" s="777">
        <v>341.27</v>
      </c>
      <c r="Y55" s="777">
        <v>844.61</v>
      </c>
      <c r="Z55" s="777">
        <v>0</v>
      </c>
      <c r="AA55" s="777" t="s">
        <v>646</v>
      </c>
      <c r="AB55" s="777">
        <v>646.88</v>
      </c>
      <c r="AC55" s="777" t="s">
        <v>647</v>
      </c>
      <c r="AD55" s="777">
        <v>1447.91</v>
      </c>
      <c r="AE55" s="777">
        <v>430.41</v>
      </c>
      <c r="AF55" s="777">
        <v>0.64527134</v>
      </c>
      <c r="AG55" s="777">
        <v>0.63585523</v>
      </c>
      <c r="AH55" s="777">
        <v>0.58045405</v>
      </c>
      <c r="AI55" s="777">
        <v>0.48019237</v>
      </c>
      <c r="AJ55" s="777">
        <v>1618.84</v>
      </c>
      <c r="AK55" s="777">
        <v>132990</v>
      </c>
      <c r="AL55" s="777">
        <v>114400</v>
      </c>
      <c r="AM55" s="778">
        <v>0.005</v>
      </c>
      <c r="AN55" s="381">
        <f>SUM(C55:AM55)</f>
        <v>288830.72677299</v>
      </c>
    </row>
    <row r="56" spans="1:40" ht="15" customHeight="1">
      <c r="A56" s="775">
        <v>357</v>
      </c>
      <c r="B56" s="776" t="s">
        <v>308</v>
      </c>
      <c r="C56" s="777">
        <v>3750</v>
      </c>
      <c r="D56" s="777">
        <v>4800</v>
      </c>
      <c r="E56" s="777">
        <v>5300</v>
      </c>
      <c r="F56" s="777">
        <v>5000</v>
      </c>
      <c r="G56" s="777">
        <v>2857</v>
      </c>
      <c r="H56" s="777">
        <v>4018</v>
      </c>
      <c r="I56" s="777">
        <v>4561</v>
      </c>
      <c r="J56" s="777">
        <v>450</v>
      </c>
      <c r="K56" s="777">
        <v>450</v>
      </c>
      <c r="L56" s="777">
        <v>560</v>
      </c>
      <c r="M56" s="777">
        <v>815</v>
      </c>
      <c r="N56" s="777">
        <v>210</v>
      </c>
      <c r="O56" s="777">
        <v>300</v>
      </c>
      <c r="P56" s="777">
        <v>250</v>
      </c>
      <c r="Q56" s="777">
        <v>405</v>
      </c>
      <c r="R56" s="777">
        <v>375</v>
      </c>
      <c r="S56" s="777">
        <v>535</v>
      </c>
      <c r="T56" s="777">
        <v>405</v>
      </c>
      <c r="U56" s="777">
        <v>580</v>
      </c>
      <c r="V56" s="777">
        <v>435</v>
      </c>
      <c r="W56" s="777">
        <v>625</v>
      </c>
      <c r="X56" s="777">
        <v>600</v>
      </c>
      <c r="Y56" s="777">
        <v>840</v>
      </c>
      <c r="Z56" s="777">
        <v>0</v>
      </c>
      <c r="AA56" s="777" t="s">
        <v>646</v>
      </c>
      <c r="AB56" s="777">
        <v>535</v>
      </c>
      <c r="AC56" s="777" t="s">
        <v>647</v>
      </c>
      <c r="AD56" s="777">
        <v>1440</v>
      </c>
      <c r="AE56" s="777">
        <v>1065</v>
      </c>
      <c r="AF56" s="777">
        <v>0.64527134</v>
      </c>
      <c r="AG56" s="777">
        <v>0.63585523</v>
      </c>
      <c r="AH56" s="777">
        <v>0.58045405</v>
      </c>
      <c r="AI56" s="777">
        <v>0.48019237</v>
      </c>
      <c r="AJ56" s="777">
        <v>1610</v>
      </c>
      <c r="AK56" s="777">
        <v>114400</v>
      </c>
      <c r="AL56" s="777">
        <v>114400</v>
      </c>
      <c r="AM56" s="778">
        <v>0.0184</v>
      </c>
      <c r="AN56" s="381">
        <f>SUM(C56:AM56)</f>
        <v>271573.36017299</v>
      </c>
    </row>
    <row r="57" spans="1:40" ht="15" customHeight="1">
      <c r="A57" s="775">
        <v>358</v>
      </c>
      <c r="B57" s="776" t="s">
        <v>313</v>
      </c>
      <c r="C57" s="777">
        <v>3779.435</v>
      </c>
      <c r="D57" s="777">
        <v>4829.435</v>
      </c>
      <c r="E57" s="777">
        <v>5329.435</v>
      </c>
      <c r="F57" s="777">
        <v>5029.435</v>
      </c>
      <c r="G57" s="777">
        <v>2872.71</v>
      </c>
      <c r="H57" s="777">
        <v>4040.1</v>
      </c>
      <c r="I57" s="777">
        <v>4586.09</v>
      </c>
      <c r="J57" s="777">
        <v>452.48</v>
      </c>
      <c r="K57" s="777">
        <v>452.48</v>
      </c>
      <c r="L57" s="777">
        <v>563.08</v>
      </c>
      <c r="M57" s="777">
        <v>819.48</v>
      </c>
      <c r="N57" s="777">
        <v>211.16</v>
      </c>
      <c r="O57" s="777">
        <v>301.65</v>
      </c>
      <c r="P57" s="777">
        <v>251.38</v>
      </c>
      <c r="Q57" s="777">
        <v>407.23</v>
      </c>
      <c r="R57" s="777">
        <v>377.06</v>
      </c>
      <c r="S57" s="777">
        <v>537.94</v>
      </c>
      <c r="T57" s="777">
        <v>407.23</v>
      </c>
      <c r="U57" s="777">
        <v>583.19</v>
      </c>
      <c r="V57" s="777">
        <v>437.39</v>
      </c>
      <c r="W57" s="777">
        <v>628.44</v>
      </c>
      <c r="X57" s="777">
        <v>603.3</v>
      </c>
      <c r="Y57" s="777">
        <v>844.62</v>
      </c>
      <c r="Z57" s="777" t="s">
        <v>352</v>
      </c>
      <c r="AA57" s="777" t="s">
        <v>646</v>
      </c>
      <c r="AB57" s="777">
        <v>537.94</v>
      </c>
      <c r="AC57" s="777" t="s">
        <v>647</v>
      </c>
      <c r="AD57" s="777">
        <v>1447.92</v>
      </c>
      <c r="AE57" s="777">
        <v>1070.86</v>
      </c>
      <c r="AF57" s="777">
        <v>0.64527134</v>
      </c>
      <c r="AG57" s="777">
        <v>0.63585523</v>
      </c>
      <c r="AH57" s="777">
        <v>0.58045405</v>
      </c>
      <c r="AI57" s="777">
        <v>0.48019237</v>
      </c>
      <c r="AJ57" s="777">
        <v>1618.86</v>
      </c>
      <c r="AK57" s="777">
        <v>115029.2</v>
      </c>
      <c r="AL57" s="777">
        <v>115029.2</v>
      </c>
      <c r="AM57" s="778">
        <v>0.0184</v>
      </c>
      <c r="AN57" s="381">
        <f>SUM(C57:AM57)</f>
        <v>273081.09017299</v>
      </c>
    </row>
    <row r="58" spans="1:40" ht="15" customHeight="1">
      <c r="A58" s="775">
        <v>359</v>
      </c>
      <c r="B58" s="776" t="s">
        <v>323</v>
      </c>
      <c r="C58" s="777">
        <v>3750</v>
      </c>
      <c r="D58" s="777">
        <v>4800</v>
      </c>
      <c r="E58" s="777">
        <v>5300</v>
      </c>
      <c r="F58" s="777">
        <v>5000</v>
      </c>
      <c r="G58" s="777">
        <v>2890.651443</v>
      </c>
      <c r="H58" s="777">
        <v>4065.32639</v>
      </c>
      <c r="I58" s="777">
        <v>4614.722167</v>
      </c>
      <c r="J58" s="777">
        <v>452.4525</v>
      </c>
      <c r="K58" s="777">
        <v>452.4525</v>
      </c>
      <c r="L58" s="777">
        <v>563.052</v>
      </c>
      <c r="M58" s="777">
        <v>819.44175</v>
      </c>
      <c r="N58" s="777">
        <v>211.1445</v>
      </c>
      <c r="O58" s="777">
        <v>301.635</v>
      </c>
      <c r="P58" s="777">
        <v>251.3625</v>
      </c>
      <c r="Q58" s="777">
        <v>407.20725</v>
      </c>
      <c r="R58" s="777">
        <v>377.04375</v>
      </c>
      <c r="S58" s="777">
        <v>537.91575</v>
      </c>
      <c r="T58" s="777">
        <v>407.20725</v>
      </c>
      <c r="U58" s="777">
        <v>583.161</v>
      </c>
      <c r="V58" s="777">
        <v>437.37075</v>
      </c>
      <c r="W58" s="777">
        <v>628.40625</v>
      </c>
      <c r="X58" s="777">
        <v>603.27</v>
      </c>
      <c r="Y58" s="777">
        <v>844.578</v>
      </c>
      <c r="Z58" s="777" t="s">
        <v>352</v>
      </c>
      <c r="AA58" s="777" t="s">
        <v>646</v>
      </c>
      <c r="AB58" s="777">
        <v>537.91575</v>
      </c>
      <c r="AC58" s="777" t="s">
        <v>647</v>
      </c>
      <c r="AD58" s="777">
        <v>1447.848</v>
      </c>
      <c r="AE58" s="777">
        <v>1070.80425</v>
      </c>
      <c r="AF58" s="777">
        <v>0.64527134</v>
      </c>
      <c r="AG58" s="777">
        <v>0.63585523</v>
      </c>
      <c r="AH58" s="777">
        <v>0.58045405</v>
      </c>
      <c r="AI58" s="777">
        <v>0.48019237</v>
      </c>
      <c r="AJ58" s="777">
        <v>1618.7745</v>
      </c>
      <c r="AK58" s="777">
        <v>115023.48</v>
      </c>
      <c r="AL58" s="777">
        <v>115023.48</v>
      </c>
      <c r="AM58" s="778">
        <v>0.0184</v>
      </c>
      <c r="AN58" s="381">
        <f>SUM(C58:AM58)</f>
        <v>273023.06342299</v>
      </c>
    </row>
    <row r="59" spans="1:40" ht="15" customHeight="1">
      <c r="A59" s="775">
        <v>370</v>
      </c>
      <c r="B59" s="776" t="s">
        <v>175</v>
      </c>
      <c r="C59" s="777">
        <v>3750</v>
      </c>
      <c r="D59" s="777">
        <v>4800</v>
      </c>
      <c r="E59" s="777">
        <v>5300</v>
      </c>
      <c r="F59" s="777">
        <v>5000</v>
      </c>
      <c r="G59" s="777">
        <v>3003.3900000000003</v>
      </c>
      <c r="H59" s="777">
        <v>4098.92</v>
      </c>
      <c r="I59" s="777">
        <v>4652.81</v>
      </c>
      <c r="J59" s="777" t="s">
        <v>352</v>
      </c>
      <c r="K59" s="777" t="s">
        <v>352</v>
      </c>
      <c r="L59" s="777">
        <v>645.520407</v>
      </c>
      <c r="M59" s="777">
        <v>782.35840000000007</v>
      </c>
      <c r="N59" s="777">
        <v>210</v>
      </c>
      <c r="O59" s="777">
        <v>300</v>
      </c>
      <c r="P59" s="777">
        <v>250</v>
      </c>
      <c r="Q59" s="777">
        <v>405</v>
      </c>
      <c r="R59" s="777">
        <v>375</v>
      </c>
      <c r="S59" s="777">
        <v>535</v>
      </c>
      <c r="T59" s="777">
        <v>405</v>
      </c>
      <c r="U59" s="777">
        <v>580</v>
      </c>
      <c r="V59" s="777">
        <v>435</v>
      </c>
      <c r="W59" s="777">
        <v>625</v>
      </c>
      <c r="X59" s="777">
        <v>600</v>
      </c>
      <c r="Y59" s="777">
        <v>840</v>
      </c>
      <c r="Z59" s="777" t="s">
        <v>352</v>
      </c>
      <c r="AA59" s="777" t="s">
        <v>646</v>
      </c>
      <c r="AB59" s="777">
        <v>535</v>
      </c>
      <c r="AC59" s="777" t="s">
        <v>647</v>
      </c>
      <c r="AD59" s="777">
        <v>1440</v>
      </c>
      <c r="AE59" s="777">
        <v>1065</v>
      </c>
      <c r="AF59" s="777">
        <v>0.64527134</v>
      </c>
      <c r="AG59" s="777">
        <v>0.63585523</v>
      </c>
      <c r="AH59" s="777">
        <v>0.58045405</v>
      </c>
      <c r="AI59" s="777">
        <v>0.48019237</v>
      </c>
      <c r="AJ59" s="777">
        <v>1610</v>
      </c>
      <c r="AK59" s="777">
        <v>114400</v>
      </c>
      <c r="AL59" s="777">
        <v>114400</v>
      </c>
      <c r="AM59" s="778">
        <v>0.0184</v>
      </c>
      <c r="AN59" s="381">
        <f>SUM(C59:AM59)</f>
        <v>271045.35897999</v>
      </c>
    </row>
    <row r="60" spans="1:39" ht="15" customHeight="1">
      <c r="A60" s="775">
        <v>371</v>
      </c>
      <c r="B60" s="776" t="s">
        <v>214</v>
      </c>
      <c r="C60" s="777">
        <v>3750</v>
      </c>
      <c r="D60" s="777">
        <v>4800</v>
      </c>
      <c r="E60" s="777">
        <v>5300</v>
      </c>
      <c r="F60" s="777">
        <v>5000</v>
      </c>
      <c r="G60" s="777">
        <v>2857</v>
      </c>
      <c r="H60" s="777">
        <v>4018</v>
      </c>
      <c r="I60" s="777">
        <v>4561</v>
      </c>
      <c r="J60" s="777">
        <v>450</v>
      </c>
      <c r="K60" s="777">
        <v>450</v>
      </c>
      <c r="L60" s="777">
        <v>560</v>
      </c>
      <c r="M60" s="777">
        <v>815</v>
      </c>
      <c r="N60" s="777">
        <v>210</v>
      </c>
      <c r="O60" s="777">
        <v>300</v>
      </c>
      <c r="P60" s="777">
        <v>250</v>
      </c>
      <c r="Q60" s="777">
        <v>405</v>
      </c>
      <c r="R60" s="777">
        <v>375</v>
      </c>
      <c r="S60" s="777">
        <v>535</v>
      </c>
      <c r="T60" s="777">
        <v>405</v>
      </c>
      <c r="U60" s="777">
        <v>580</v>
      </c>
      <c r="V60" s="777">
        <v>435</v>
      </c>
      <c r="W60" s="777">
        <v>625</v>
      </c>
      <c r="X60" s="777">
        <v>600</v>
      </c>
      <c r="Y60" s="777">
        <v>840</v>
      </c>
      <c r="Z60" s="777" t="s">
        <v>352</v>
      </c>
      <c r="AA60" s="777" t="s">
        <v>646</v>
      </c>
      <c r="AB60" s="777">
        <v>418.5</v>
      </c>
      <c r="AC60" s="777" t="s">
        <v>647</v>
      </c>
      <c r="AD60" s="777">
        <v>1217</v>
      </c>
      <c r="AE60" s="777">
        <v>1223</v>
      </c>
      <c r="AF60" s="777">
        <v>0.64527134</v>
      </c>
      <c r="AG60" s="777">
        <v>0.63585523</v>
      </c>
      <c r="AH60" s="777">
        <v>0.58045405</v>
      </c>
      <c r="AI60" s="777">
        <v>0.48019237</v>
      </c>
      <c r="AJ60" s="777">
        <v>1610</v>
      </c>
      <c r="AK60" s="777">
        <v>114400</v>
      </c>
      <c r="AL60" s="777">
        <v>114400</v>
      </c>
      <c r="AM60" s="778">
        <v>0.0184</v>
      </c>
    </row>
    <row r="61" spans="1:39" ht="15" customHeight="1">
      <c r="A61" s="775">
        <v>372</v>
      </c>
      <c r="B61" s="776" t="s">
        <v>283</v>
      </c>
      <c r="C61" s="777">
        <v>3750</v>
      </c>
      <c r="D61" s="777">
        <v>4800</v>
      </c>
      <c r="E61" s="777">
        <v>5300</v>
      </c>
      <c r="F61" s="777">
        <v>5000</v>
      </c>
      <c r="G61" s="777">
        <v>2935</v>
      </c>
      <c r="H61" s="777">
        <v>4180</v>
      </c>
      <c r="I61" s="777">
        <v>4700</v>
      </c>
      <c r="J61" s="777">
        <v>400</v>
      </c>
      <c r="K61" s="777">
        <v>400</v>
      </c>
      <c r="L61" s="777">
        <v>560</v>
      </c>
      <c r="M61" s="777">
        <v>815</v>
      </c>
      <c r="N61" s="777">
        <v>165</v>
      </c>
      <c r="O61" s="777">
        <v>220</v>
      </c>
      <c r="P61" s="777">
        <v>200</v>
      </c>
      <c r="Q61" s="777">
        <v>320</v>
      </c>
      <c r="R61" s="777">
        <v>300</v>
      </c>
      <c r="S61" s="777">
        <v>425</v>
      </c>
      <c r="T61" s="777">
        <v>320</v>
      </c>
      <c r="U61" s="777">
        <v>410</v>
      </c>
      <c r="V61" s="777">
        <v>350</v>
      </c>
      <c r="W61" s="777">
        <v>480</v>
      </c>
      <c r="X61" s="777">
        <v>490</v>
      </c>
      <c r="Y61" s="777">
        <v>640</v>
      </c>
      <c r="Z61" s="777" t="s">
        <v>352</v>
      </c>
      <c r="AA61" s="777" t="s">
        <v>646</v>
      </c>
      <c r="AB61" s="777">
        <v>535</v>
      </c>
      <c r="AC61" s="777" t="s">
        <v>647</v>
      </c>
      <c r="AD61" s="777">
        <v>1440</v>
      </c>
      <c r="AE61" s="777">
        <v>800</v>
      </c>
      <c r="AF61" s="777">
        <v>0.64527134</v>
      </c>
      <c r="AG61" s="777">
        <v>0.63585523</v>
      </c>
      <c r="AH61" s="777">
        <v>0.58045405</v>
      </c>
      <c r="AI61" s="777">
        <v>0.48019237</v>
      </c>
      <c r="AJ61" s="777">
        <v>1050</v>
      </c>
      <c r="AK61" s="777">
        <v>114400</v>
      </c>
      <c r="AL61" s="777">
        <v>114400</v>
      </c>
      <c r="AM61" s="778">
        <v>0.014</v>
      </c>
    </row>
    <row r="62" spans="1:39" ht="15" customHeight="1">
      <c r="A62" s="775">
        <v>373</v>
      </c>
      <c r="B62" s="776" t="s">
        <v>288</v>
      </c>
      <c r="C62" s="777">
        <v>3750</v>
      </c>
      <c r="D62" s="777">
        <v>4800</v>
      </c>
      <c r="E62" s="777">
        <v>5300</v>
      </c>
      <c r="F62" s="777">
        <v>5000</v>
      </c>
      <c r="G62" s="777">
        <v>3057.3489329681061</v>
      </c>
      <c r="H62" s="777">
        <v>3893.66766882429</v>
      </c>
      <c r="I62" s="777">
        <v>4746.8435620475175</v>
      </c>
      <c r="J62" s="777">
        <v>350.00262963983187</v>
      </c>
      <c r="K62" s="777">
        <v>566.51169769693479</v>
      </c>
      <c r="L62" s="777">
        <v>280.19382769852422</v>
      </c>
      <c r="M62" s="777">
        <v>377.88833993315461</v>
      </c>
      <c r="N62" s="777">
        <v>156.72936237447038</v>
      </c>
      <c r="O62" s="777">
        <v>251.00798225734621</v>
      </c>
      <c r="P62" s="777">
        <v>156.72936237447038</v>
      </c>
      <c r="Q62" s="777">
        <v>251.00798225734621</v>
      </c>
      <c r="R62" s="777">
        <v>235.09404356170558</v>
      </c>
      <c r="S62" s="777">
        <v>376.51197338601935</v>
      </c>
      <c r="T62" s="777">
        <v>313.45872474894077</v>
      </c>
      <c r="U62" s="777">
        <v>502.01596451469243</v>
      </c>
      <c r="V62" s="777">
        <v>391.82340593617596</v>
      </c>
      <c r="W62" s="777">
        <v>627.51995564336551</v>
      </c>
      <c r="X62" s="777">
        <v>548.55276831064634</v>
      </c>
      <c r="Y62" s="777">
        <v>878.52793790071178</v>
      </c>
      <c r="Z62" s="777" t="s">
        <v>352</v>
      </c>
      <c r="AA62" s="777" t="s">
        <v>646</v>
      </c>
      <c r="AB62" s="777">
        <v>508.338836575201</v>
      </c>
      <c r="AC62" s="777" t="s">
        <v>647</v>
      </c>
      <c r="AD62" s="777">
        <v>1438.7984236333368</v>
      </c>
      <c r="AE62" s="777">
        <v>1157.2004110868215</v>
      </c>
      <c r="AF62" s="777">
        <v>0.64527134</v>
      </c>
      <c r="AG62" s="777">
        <v>0.63585523</v>
      </c>
      <c r="AH62" s="777">
        <v>0.58045405</v>
      </c>
      <c r="AI62" s="777">
        <v>0.48019237</v>
      </c>
      <c r="AJ62" s="777">
        <v>1487.1247266156831</v>
      </c>
      <c r="AK62" s="777">
        <v>120000</v>
      </c>
      <c r="AL62" s="777">
        <v>120000</v>
      </c>
      <c r="AM62" s="778">
        <v>0.0184</v>
      </c>
    </row>
    <row r="63" spans="1:39" ht="15" customHeight="1">
      <c r="A63" s="775">
        <v>380</v>
      </c>
      <c r="B63" s="776" t="s">
        <v>190</v>
      </c>
      <c r="C63" s="777">
        <v>3750</v>
      </c>
      <c r="D63" s="777">
        <v>4800</v>
      </c>
      <c r="E63" s="777">
        <v>5300</v>
      </c>
      <c r="F63" s="777">
        <v>5000</v>
      </c>
      <c r="G63" s="777">
        <v>2857.45712235709</v>
      </c>
      <c r="H63" s="777">
        <v>4018.6428772586096</v>
      </c>
      <c r="I63" s="777">
        <v>4561.7297559198005</v>
      </c>
      <c r="J63" s="777">
        <v>450.072</v>
      </c>
      <c r="K63" s="777">
        <v>450.07200000035874</v>
      </c>
      <c r="L63" s="777">
        <v>560.08960000000116</v>
      </c>
      <c r="M63" s="777">
        <v>815.13040000014109</v>
      </c>
      <c r="N63" s="777">
        <v>210.0335999999505</v>
      </c>
      <c r="O63" s="777">
        <v>300.04799999989</v>
      </c>
      <c r="P63" s="777">
        <v>250.03999999994107</v>
      </c>
      <c r="Q63" s="777">
        <v>405.06479999985146</v>
      </c>
      <c r="R63" s="777">
        <v>375.05999999991161</v>
      </c>
      <c r="S63" s="777">
        <v>535.08559999980378</v>
      </c>
      <c r="T63" s="777">
        <v>405.06479999990461</v>
      </c>
      <c r="U63" s="777">
        <v>580.0927999997873</v>
      </c>
      <c r="V63" s="777">
        <v>435.06959999989749</v>
      </c>
      <c r="W63" s="777">
        <v>625.09999999977072</v>
      </c>
      <c r="X63" s="777">
        <v>600.09599999985869</v>
      </c>
      <c r="Y63" s="777">
        <v>840.13439999969194</v>
      </c>
      <c r="Z63" s="777" t="s">
        <v>352</v>
      </c>
      <c r="AA63" s="777" t="s">
        <v>646</v>
      </c>
      <c r="AB63" s="777">
        <v>535.085600000247</v>
      </c>
      <c r="AC63" s="777" t="s">
        <v>647</v>
      </c>
      <c r="AD63" s="777">
        <v>1440.2303999965716</v>
      </c>
      <c r="AE63" s="777">
        <v>1065.1704000001037</v>
      </c>
      <c r="AF63" s="777">
        <v>0.64527134</v>
      </c>
      <c r="AG63" s="777">
        <v>0.63585523</v>
      </c>
      <c r="AH63" s="777">
        <v>0.58045405</v>
      </c>
      <c r="AI63" s="777">
        <v>0.48019237</v>
      </c>
      <c r="AJ63" s="777">
        <v>1610.257600000162</v>
      </c>
      <c r="AK63" s="777">
        <v>114418.30399999999</v>
      </c>
      <c r="AL63" s="777">
        <v>114418.30399999999</v>
      </c>
      <c r="AM63" s="778">
        <v>0.0234</v>
      </c>
    </row>
    <row r="64" spans="1:39" ht="15" customHeight="1">
      <c r="A64" s="775">
        <v>381</v>
      </c>
      <c r="B64" s="776" t="s">
        <v>197</v>
      </c>
      <c r="C64" s="777">
        <v>3750</v>
      </c>
      <c r="D64" s="777">
        <v>4800</v>
      </c>
      <c r="E64" s="777">
        <v>5300</v>
      </c>
      <c r="F64" s="777">
        <v>5000</v>
      </c>
      <c r="G64" s="777">
        <v>2868.663692</v>
      </c>
      <c r="H64" s="777">
        <v>4029</v>
      </c>
      <c r="I64" s="777">
        <v>4575</v>
      </c>
      <c r="J64" s="777">
        <v>450</v>
      </c>
      <c r="K64" s="777">
        <v>450</v>
      </c>
      <c r="L64" s="777">
        <v>560</v>
      </c>
      <c r="M64" s="777">
        <v>815</v>
      </c>
      <c r="N64" s="777">
        <v>210</v>
      </c>
      <c r="O64" s="777">
        <v>300</v>
      </c>
      <c r="P64" s="777">
        <v>250</v>
      </c>
      <c r="Q64" s="777">
        <v>405</v>
      </c>
      <c r="R64" s="777">
        <v>375</v>
      </c>
      <c r="S64" s="777">
        <v>535</v>
      </c>
      <c r="T64" s="777">
        <v>405</v>
      </c>
      <c r="U64" s="777">
        <v>580</v>
      </c>
      <c r="V64" s="777">
        <v>435</v>
      </c>
      <c r="W64" s="777">
        <v>625</v>
      </c>
      <c r="X64" s="777">
        <v>600</v>
      </c>
      <c r="Y64" s="777">
        <v>840</v>
      </c>
      <c r="Z64" s="777" t="s">
        <v>352</v>
      </c>
      <c r="AA64" s="777" t="s">
        <v>646</v>
      </c>
      <c r="AB64" s="777">
        <v>535</v>
      </c>
      <c r="AC64" s="777" t="s">
        <v>647</v>
      </c>
      <c r="AD64" s="777">
        <v>1440</v>
      </c>
      <c r="AE64" s="777">
        <v>1065</v>
      </c>
      <c r="AF64" s="777">
        <v>0.64527134</v>
      </c>
      <c r="AG64" s="777">
        <v>0.63585523</v>
      </c>
      <c r="AH64" s="777">
        <v>0.58045405</v>
      </c>
      <c r="AI64" s="777">
        <v>0.48019237</v>
      </c>
      <c r="AJ64" s="777">
        <v>1610</v>
      </c>
      <c r="AK64" s="777">
        <v>114400</v>
      </c>
      <c r="AL64" s="777">
        <v>114400</v>
      </c>
      <c r="AM64" s="778">
        <v>0.0184</v>
      </c>
    </row>
    <row r="65" spans="1:39" ht="15" customHeight="1">
      <c r="A65" s="775">
        <v>382</v>
      </c>
      <c r="B65" s="776" t="s">
        <v>245</v>
      </c>
      <c r="C65" s="777">
        <v>3750</v>
      </c>
      <c r="D65" s="777">
        <v>4800</v>
      </c>
      <c r="E65" s="777">
        <v>5300</v>
      </c>
      <c r="F65" s="777">
        <v>5000</v>
      </c>
      <c r="G65" s="777">
        <v>2857</v>
      </c>
      <c r="H65" s="777">
        <v>4018</v>
      </c>
      <c r="I65" s="777">
        <v>4561</v>
      </c>
      <c r="J65" s="777">
        <v>450</v>
      </c>
      <c r="K65" s="777">
        <v>450</v>
      </c>
      <c r="L65" s="777">
        <v>560</v>
      </c>
      <c r="M65" s="777">
        <v>815</v>
      </c>
      <c r="N65" s="777">
        <v>210</v>
      </c>
      <c r="O65" s="777">
        <v>300</v>
      </c>
      <c r="P65" s="777">
        <v>250</v>
      </c>
      <c r="Q65" s="777">
        <v>405</v>
      </c>
      <c r="R65" s="777">
        <v>375</v>
      </c>
      <c r="S65" s="777">
        <v>535</v>
      </c>
      <c r="T65" s="777">
        <v>405</v>
      </c>
      <c r="U65" s="777">
        <v>580</v>
      </c>
      <c r="V65" s="777">
        <v>435</v>
      </c>
      <c r="W65" s="777">
        <v>625</v>
      </c>
      <c r="X65" s="777">
        <v>600</v>
      </c>
      <c r="Y65" s="777">
        <v>840</v>
      </c>
      <c r="Z65" s="777">
        <v>0</v>
      </c>
      <c r="AA65" s="777" t="s">
        <v>646</v>
      </c>
      <c r="AB65" s="777">
        <v>535</v>
      </c>
      <c r="AC65" s="777" t="s">
        <v>647</v>
      </c>
      <c r="AD65" s="777">
        <v>1440</v>
      </c>
      <c r="AE65" s="777">
        <v>1065</v>
      </c>
      <c r="AF65" s="777">
        <v>0.64527134</v>
      </c>
      <c r="AG65" s="777">
        <v>0.63585523</v>
      </c>
      <c r="AH65" s="777">
        <v>0.58045405</v>
      </c>
      <c r="AI65" s="777">
        <v>0.48019237</v>
      </c>
      <c r="AJ65" s="777">
        <v>1610</v>
      </c>
      <c r="AK65" s="777">
        <v>120814</v>
      </c>
      <c r="AL65" s="777">
        <v>120814</v>
      </c>
      <c r="AM65" s="778">
        <v>0.02180269094</v>
      </c>
    </row>
    <row r="66" spans="1:39" ht="15" customHeight="1">
      <c r="A66" s="775">
        <v>383</v>
      </c>
      <c r="B66" s="776" t="s">
        <v>249</v>
      </c>
      <c r="C66" s="777">
        <v>3750</v>
      </c>
      <c r="D66" s="777">
        <v>4800</v>
      </c>
      <c r="E66" s="777">
        <v>5300</v>
      </c>
      <c r="F66" s="777">
        <v>5000</v>
      </c>
      <c r="G66" s="777">
        <v>2857.45712</v>
      </c>
      <c r="H66" s="777">
        <v>4018.64288</v>
      </c>
      <c r="I66" s="777">
        <v>4561.72976</v>
      </c>
      <c r="J66" s="777">
        <v>450.07199999999995</v>
      </c>
      <c r="K66" s="777">
        <v>450.07199999999995</v>
      </c>
      <c r="L66" s="777">
        <v>560.0896</v>
      </c>
      <c r="M66" s="777">
        <v>815.1303999999999</v>
      </c>
      <c r="N66" s="777">
        <v>210.03359999999998</v>
      </c>
      <c r="O66" s="777">
        <v>300.048</v>
      </c>
      <c r="P66" s="777">
        <v>250.04</v>
      </c>
      <c r="Q66" s="777">
        <v>405.0648</v>
      </c>
      <c r="R66" s="777">
        <v>375.06</v>
      </c>
      <c r="S66" s="777">
        <v>535.0856</v>
      </c>
      <c r="T66" s="777">
        <v>405.0648</v>
      </c>
      <c r="U66" s="777">
        <v>580.0928</v>
      </c>
      <c r="V66" s="777">
        <v>435.0696</v>
      </c>
      <c r="W66" s="777">
        <v>625.09999999999991</v>
      </c>
      <c r="X66" s="777">
        <v>600.096</v>
      </c>
      <c r="Y66" s="777">
        <v>840.13439999999991</v>
      </c>
      <c r="Z66" s="777">
        <v>0</v>
      </c>
      <c r="AA66" s="777" t="s">
        <v>646</v>
      </c>
      <c r="AB66" s="777">
        <v>535.0856</v>
      </c>
      <c r="AC66" s="777" t="s">
        <v>647</v>
      </c>
      <c r="AD66" s="777">
        <v>1440.2304</v>
      </c>
      <c r="AE66" s="777">
        <v>1065.1704</v>
      </c>
      <c r="AF66" s="777">
        <v>0.64527134</v>
      </c>
      <c r="AG66" s="777">
        <v>0.63585523</v>
      </c>
      <c r="AH66" s="777">
        <v>0.58045405</v>
      </c>
      <c r="AI66" s="777">
        <v>0.48019237</v>
      </c>
      <c r="AJ66" s="777">
        <v>1610.2576</v>
      </c>
      <c r="AK66" s="777">
        <v>114418.30399999999</v>
      </c>
      <c r="AL66" s="777">
        <v>114418.30399999999</v>
      </c>
      <c r="AM66" s="778">
        <v>0.0184</v>
      </c>
    </row>
    <row r="67" spans="1:39" ht="15" customHeight="1">
      <c r="A67" s="775">
        <v>384</v>
      </c>
      <c r="B67" s="776" t="s">
        <v>314</v>
      </c>
      <c r="C67" s="777">
        <v>3750</v>
      </c>
      <c r="D67" s="777">
        <v>4800</v>
      </c>
      <c r="E67" s="777">
        <v>5300</v>
      </c>
      <c r="F67" s="777">
        <v>5000</v>
      </c>
      <c r="G67" s="777">
        <v>2902.3649404967</v>
      </c>
      <c r="H67" s="777">
        <v>4081.7999058158002</v>
      </c>
      <c r="I67" s="777">
        <v>4633.4219438591</v>
      </c>
      <c r="J67" s="777">
        <v>457.145335395</v>
      </c>
      <c r="K67" s="777">
        <v>457.145335395</v>
      </c>
      <c r="L67" s="777">
        <v>568.891972936</v>
      </c>
      <c r="M67" s="777">
        <v>827.9409963265</v>
      </c>
      <c r="N67" s="777">
        <v>213.334489851</v>
      </c>
      <c r="O67" s="777">
        <v>304.76355693</v>
      </c>
      <c r="P67" s="777">
        <v>253.969630775</v>
      </c>
      <c r="Q67" s="777">
        <v>411.4308018555</v>
      </c>
      <c r="R67" s="777">
        <v>380.9544461625</v>
      </c>
      <c r="S67" s="777">
        <v>543.4950098585</v>
      </c>
      <c r="T67" s="777">
        <v>411.4308018555</v>
      </c>
      <c r="U67" s="777">
        <v>589.209543398</v>
      </c>
      <c r="V67" s="777">
        <v>441.90715754850004</v>
      </c>
      <c r="W67" s="777">
        <v>634.9240769375</v>
      </c>
      <c r="X67" s="777">
        <v>609.52711386</v>
      </c>
      <c r="Y67" s="777">
        <v>853.337959404</v>
      </c>
      <c r="Z67" s="777" t="s">
        <v>352</v>
      </c>
      <c r="AA67" s="777" t="s">
        <v>646</v>
      </c>
      <c r="AB67" s="777">
        <v>543.4950098585</v>
      </c>
      <c r="AC67" s="777" t="s">
        <v>647</v>
      </c>
      <c r="AD67" s="777">
        <v>1462.865073264</v>
      </c>
      <c r="AE67" s="777">
        <v>1081.9106271015</v>
      </c>
      <c r="AF67" s="777">
        <v>0.64527134</v>
      </c>
      <c r="AG67" s="777">
        <v>0.63585523</v>
      </c>
      <c r="AH67" s="777">
        <v>0.58045405</v>
      </c>
      <c r="AI67" s="777">
        <v>0.48019237</v>
      </c>
      <c r="AJ67" s="777">
        <v>1635.5644221910002</v>
      </c>
      <c r="AK67" s="777">
        <v>114400</v>
      </c>
      <c r="AL67" s="777">
        <v>114400</v>
      </c>
      <c r="AM67" s="778">
        <v>0.0184</v>
      </c>
    </row>
    <row r="68" spans="1:39" ht="15" customHeight="1">
      <c r="A68" s="775">
        <v>390</v>
      </c>
      <c r="B68" s="776" t="s">
        <v>223</v>
      </c>
      <c r="C68" s="777">
        <v>3750</v>
      </c>
      <c r="D68" s="777">
        <v>4800</v>
      </c>
      <c r="E68" s="777">
        <v>5300</v>
      </c>
      <c r="F68" s="777">
        <v>5000</v>
      </c>
      <c r="G68" s="777">
        <v>2857</v>
      </c>
      <c r="H68" s="777">
        <v>4018</v>
      </c>
      <c r="I68" s="777">
        <v>4561</v>
      </c>
      <c r="J68" s="777">
        <v>450</v>
      </c>
      <c r="K68" s="777">
        <v>450</v>
      </c>
      <c r="L68" s="777">
        <v>597</v>
      </c>
      <c r="M68" s="777">
        <v>922</v>
      </c>
      <c r="N68" s="777">
        <v>210</v>
      </c>
      <c r="O68" s="777">
        <v>300</v>
      </c>
      <c r="P68" s="777">
        <v>250</v>
      </c>
      <c r="Q68" s="777">
        <v>405</v>
      </c>
      <c r="R68" s="777">
        <v>375</v>
      </c>
      <c r="S68" s="777">
        <v>535</v>
      </c>
      <c r="T68" s="777">
        <v>405</v>
      </c>
      <c r="U68" s="777">
        <v>580</v>
      </c>
      <c r="V68" s="777">
        <v>435</v>
      </c>
      <c r="W68" s="777">
        <v>625</v>
      </c>
      <c r="X68" s="777">
        <v>600</v>
      </c>
      <c r="Y68" s="777">
        <v>840</v>
      </c>
      <c r="Z68" s="777" t="s">
        <v>352</v>
      </c>
      <c r="AA68" s="777" t="s">
        <v>646</v>
      </c>
      <c r="AB68" s="777">
        <v>535</v>
      </c>
      <c r="AC68" s="777" t="s">
        <v>647</v>
      </c>
      <c r="AD68" s="777">
        <v>1440</v>
      </c>
      <c r="AE68" s="777">
        <v>1065</v>
      </c>
      <c r="AF68" s="777">
        <v>0.64527134</v>
      </c>
      <c r="AG68" s="777">
        <v>0.63585523</v>
      </c>
      <c r="AH68" s="777">
        <v>0.58045405</v>
      </c>
      <c r="AI68" s="777">
        <v>0.48019237</v>
      </c>
      <c r="AJ68" s="777">
        <v>1610</v>
      </c>
      <c r="AK68" s="777">
        <v>114400</v>
      </c>
      <c r="AL68" s="777">
        <v>114400</v>
      </c>
      <c r="AM68" s="778">
        <v>0.0184</v>
      </c>
    </row>
    <row r="69" spans="1:39" ht="15" customHeight="1">
      <c r="A69" s="775">
        <v>391</v>
      </c>
      <c r="B69" s="776" t="s">
        <v>261</v>
      </c>
      <c r="C69" s="777">
        <v>3750</v>
      </c>
      <c r="D69" s="777">
        <v>4800</v>
      </c>
      <c r="E69" s="777">
        <v>5300</v>
      </c>
      <c r="F69" s="777">
        <v>5000</v>
      </c>
      <c r="G69" s="777">
        <v>2830.83266731036</v>
      </c>
      <c r="H69" s="777">
        <v>4076.39904092692</v>
      </c>
      <c r="I69" s="777">
        <v>4614.25724771589</v>
      </c>
      <c r="J69" s="777">
        <v>459.832758371782</v>
      </c>
      <c r="K69" s="777">
        <v>459.832758371782</v>
      </c>
      <c r="L69" s="777">
        <v>567.32844911742336</v>
      </c>
      <c r="M69" s="777">
        <v>845.31938918496076</v>
      </c>
      <c r="N69" s="777">
        <v>212.69688799117802</v>
      </c>
      <c r="O69" s="777">
        <v>303.85269713025434</v>
      </c>
      <c r="P69" s="777">
        <v>253.21058094187862</v>
      </c>
      <c r="Q69" s="777">
        <v>419.31672203975097</v>
      </c>
      <c r="R69" s="777">
        <v>379.8158714128179</v>
      </c>
      <c r="S69" s="777">
        <v>549.97338180576037</v>
      </c>
      <c r="T69" s="777">
        <v>410.20114112584332</v>
      </c>
      <c r="U69" s="777">
        <v>595.55128637529856</v>
      </c>
      <c r="V69" s="777">
        <v>440.5864108388688</v>
      </c>
      <c r="W69" s="777">
        <v>641.12919094483652</v>
      </c>
      <c r="X69" s="777">
        <v>607.70539426050868</v>
      </c>
      <c r="Y69" s="777">
        <v>859.90313287861977</v>
      </c>
      <c r="Z69" s="777" t="s">
        <v>352</v>
      </c>
      <c r="AA69" s="777" t="s">
        <v>646</v>
      </c>
      <c r="AB69" s="777">
        <v>524.3</v>
      </c>
      <c r="AC69" s="777" t="s">
        <v>647</v>
      </c>
      <c r="AD69" s="777">
        <v>1426.096</v>
      </c>
      <c r="AE69" s="777">
        <v>1043.7</v>
      </c>
      <c r="AF69" s="777">
        <v>0.64527134</v>
      </c>
      <c r="AG69" s="777">
        <v>0.63585523</v>
      </c>
      <c r="AH69" s="777">
        <v>0.58045405</v>
      </c>
      <c r="AI69" s="777">
        <v>0.48019237</v>
      </c>
      <c r="AJ69" s="777">
        <v>1607.298</v>
      </c>
      <c r="AK69" s="777">
        <v>112112</v>
      </c>
      <c r="AL69" s="777">
        <v>112112</v>
      </c>
      <c r="AM69" s="778">
        <v>0.0184</v>
      </c>
    </row>
    <row r="70" spans="1:39" ht="15" customHeight="1">
      <c r="A70" s="775">
        <v>392</v>
      </c>
      <c r="B70" s="776" t="s">
        <v>267</v>
      </c>
      <c r="C70" s="777">
        <v>3750</v>
      </c>
      <c r="D70" s="777">
        <v>4800</v>
      </c>
      <c r="E70" s="777">
        <v>5300</v>
      </c>
      <c r="F70" s="777">
        <v>5000</v>
      </c>
      <c r="G70" s="777">
        <v>3014.77</v>
      </c>
      <c r="H70" s="777">
        <v>4324.17</v>
      </c>
      <c r="I70" s="777">
        <v>5213.29</v>
      </c>
      <c r="J70" s="777">
        <v>225</v>
      </c>
      <c r="K70" s="777">
        <v>225</v>
      </c>
      <c r="L70" s="777">
        <v>561</v>
      </c>
      <c r="M70" s="777">
        <v>841</v>
      </c>
      <c r="N70" s="777">
        <v>105</v>
      </c>
      <c r="O70" s="777">
        <v>150</v>
      </c>
      <c r="P70" s="777">
        <v>235</v>
      </c>
      <c r="Q70" s="777">
        <v>366</v>
      </c>
      <c r="R70" s="777">
        <v>335</v>
      </c>
      <c r="S70" s="777">
        <v>486</v>
      </c>
      <c r="T70" s="777">
        <v>388</v>
      </c>
      <c r="U70" s="777">
        <v>564</v>
      </c>
      <c r="V70" s="777">
        <v>440</v>
      </c>
      <c r="W70" s="777">
        <v>641</v>
      </c>
      <c r="X70" s="777">
        <v>560</v>
      </c>
      <c r="Y70" s="777">
        <v>804</v>
      </c>
      <c r="Z70" s="777" t="s">
        <v>352</v>
      </c>
      <c r="AA70" s="777" t="s">
        <v>650</v>
      </c>
      <c r="AB70" s="777">
        <v>1212</v>
      </c>
      <c r="AC70" s="777" t="s">
        <v>651</v>
      </c>
      <c r="AD70" s="777">
        <v>1212</v>
      </c>
      <c r="AE70" s="777">
        <v>676</v>
      </c>
      <c r="AF70" s="777">
        <v>0.64527134</v>
      </c>
      <c r="AG70" s="777">
        <v>0.63585523</v>
      </c>
      <c r="AH70" s="777">
        <v>0.58045405</v>
      </c>
      <c r="AI70" s="777">
        <v>0.48019237</v>
      </c>
      <c r="AJ70" s="777">
        <v>1129</v>
      </c>
      <c r="AK70" s="777">
        <v>132200</v>
      </c>
      <c r="AL70" s="777">
        <v>142200</v>
      </c>
      <c r="AM70" s="778">
        <v>0.0184</v>
      </c>
    </row>
    <row r="71" spans="1:39" ht="15" customHeight="1">
      <c r="A71" s="775">
        <v>393</v>
      </c>
      <c r="B71" s="776" t="s">
        <v>294</v>
      </c>
      <c r="C71" s="777">
        <v>3750</v>
      </c>
      <c r="D71" s="777">
        <v>4800</v>
      </c>
      <c r="E71" s="777">
        <v>5300</v>
      </c>
      <c r="F71" s="777">
        <v>5000</v>
      </c>
      <c r="G71" s="777">
        <v>2922.7847243235738</v>
      </c>
      <c r="H71" s="777">
        <v>4110.5176837004328</v>
      </c>
      <c r="I71" s="777">
        <v>4666.0206957087239</v>
      </c>
      <c r="J71" s="777">
        <v>450</v>
      </c>
      <c r="K71" s="777">
        <v>450</v>
      </c>
      <c r="L71" s="777">
        <v>560</v>
      </c>
      <c r="M71" s="777">
        <v>815</v>
      </c>
      <c r="N71" s="777">
        <v>210</v>
      </c>
      <c r="O71" s="777">
        <v>300</v>
      </c>
      <c r="P71" s="777">
        <v>250</v>
      </c>
      <c r="Q71" s="777">
        <v>405</v>
      </c>
      <c r="R71" s="777">
        <v>375</v>
      </c>
      <c r="S71" s="777">
        <v>535</v>
      </c>
      <c r="T71" s="777">
        <v>405</v>
      </c>
      <c r="U71" s="777">
        <v>580</v>
      </c>
      <c r="V71" s="777">
        <v>435</v>
      </c>
      <c r="W71" s="777">
        <v>625</v>
      </c>
      <c r="X71" s="777">
        <v>600</v>
      </c>
      <c r="Y71" s="777">
        <v>840</v>
      </c>
      <c r="Z71" s="777">
        <v>0</v>
      </c>
      <c r="AA71" s="777" t="s">
        <v>646</v>
      </c>
      <c r="AB71" s="777">
        <v>535</v>
      </c>
      <c r="AC71" s="777" t="s">
        <v>647</v>
      </c>
      <c r="AD71" s="777">
        <v>1440</v>
      </c>
      <c r="AE71" s="777">
        <v>1065</v>
      </c>
      <c r="AF71" s="777">
        <v>0.64527134</v>
      </c>
      <c r="AG71" s="777">
        <v>0.63585523</v>
      </c>
      <c r="AH71" s="777">
        <v>0.58045405</v>
      </c>
      <c r="AI71" s="777">
        <v>0.48019237</v>
      </c>
      <c r="AJ71" s="777">
        <v>1610</v>
      </c>
      <c r="AK71" s="777">
        <v>114400</v>
      </c>
      <c r="AL71" s="777">
        <v>114400</v>
      </c>
      <c r="AM71" s="778">
        <v>0.0184</v>
      </c>
    </row>
    <row r="72" spans="1:39" ht="15" customHeight="1">
      <c r="A72" s="775">
        <v>394</v>
      </c>
      <c r="B72" s="776" t="s">
        <v>304</v>
      </c>
      <c r="C72" s="777">
        <v>3750</v>
      </c>
      <c r="D72" s="777">
        <v>4800</v>
      </c>
      <c r="E72" s="777">
        <v>5300</v>
      </c>
      <c r="F72" s="777">
        <v>5000</v>
      </c>
      <c r="G72" s="777">
        <v>2857</v>
      </c>
      <c r="H72" s="777">
        <v>4018</v>
      </c>
      <c r="I72" s="777">
        <v>4561</v>
      </c>
      <c r="J72" s="777">
        <v>373.895662</v>
      </c>
      <c r="K72" s="777">
        <v>373.895662</v>
      </c>
      <c r="L72" s="777">
        <v>560</v>
      </c>
      <c r="M72" s="777">
        <v>815</v>
      </c>
      <c r="N72" s="777">
        <v>210</v>
      </c>
      <c r="O72" s="777">
        <v>300</v>
      </c>
      <c r="P72" s="777">
        <v>250</v>
      </c>
      <c r="Q72" s="777">
        <v>405</v>
      </c>
      <c r="R72" s="777">
        <v>375</v>
      </c>
      <c r="S72" s="777">
        <v>535</v>
      </c>
      <c r="T72" s="777">
        <v>405</v>
      </c>
      <c r="U72" s="777">
        <v>580</v>
      </c>
      <c r="V72" s="777">
        <v>435</v>
      </c>
      <c r="W72" s="777">
        <v>625</v>
      </c>
      <c r="X72" s="777">
        <v>600</v>
      </c>
      <c r="Y72" s="777">
        <v>840</v>
      </c>
      <c r="Z72" s="777" t="s">
        <v>352</v>
      </c>
      <c r="AA72" s="777" t="s">
        <v>646</v>
      </c>
      <c r="AB72" s="777">
        <v>535</v>
      </c>
      <c r="AC72" s="777" t="s">
        <v>647</v>
      </c>
      <c r="AD72" s="777">
        <v>1440</v>
      </c>
      <c r="AE72" s="777">
        <v>1065</v>
      </c>
      <c r="AF72" s="777">
        <v>0.64527134</v>
      </c>
      <c r="AG72" s="777">
        <v>0.63585523</v>
      </c>
      <c r="AH72" s="777">
        <v>0.58045405</v>
      </c>
      <c r="AI72" s="777">
        <v>0.48019237</v>
      </c>
      <c r="AJ72" s="777">
        <v>1610</v>
      </c>
      <c r="AK72" s="777">
        <v>114400</v>
      </c>
      <c r="AL72" s="777">
        <v>114400</v>
      </c>
      <c r="AM72" s="778">
        <v>0.0184</v>
      </c>
    </row>
    <row r="73" spans="1:39" ht="15" customHeight="1">
      <c r="A73" s="775">
        <v>420</v>
      </c>
      <c r="B73" s="776" t="s">
        <v>239</v>
      </c>
      <c r="C73" s="777">
        <v>3750</v>
      </c>
      <c r="D73" s="777">
        <v>4800</v>
      </c>
      <c r="E73" s="777">
        <v>5300</v>
      </c>
      <c r="F73" s="777">
        <v>5000</v>
      </c>
      <c r="G73" s="777">
        <v>7924.7510865327331</v>
      </c>
      <c r="H73" s="777">
        <v>11145.13470972647</v>
      </c>
      <c r="I73" s="777">
        <v>12651.30896243465</v>
      </c>
      <c r="J73" s="777">
        <v>450</v>
      </c>
      <c r="K73" s="777">
        <v>450</v>
      </c>
      <c r="L73" s="777">
        <v>560</v>
      </c>
      <c r="M73" s="777">
        <v>815</v>
      </c>
      <c r="N73" s="777">
        <v>210</v>
      </c>
      <c r="O73" s="777">
        <v>300</v>
      </c>
      <c r="P73" s="777">
        <v>250</v>
      </c>
      <c r="Q73" s="777">
        <v>405</v>
      </c>
      <c r="R73" s="777">
        <v>375</v>
      </c>
      <c r="S73" s="777">
        <v>535</v>
      </c>
      <c r="T73" s="777">
        <v>405</v>
      </c>
      <c r="U73" s="777">
        <v>580</v>
      </c>
      <c r="V73" s="777">
        <v>435</v>
      </c>
      <c r="W73" s="777">
        <v>625</v>
      </c>
      <c r="X73" s="777">
        <v>600</v>
      </c>
      <c r="Y73" s="777">
        <v>840</v>
      </c>
      <c r="Z73" s="777" t="s">
        <v>352</v>
      </c>
      <c r="AA73" s="777" t="s">
        <v>646</v>
      </c>
      <c r="AB73" s="777">
        <v>535</v>
      </c>
      <c r="AC73" s="777" t="s">
        <v>647</v>
      </c>
      <c r="AD73" s="777">
        <v>1440</v>
      </c>
      <c r="AE73" s="777">
        <v>1065</v>
      </c>
      <c r="AF73" s="777">
        <v>0.64527134</v>
      </c>
      <c r="AG73" s="777">
        <v>0.63585523</v>
      </c>
      <c r="AH73" s="777">
        <v>0.58045405</v>
      </c>
      <c r="AI73" s="777">
        <v>0.48019237</v>
      </c>
      <c r="AJ73" s="777">
        <v>1610</v>
      </c>
      <c r="AK73" s="777">
        <v>114400</v>
      </c>
      <c r="AL73" s="777">
        <v>114400</v>
      </c>
      <c r="AM73" s="778">
        <v>0.0184</v>
      </c>
    </row>
    <row r="74" spans="1:39" ht="15" customHeight="1">
      <c r="A74" s="775">
        <v>800</v>
      </c>
      <c r="B74" s="776" t="s">
        <v>177</v>
      </c>
      <c r="C74" s="777">
        <v>3750</v>
      </c>
      <c r="D74" s="777">
        <v>4800</v>
      </c>
      <c r="E74" s="777">
        <v>5300</v>
      </c>
      <c r="F74" s="777">
        <v>5000</v>
      </c>
      <c r="G74" s="777">
        <v>2857</v>
      </c>
      <c r="H74" s="777">
        <v>4018</v>
      </c>
      <c r="I74" s="777">
        <v>4561</v>
      </c>
      <c r="J74" s="777">
        <v>450</v>
      </c>
      <c r="K74" s="777">
        <v>450</v>
      </c>
      <c r="L74" s="777">
        <v>560</v>
      </c>
      <c r="M74" s="777">
        <v>815</v>
      </c>
      <c r="N74" s="777">
        <v>210</v>
      </c>
      <c r="O74" s="777">
        <v>300</v>
      </c>
      <c r="P74" s="777">
        <v>250</v>
      </c>
      <c r="Q74" s="777">
        <v>405</v>
      </c>
      <c r="R74" s="777">
        <v>375</v>
      </c>
      <c r="S74" s="777">
        <v>535</v>
      </c>
      <c r="T74" s="777">
        <v>405</v>
      </c>
      <c r="U74" s="777">
        <v>580</v>
      </c>
      <c r="V74" s="777">
        <v>435</v>
      </c>
      <c r="W74" s="777">
        <v>625</v>
      </c>
      <c r="X74" s="777">
        <v>600</v>
      </c>
      <c r="Y74" s="777">
        <v>840</v>
      </c>
      <c r="Z74" s="777">
        <v>0</v>
      </c>
      <c r="AA74" s="777" t="s">
        <v>646</v>
      </c>
      <c r="AB74" s="777">
        <v>535</v>
      </c>
      <c r="AC74" s="777" t="s">
        <v>647</v>
      </c>
      <c r="AD74" s="777">
        <v>1440</v>
      </c>
      <c r="AE74" s="777">
        <v>1065</v>
      </c>
      <c r="AF74" s="777">
        <v>0.64527134</v>
      </c>
      <c r="AG74" s="777">
        <v>0.63585523</v>
      </c>
      <c r="AH74" s="777">
        <v>0.58045405</v>
      </c>
      <c r="AI74" s="777">
        <v>0.48019237</v>
      </c>
      <c r="AJ74" s="777">
        <v>1610</v>
      </c>
      <c r="AK74" s="777">
        <v>114400</v>
      </c>
      <c r="AL74" s="777">
        <v>114400</v>
      </c>
      <c r="AM74" s="778">
        <v>0.0184</v>
      </c>
    </row>
    <row r="75" spans="1:39" ht="15" customHeight="1">
      <c r="A75" s="775">
        <v>801</v>
      </c>
      <c r="B75" s="776" t="s">
        <v>193</v>
      </c>
      <c r="C75" s="777">
        <v>3750</v>
      </c>
      <c r="D75" s="777">
        <v>4800</v>
      </c>
      <c r="E75" s="777">
        <v>5300</v>
      </c>
      <c r="F75" s="777">
        <v>5000</v>
      </c>
      <c r="G75" s="777">
        <v>2857</v>
      </c>
      <c r="H75" s="777">
        <v>4018</v>
      </c>
      <c r="I75" s="777">
        <v>4561</v>
      </c>
      <c r="J75" s="777">
        <v>482.64319761905074</v>
      </c>
      <c r="K75" s="777">
        <v>482.64319761905074</v>
      </c>
      <c r="L75" s="777">
        <v>600.62264592592987</v>
      </c>
      <c r="M75" s="777">
        <v>874.12045791005858</v>
      </c>
      <c r="N75" s="777">
        <v>225.23349222222367</v>
      </c>
      <c r="O75" s="777">
        <v>321.76213174603384</v>
      </c>
      <c r="P75" s="777">
        <v>268.13510978836155</v>
      </c>
      <c r="Q75" s="777">
        <v>434.37887785714565</v>
      </c>
      <c r="R75" s="777">
        <v>402.20266468254226</v>
      </c>
      <c r="S75" s="777">
        <v>573.80913494709364</v>
      </c>
      <c r="T75" s="777">
        <v>434.37887785714565</v>
      </c>
      <c r="U75" s="777">
        <v>622.07345470899872</v>
      </c>
      <c r="V75" s="777">
        <v>466.55509103174904</v>
      </c>
      <c r="W75" s="777">
        <v>670.33777447090381</v>
      </c>
      <c r="X75" s="777">
        <v>643.52426349206769</v>
      </c>
      <c r="Y75" s="777">
        <v>900.9339688888947</v>
      </c>
      <c r="Z75" s="777" t="s">
        <v>352</v>
      </c>
      <c r="AA75" s="777" t="s">
        <v>646</v>
      </c>
      <c r="AB75" s="777">
        <v>573.80913494709364</v>
      </c>
      <c r="AC75" s="777" t="s">
        <v>647</v>
      </c>
      <c r="AD75" s="777">
        <v>1544.4582323809623</v>
      </c>
      <c r="AE75" s="777">
        <v>1142.25556769842</v>
      </c>
      <c r="AF75" s="777">
        <v>0.64527134</v>
      </c>
      <c r="AG75" s="777">
        <v>0.63585523</v>
      </c>
      <c r="AH75" s="777">
        <v>0.58045405</v>
      </c>
      <c r="AI75" s="777">
        <v>0.48019237</v>
      </c>
      <c r="AJ75" s="777">
        <v>1726.7901070370483</v>
      </c>
      <c r="AK75" s="777">
        <v>125000</v>
      </c>
      <c r="AL75" s="777">
        <v>125000</v>
      </c>
      <c r="AM75" s="778">
        <v>0.005</v>
      </c>
    </row>
    <row r="76" spans="1:39" ht="15" customHeight="1">
      <c r="A76" s="775">
        <v>802</v>
      </c>
      <c r="B76" s="776" t="s">
        <v>266</v>
      </c>
      <c r="C76" s="777">
        <v>3750</v>
      </c>
      <c r="D76" s="777">
        <v>4800</v>
      </c>
      <c r="E76" s="777">
        <v>5300</v>
      </c>
      <c r="F76" s="777">
        <v>5000</v>
      </c>
      <c r="G76" s="777">
        <v>2871.94</v>
      </c>
      <c r="H76" s="777">
        <v>4004.59</v>
      </c>
      <c r="I76" s="777">
        <v>4535.39</v>
      </c>
      <c r="J76" s="777">
        <v>456.57</v>
      </c>
      <c r="K76" s="777">
        <v>456.57</v>
      </c>
      <c r="L76" s="777">
        <v>568.17</v>
      </c>
      <c r="M76" s="777">
        <v>826.89</v>
      </c>
      <c r="N76" s="777">
        <v>213.06</v>
      </c>
      <c r="O76" s="777">
        <v>304.38</v>
      </c>
      <c r="P76" s="777">
        <v>253.65</v>
      </c>
      <c r="Q76" s="777">
        <v>410.91</v>
      </c>
      <c r="R76" s="777">
        <v>380.47</v>
      </c>
      <c r="S76" s="777">
        <v>542.81</v>
      </c>
      <c r="T76" s="777">
        <v>410.91</v>
      </c>
      <c r="U76" s="777">
        <v>588.46</v>
      </c>
      <c r="V76" s="777">
        <v>441.35</v>
      </c>
      <c r="W76" s="777">
        <v>634.12</v>
      </c>
      <c r="X76" s="777">
        <v>608.75</v>
      </c>
      <c r="Y76" s="777">
        <v>852.26</v>
      </c>
      <c r="Z76" s="777" t="s">
        <v>352</v>
      </c>
      <c r="AA76" s="777" t="s">
        <v>646</v>
      </c>
      <c r="AB76" s="777">
        <v>542.81</v>
      </c>
      <c r="AC76" s="777" t="s">
        <v>647</v>
      </c>
      <c r="AD76" s="777">
        <v>1461.01</v>
      </c>
      <c r="AE76" s="777">
        <v>1080.54</v>
      </c>
      <c r="AF76" s="777">
        <v>0.64527134</v>
      </c>
      <c r="AG76" s="777">
        <v>0.63585523</v>
      </c>
      <c r="AH76" s="777">
        <v>0.58045405</v>
      </c>
      <c r="AI76" s="777">
        <v>0.48019237</v>
      </c>
      <c r="AJ76" s="777">
        <v>1633.49</v>
      </c>
      <c r="AK76" s="777">
        <v>116069.1</v>
      </c>
      <c r="AL76" s="777">
        <v>116069.1</v>
      </c>
      <c r="AM76" s="778">
        <v>0.0184</v>
      </c>
    </row>
    <row r="77" spans="1:39" ht="15" customHeight="1">
      <c r="A77" s="775">
        <v>803</v>
      </c>
      <c r="B77" s="776" t="s">
        <v>293</v>
      </c>
      <c r="C77" s="777">
        <v>3750</v>
      </c>
      <c r="D77" s="777">
        <v>4800</v>
      </c>
      <c r="E77" s="777">
        <v>5300</v>
      </c>
      <c r="F77" s="777">
        <v>5000</v>
      </c>
      <c r="G77" s="777">
        <v>2821</v>
      </c>
      <c r="H77" s="777">
        <v>3967.37</v>
      </c>
      <c r="I77" s="777">
        <v>4503.53</v>
      </c>
      <c r="J77" s="777">
        <v>444.33</v>
      </c>
      <c r="K77" s="777">
        <v>444.33</v>
      </c>
      <c r="L77" s="777">
        <v>552.944</v>
      </c>
      <c r="M77" s="777">
        <v>804.73</v>
      </c>
      <c r="N77" s="777">
        <v>207.35</v>
      </c>
      <c r="O77" s="777">
        <v>296.22</v>
      </c>
      <c r="P77" s="777">
        <v>246.85</v>
      </c>
      <c r="Q77" s="777">
        <v>399.9</v>
      </c>
      <c r="R77" s="777">
        <v>370.28</v>
      </c>
      <c r="S77" s="777">
        <v>528.26</v>
      </c>
      <c r="T77" s="777">
        <v>399.9</v>
      </c>
      <c r="U77" s="777">
        <v>572.69</v>
      </c>
      <c r="V77" s="777">
        <v>429.52</v>
      </c>
      <c r="W77" s="777">
        <v>617.13</v>
      </c>
      <c r="X77" s="777">
        <v>592.44</v>
      </c>
      <c r="Y77" s="777">
        <v>829.42</v>
      </c>
      <c r="Z77" s="777">
        <v>0</v>
      </c>
      <c r="AA77" s="777" t="s">
        <v>646</v>
      </c>
      <c r="AB77" s="777">
        <v>528.26</v>
      </c>
      <c r="AC77" s="777" t="s">
        <v>647</v>
      </c>
      <c r="AD77" s="777">
        <v>1421.86</v>
      </c>
      <c r="AE77" s="777">
        <v>1051.58</v>
      </c>
      <c r="AF77" s="777">
        <v>0.64527134</v>
      </c>
      <c r="AG77" s="777">
        <v>0.63585523</v>
      </c>
      <c r="AH77" s="777">
        <v>0.58045405</v>
      </c>
      <c r="AI77" s="777">
        <v>0.48019237</v>
      </c>
      <c r="AJ77" s="777">
        <v>1589.71</v>
      </c>
      <c r="AK77" s="777">
        <v>112958.56</v>
      </c>
      <c r="AL77" s="777">
        <v>112958.56</v>
      </c>
      <c r="AM77" s="778">
        <v>0.005</v>
      </c>
    </row>
    <row r="78" spans="1:39" ht="15" customHeight="1">
      <c r="A78" s="775">
        <v>805</v>
      </c>
      <c r="B78" s="776" t="s">
        <v>232</v>
      </c>
      <c r="C78" s="777">
        <v>3750</v>
      </c>
      <c r="D78" s="777">
        <v>4800</v>
      </c>
      <c r="E78" s="777">
        <v>5300</v>
      </c>
      <c r="F78" s="777">
        <v>5000</v>
      </c>
      <c r="G78" s="777">
        <v>2861.2739</v>
      </c>
      <c r="H78" s="777">
        <v>4024.0106000000005</v>
      </c>
      <c r="I78" s="777">
        <v>4567.8228</v>
      </c>
      <c r="J78" s="777">
        <v>450</v>
      </c>
      <c r="K78" s="777">
        <v>450</v>
      </c>
      <c r="L78" s="777">
        <v>560</v>
      </c>
      <c r="M78" s="777">
        <v>815</v>
      </c>
      <c r="N78" s="777">
        <v>210</v>
      </c>
      <c r="O78" s="777">
        <v>300</v>
      </c>
      <c r="P78" s="777">
        <v>250</v>
      </c>
      <c r="Q78" s="777">
        <v>405</v>
      </c>
      <c r="R78" s="777">
        <v>375</v>
      </c>
      <c r="S78" s="777">
        <v>535</v>
      </c>
      <c r="T78" s="777">
        <v>405</v>
      </c>
      <c r="U78" s="777">
        <v>580</v>
      </c>
      <c r="V78" s="777">
        <v>435</v>
      </c>
      <c r="W78" s="777">
        <v>625</v>
      </c>
      <c r="X78" s="777">
        <v>600</v>
      </c>
      <c r="Y78" s="777">
        <v>840</v>
      </c>
      <c r="Z78" s="777" t="s">
        <v>352</v>
      </c>
      <c r="AA78" s="777" t="s">
        <v>646</v>
      </c>
      <c r="AB78" s="777">
        <v>535</v>
      </c>
      <c r="AC78" s="777" t="s">
        <v>647</v>
      </c>
      <c r="AD78" s="777">
        <v>1440</v>
      </c>
      <c r="AE78" s="777">
        <v>1065</v>
      </c>
      <c r="AF78" s="777">
        <v>0.64527134</v>
      </c>
      <c r="AG78" s="777">
        <v>0.63585523</v>
      </c>
      <c r="AH78" s="777">
        <v>0.58045405</v>
      </c>
      <c r="AI78" s="777">
        <v>0.48019237</v>
      </c>
      <c r="AJ78" s="777">
        <v>1610</v>
      </c>
      <c r="AK78" s="777">
        <v>114400</v>
      </c>
      <c r="AL78" s="777">
        <v>114400</v>
      </c>
      <c r="AM78" s="778">
        <v>0.0184</v>
      </c>
    </row>
    <row r="79" spans="1:39" ht="15" customHeight="1">
      <c r="A79" s="775">
        <v>806</v>
      </c>
      <c r="B79" s="776" t="s">
        <v>259</v>
      </c>
      <c r="C79" s="777">
        <v>3750</v>
      </c>
      <c r="D79" s="777">
        <v>4800</v>
      </c>
      <c r="E79" s="777">
        <v>5300</v>
      </c>
      <c r="F79" s="777">
        <v>5000</v>
      </c>
      <c r="G79" s="777">
        <v>2892.95</v>
      </c>
      <c r="H79" s="777">
        <v>4053.95</v>
      </c>
      <c r="I79" s="777">
        <v>4596.95</v>
      </c>
      <c r="J79" s="777">
        <v>450</v>
      </c>
      <c r="K79" s="777">
        <v>450</v>
      </c>
      <c r="L79" s="777">
        <v>560</v>
      </c>
      <c r="M79" s="777">
        <v>815</v>
      </c>
      <c r="N79" s="777">
        <v>210</v>
      </c>
      <c r="O79" s="777">
        <v>300</v>
      </c>
      <c r="P79" s="777">
        <v>250</v>
      </c>
      <c r="Q79" s="777">
        <v>405</v>
      </c>
      <c r="R79" s="777">
        <v>375</v>
      </c>
      <c r="S79" s="777">
        <v>535</v>
      </c>
      <c r="T79" s="777">
        <v>405</v>
      </c>
      <c r="U79" s="777">
        <v>580</v>
      </c>
      <c r="V79" s="777">
        <v>435</v>
      </c>
      <c r="W79" s="777">
        <v>625</v>
      </c>
      <c r="X79" s="777">
        <v>600</v>
      </c>
      <c r="Y79" s="777">
        <v>840</v>
      </c>
      <c r="Z79" s="777" t="s">
        <v>352</v>
      </c>
      <c r="AA79" s="777" t="s">
        <v>646</v>
      </c>
      <c r="AB79" s="777">
        <v>535</v>
      </c>
      <c r="AC79" s="777" t="s">
        <v>647</v>
      </c>
      <c r="AD79" s="777">
        <v>1440</v>
      </c>
      <c r="AE79" s="777">
        <v>1065</v>
      </c>
      <c r="AF79" s="777">
        <v>0.64527134</v>
      </c>
      <c r="AG79" s="777">
        <v>0.63585523</v>
      </c>
      <c r="AH79" s="777">
        <v>0.58045405</v>
      </c>
      <c r="AI79" s="777">
        <v>0.48019237</v>
      </c>
      <c r="AJ79" s="777">
        <v>1610</v>
      </c>
      <c r="AK79" s="777">
        <v>114400</v>
      </c>
      <c r="AL79" s="777">
        <v>114400</v>
      </c>
      <c r="AM79" s="778">
        <v>0.0184</v>
      </c>
    </row>
    <row r="80" spans="1:39" ht="15" customHeight="1">
      <c r="A80" s="775">
        <v>807</v>
      </c>
      <c r="B80" s="776" t="s">
        <v>280</v>
      </c>
      <c r="C80" s="777">
        <v>3750</v>
      </c>
      <c r="D80" s="777">
        <v>4800</v>
      </c>
      <c r="E80" s="777">
        <v>5300</v>
      </c>
      <c r="F80" s="777">
        <v>5000</v>
      </c>
      <c r="G80" s="777">
        <v>2857</v>
      </c>
      <c r="H80" s="777">
        <v>4018</v>
      </c>
      <c r="I80" s="777">
        <v>4561</v>
      </c>
      <c r="J80" s="777">
        <v>450</v>
      </c>
      <c r="K80" s="777">
        <v>450</v>
      </c>
      <c r="L80" s="777">
        <v>560</v>
      </c>
      <c r="M80" s="777">
        <v>815</v>
      </c>
      <c r="N80" s="777">
        <v>210</v>
      </c>
      <c r="O80" s="777">
        <v>300</v>
      </c>
      <c r="P80" s="777">
        <v>250</v>
      </c>
      <c r="Q80" s="777">
        <v>405</v>
      </c>
      <c r="R80" s="777">
        <v>375</v>
      </c>
      <c r="S80" s="777">
        <v>535</v>
      </c>
      <c r="T80" s="777">
        <v>405</v>
      </c>
      <c r="U80" s="777">
        <v>580</v>
      </c>
      <c r="V80" s="777">
        <v>435</v>
      </c>
      <c r="W80" s="777">
        <v>625</v>
      </c>
      <c r="X80" s="777">
        <v>600</v>
      </c>
      <c r="Y80" s="777">
        <v>840</v>
      </c>
      <c r="Z80" s="777" t="s">
        <v>352</v>
      </c>
      <c r="AA80" s="777" t="s">
        <v>646</v>
      </c>
      <c r="AB80" s="777">
        <v>535</v>
      </c>
      <c r="AC80" s="777" t="s">
        <v>647</v>
      </c>
      <c r="AD80" s="777">
        <v>1440</v>
      </c>
      <c r="AE80" s="777">
        <v>1065</v>
      </c>
      <c r="AF80" s="777">
        <v>0.64527134</v>
      </c>
      <c r="AG80" s="777">
        <v>0.63585523</v>
      </c>
      <c r="AH80" s="777">
        <v>0.58045405</v>
      </c>
      <c r="AI80" s="777">
        <v>0.48019237</v>
      </c>
      <c r="AJ80" s="777">
        <v>1610</v>
      </c>
      <c r="AK80" s="777">
        <v>118000</v>
      </c>
      <c r="AL80" s="777">
        <v>118000</v>
      </c>
      <c r="AM80" s="778">
        <v>0.0184</v>
      </c>
    </row>
    <row r="81" spans="1:39" ht="15" customHeight="1">
      <c r="A81" s="775">
        <v>808</v>
      </c>
      <c r="B81" s="776" t="s">
        <v>301</v>
      </c>
      <c r="C81" s="777">
        <v>3750</v>
      </c>
      <c r="D81" s="777">
        <v>4800</v>
      </c>
      <c r="E81" s="777">
        <v>5300</v>
      </c>
      <c r="F81" s="777">
        <v>5000</v>
      </c>
      <c r="G81" s="777">
        <v>2869</v>
      </c>
      <c r="H81" s="777">
        <v>4032</v>
      </c>
      <c r="I81" s="777">
        <v>4577</v>
      </c>
      <c r="J81" s="777">
        <v>450</v>
      </c>
      <c r="K81" s="777">
        <v>450</v>
      </c>
      <c r="L81" s="777">
        <v>560</v>
      </c>
      <c r="M81" s="777">
        <v>815</v>
      </c>
      <c r="N81" s="777">
        <v>210</v>
      </c>
      <c r="O81" s="777">
        <v>300</v>
      </c>
      <c r="P81" s="777">
        <v>250</v>
      </c>
      <c r="Q81" s="777">
        <v>405</v>
      </c>
      <c r="R81" s="777">
        <v>375</v>
      </c>
      <c r="S81" s="777">
        <v>535</v>
      </c>
      <c r="T81" s="777">
        <v>405</v>
      </c>
      <c r="U81" s="777">
        <v>580</v>
      </c>
      <c r="V81" s="777">
        <v>435</v>
      </c>
      <c r="W81" s="777">
        <v>625</v>
      </c>
      <c r="X81" s="777">
        <v>600</v>
      </c>
      <c r="Y81" s="777">
        <v>840</v>
      </c>
      <c r="Z81" s="777">
        <v>0</v>
      </c>
      <c r="AA81" s="777" t="s">
        <v>646</v>
      </c>
      <c r="AB81" s="777">
        <v>535</v>
      </c>
      <c r="AC81" s="777" t="s">
        <v>647</v>
      </c>
      <c r="AD81" s="777">
        <v>1440</v>
      </c>
      <c r="AE81" s="777">
        <v>1065</v>
      </c>
      <c r="AF81" s="777">
        <v>0.64527134</v>
      </c>
      <c r="AG81" s="777">
        <v>0.63585523</v>
      </c>
      <c r="AH81" s="777">
        <v>0.58045405</v>
      </c>
      <c r="AI81" s="777">
        <v>0.48019237</v>
      </c>
      <c r="AJ81" s="777">
        <v>1610</v>
      </c>
      <c r="AK81" s="777">
        <v>114400</v>
      </c>
      <c r="AL81" s="777">
        <v>114400</v>
      </c>
      <c r="AM81" s="778">
        <v>0.0184</v>
      </c>
    </row>
    <row r="82" spans="1:39" ht="15" customHeight="1">
      <c r="A82" s="775">
        <v>810</v>
      </c>
      <c r="B82" s="776" t="s">
        <v>243</v>
      </c>
      <c r="C82" s="777">
        <v>3750</v>
      </c>
      <c r="D82" s="777">
        <v>4800</v>
      </c>
      <c r="E82" s="777">
        <v>5300</v>
      </c>
      <c r="F82" s="777">
        <v>5000</v>
      </c>
      <c r="G82" s="777">
        <v>2857</v>
      </c>
      <c r="H82" s="777">
        <v>4018</v>
      </c>
      <c r="I82" s="777">
        <v>4561</v>
      </c>
      <c r="J82" s="777">
        <v>450</v>
      </c>
      <c r="K82" s="777">
        <v>450</v>
      </c>
      <c r="L82" s="777">
        <v>560</v>
      </c>
      <c r="M82" s="777">
        <v>815</v>
      </c>
      <c r="N82" s="777">
        <v>210</v>
      </c>
      <c r="O82" s="777">
        <v>300</v>
      </c>
      <c r="P82" s="777">
        <v>250</v>
      </c>
      <c r="Q82" s="777">
        <v>405</v>
      </c>
      <c r="R82" s="777">
        <v>375</v>
      </c>
      <c r="S82" s="777">
        <v>535</v>
      </c>
      <c r="T82" s="777">
        <v>405</v>
      </c>
      <c r="U82" s="777">
        <v>580</v>
      </c>
      <c r="V82" s="777">
        <v>435</v>
      </c>
      <c r="W82" s="777">
        <v>625</v>
      </c>
      <c r="X82" s="777">
        <v>600</v>
      </c>
      <c r="Y82" s="777">
        <v>840</v>
      </c>
      <c r="Z82" s="777">
        <v>0</v>
      </c>
      <c r="AA82" s="777" t="s">
        <v>646</v>
      </c>
      <c r="AB82" s="777">
        <v>535</v>
      </c>
      <c r="AC82" s="777" t="s">
        <v>647</v>
      </c>
      <c r="AD82" s="777">
        <v>1440</v>
      </c>
      <c r="AE82" s="777">
        <v>1065</v>
      </c>
      <c r="AF82" s="777">
        <v>0.64527134</v>
      </c>
      <c r="AG82" s="777">
        <v>0.63585523</v>
      </c>
      <c r="AH82" s="777">
        <v>0.58045405</v>
      </c>
      <c r="AI82" s="777">
        <v>0.48019237</v>
      </c>
      <c r="AJ82" s="777">
        <v>1610</v>
      </c>
      <c r="AK82" s="777">
        <v>114400</v>
      </c>
      <c r="AL82" s="777">
        <v>114400</v>
      </c>
      <c r="AM82" s="778">
        <v>0.0184</v>
      </c>
    </row>
    <row r="83" spans="1:39" ht="15" customHeight="1">
      <c r="A83" s="775">
        <v>811</v>
      </c>
      <c r="B83" s="776" t="s">
        <v>219</v>
      </c>
      <c r="C83" s="777">
        <v>3750</v>
      </c>
      <c r="D83" s="777">
        <v>4800</v>
      </c>
      <c r="E83" s="777">
        <v>5300</v>
      </c>
      <c r="F83" s="777">
        <v>5000</v>
      </c>
      <c r="G83" s="777">
        <v>2989</v>
      </c>
      <c r="H83" s="777">
        <v>4092</v>
      </c>
      <c r="I83" s="777">
        <v>5149.5</v>
      </c>
      <c r="J83" s="777">
        <v>450</v>
      </c>
      <c r="K83" s="777">
        <v>450</v>
      </c>
      <c r="L83" s="777">
        <v>560</v>
      </c>
      <c r="M83" s="777">
        <v>815</v>
      </c>
      <c r="N83" s="777">
        <v>210</v>
      </c>
      <c r="O83" s="777">
        <v>300</v>
      </c>
      <c r="P83" s="777">
        <v>250</v>
      </c>
      <c r="Q83" s="777">
        <v>405</v>
      </c>
      <c r="R83" s="777">
        <v>375</v>
      </c>
      <c r="S83" s="777">
        <v>535</v>
      </c>
      <c r="T83" s="777">
        <v>405</v>
      </c>
      <c r="U83" s="777">
        <v>580</v>
      </c>
      <c r="V83" s="777">
        <v>435</v>
      </c>
      <c r="W83" s="777">
        <v>625</v>
      </c>
      <c r="X83" s="777">
        <v>600</v>
      </c>
      <c r="Y83" s="777">
        <v>840</v>
      </c>
      <c r="Z83" s="777">
        <v>901</v>
      </c>
      <c r="AA83" s="777" t="s">
        <v>646</v>
      </c>
      <c r="AB83" s="777">
        <v>482</v>
      </c>
      <c r="AC83" s="777" t="s">
        <v>647</v>
      </c>
      <c r="AD83" s="777">
        <v>194</v>
      </c>
      <c r="AE83" s="777">
        <v>482</v>
      </c>
      <c r="AF83" s="777">
        <v>0.64527134</v>
      </c>
      <c r="AG83" s="777">
        <v>0.63585523</v>
      </c>
      <c r="AH83" s="777">
        <v>0.58045405</v>
      </c>
      <c r="AI83" s="777">
        <v>0.48019237</v>
      </c>
      <c r="AJ83" s="777">
        <v>438</v>
      </c>
      <c r="AK83" s="777">
        <v>130000</v>
      </c>
      <c r="AL83" s="777">
        <v>175000</v>
      </c>
      <c r="AM83" s="778">
        <v>0.0184</v>
      </c>
    </row>
    <row r="84" spans="1:39" ht="15" customHeight="1">
      <c r="A84" s="775">
        <v>812</v>
      </c>
      <c r="B84" s="776" t="s">
        <v>264</v>
      </c>
      <c r="C84" s="777">
        <v>3750</v>
      </c>
      <c r="D84" s="777">
        <v>4800</v>
      </c>
      <c r="E84" s="777">
        <v>5300</v>
      </c>
      <c r="F84" s="777">
        <v>5000</v>
      </c>
      <c r="G84" s="777">
        <v>3125</v>
      </c>
      <c r="H84" s="777">
        <v>4130</v>
      </c>
      <c r="I84" s="777">
        <v>4825</v>
      </c>
      <c r="J84" s="777" t="s">
        <v>352</v>
      </c>
      <c r="K84" s="777" t="s">
        <v>352</v>
      </c>
      <c r="L84" s="777">
        <v>560</v>
      </c>
      <c r="M84" s="777">
        <v>815</v>
      </c>
      <c r="N84" s="777">
        <v>210</v>
      </c>
      <c r="O84" s="777">
        <v>300</v>
      </c>
      <c r="P84" s="777">
        <v>250</v>
      </c>
      <c r="Q84" s="777">
        <v>405</v>
      </c>
      <c r="R84" s="777">
        <v>375</v>
      </c>
      <c r="S84" s="777">
        <v>535</v>
      </c>
      <c r="T84" s="777">
        <v>405</v>
      </c>
      <c r="U84" s="777">
        <v>580</v>
      </c>
      <c r="V84" s="777">
        <v>435</v>
      </c>
      <c r="W84" s="777">
        <v>625</v>
      </c>
      <c r="X84" s="777">
        <v>600</v>
      </c>
      <c r="Y84" s="777">
        <v>840</v>
      </c>
      <c r="Z84" s="777" t="s">
        <v>352</v>
      </c>
      <c r="AA84" s="777" t="s">
        <v>646</v>
      </c>
      <c r="AB84" s="777">
        <v>535</v>
      </c>
      <c r="AC84" s="777" t="s">
        <v>647</v>
      </c>
      <c r="AD84" s="777">
        <v>1440</v>
      </c>
      <c r="AE84" s="777">
        <v>1065</v>
      </c>
      <c r="AF84" s="777">
        <v>0.64527134</v>
      </c>
      <c r="AG84" s="777">
        <v>0.63585523</v>
      </c>
      <c r="AH84" s="777">
        <v>0.58045405</v>
      </c>
      <c r="AI84" s="777">
        <v>0.48019237</v>
      </c>
      <c r="AJ84" s="777">
        <v>1610</v>
      </c>
      <c r="AK84" s="777">
        <v>114400</v>
      </c>
      <c r="AL84" s="777">
        <v>114400</v>
      </c>
      <c r="AM84" s="778">
        <v>0.0184</v>
      </c>
    </row>
    <row r="85" spans="1:39" ht="15" customHeight="1">
      <c r="A85" s="775">
        <v>813</v>
      </c>
      <c r="B85" s="776" t="s">
        <v>265</v>
      </c>
      <c r="C85" s="777">
        <v>3750</v>
      </c>
      <c r="D85" s="777">
        <v>4800</v>
      </c>
      <c r="E85" s="777">
        <v>5300</v>
      </c>
      <c r="F85" s="777">
        <v>5000</v>
      </c>
      <c r="G85" s="777">
        <v>2890</v>
      </c>
      <c r="H85" s="777">
        <v>4040</v>
      </c>
      <c r="I85" s="777">
        <v>4590</v>
      </c>
      <c r="J85" s="777">
        <v>450</v>
      </c>
      <c r="K85" s="777">
        <v>450</v>
      </c>
      <c r="L85" s="777">
        <v>560</v>
      </c>
      <c r="M85" s="777">
        <v>815</v>
      </c>
      <c r="N85" s="777">
        <v>210</v>
      </c>
      <c r="O85" s="777">
        <v>300</v>
      </c>
      <c r="P85" s="777">
        <v>250</v>
      </c>
      <c r="Q85" s="777">
        <v>405</v>
      </c>
      <c r="R85" s="777">
        <v>375</v>
      </c>
      <c r="S85" s="777">
        <v>535</v>
      </c>
      <c r="T85" s="777">
        <v>405</v>
      </c>
      <c r="U85" s="777">
        <v>580</v>
      </c>
      <c r="V85" s="777">
        <v>435</v>
      </c>
      <c r="W85" s="777">
        <v>625</v>
      </c>
      <c r="X85" s="777">
        <v>600</v>
      </c>
      <c r="Y85" s="777">
        <v>840</v>
      </c>
      <c r="Z85" s="777">
        <v>0</v>
      </c>
      <c r="AA85" s="777" t="s">
        <v>646</v>
      </c>
      <c r="AB85" s="777">
        <v>535</v>
      </c>
      <c r="AC85" s="777" t="s">
        <v>647</v>
      </c>
      <c r="AD85" s="777">
        <v>1440</v>
      </c>
      <c r="AE85" s="777">
        <v>1065</v>
      </c>
      <c r="AF85" s="777">
        <v>0.64527134</v>
      </c>
      <c r="AG85" s="777">
        <v>0.63585523</v>
      </c>
      <c r="AH85" s="777">
        <v>0.58045405</v>
      </c>
      <c r="AI85" s="777">
        <v>0.48019237</v>
      </c>
      <c r="AJ85" s="777">
        <v>1610</v>
      </c>
      <c r="AK85" s="777">
        <v>114400</v>
      </c>
      <c r="AL85" s="777">
        <v>114400</v>
      </c>
      <c r="AM85" s="778">
        <v>0.0184</v>
      </c>
    </row>
    <row r="86" spans="1:39" ht="15" customHeight="1">
      <c r="A86" s="775">
        <v>815</v>
      </c>
      <c r="B86" s="776" t="s">
        <v>268</v>
      </c>
      <c r="C86" s="777">
        <v>3750</v>
      </c>
      <c r="D86" s="777">
        <v>4800</v>
      </c>
      <c r="E86" s="777">
        <v>5300</v>
      </c>
      <c r="F86" s="777">
        <v>5000</v>
      </c>
      <c r="G86" s="777">
        <v>2857</v>
      </c>
      <c r="H86" s="777">
        <v>4018</v>
      </c>
      <c r="I86" s="777">
        <v>4561</v>
      </c>
      <c r="J86" s="777">
        <v>450</v>
      </c>
      <c r="K86" s="777">
        <v>450</v>
      </c>
      <c r="L86" s="777">
        <v>560</v>
      </c>
      <c r="M86" s="777">
        <v>815</v>
      </c>
      <c r="N86" s="777">
        <v>210</v>
      </c>
      <c r="O86" s="777">
        <v>300</v>
      </c>
      <c r="P86" s="777">
        <v>250</v>
      </c>
      <c r="Q86" s="777">
        <v>405</v>
      </c>
      <c r="R86" s="777">
        <v>375</v>
      </c>
      <c r="S86" s="777">
        <v>535</v>
      </c>
      <c r="T86" s="777">
        <v>405</v>
      </c>
      <c r="U86" s="777">
        <v>580</v>
      </c>
      <c r="V86" s="777">
        <v>435</v>
      </c>
      <c r="W86" s="777">
        <v>625</v>
      </c>
      <c r="X86" s="777">
        <v>600</v>
      </c>
      <c r="Y86" s="777">
        <v>840</v>
      </c>
      <c r="Z86" s="777">
        <v>0</v>
      </c>
      <c r="AA86" s="777" t="s">
        <v>646</v>
      </c>
      <c r="AB86" s="777">
        <v>535</v>
      </c>
      <c r="AC86" s="777" t="s">
        <v>647</v>
      </c>
      <c r="AD86" s="777">
        <v>1440</v>
      </c>
      <c r="AE86" s="777">
        <v>1206.28</v>
      </c>
      <c r="AF86" s="777">
        <v>0.64527134</v>
      </c>
      <c r="AG86" s="777">
        <v>0.63585523</v>
      </c>
      <c r="AH86" s="777">
        <v>0.58045405</v>
      </c>
      <c r="AI86" s="777">
        <v>0.48019237</v>
      </c>
      <c r="AJ86" s="777">
        <v>1610</v>
      </c>
      <c r="AK86" s="777">
        <v>119884.81</v>
      </c>
      <c r="AL86" s="777">
        <v>119884.81</v>
      </c>
      <c r="AM86" s="778">
        <v>0.0184</v>
      </c>
    </row>
    <row r="87" spans="1:39" ht="15" customHeight="1">
      <c r="A87" s="775">
        <v>816</v>
      </c>
      <c r="B87" s="776" t="s">
        <v>330</v>
      </c>
      <c r="C87" s="777">
        <v>3750</v>
      </c>
      <c r="D87" s="777">
        <v>4800</v>
      </c>
      <c r="E87" s="777">
        <v>5300</v>
      </c>
      <c r="F87" s="777">
        <v>5000</v>
      </c>
      <c r="G87" s="777">
        <v>2877.2694645930014</v>
      </c>
      <c r="H87" s="777">
        <v>4038.2694645930014</v>
      </c>
      <c r="I87" s="777">
        <v>4581.2694645930014</v>
      </c>
      <c r="J87" s="777">
        <v>450</v>
      </c>
      <c r="K87" s="777">
        <v>450</v>
      </c>
      <c r="L87" s="777">
        <v>560</v>
      </c>
      <c r="M87" s="777">
        <v>815</v>
      </c>
      <c r="N87" s="777">
        <v>210</v>
      </c>
      <c r="O87" s="777">
        <v>300</v>
      </c>
      <c r="P87" s="777">
        <v>250</v>
      </c>
      <c r="Q87" s="777">
        <v>405</v>
      </c>
      <c r="R87" s="777">
        <v>375</v>
      </c>
      <c r="S87" s="777">
        <v>535</v>
      </c>
      <c r="T87" s="777">
        <v>405</v>
      </c>
      <c r="U87" s="777">
        <v>580</v>
      </c>
      <c r="V87" s="777">
        <v>435</v>
      </c>
      <c r="W87" s="777">
        <v>625</v>
      </c>
      <c r="X87" s="777">
        <v>600</v>
      </c>
      <c r="Y87" s="777">
        <v>840</v>
      </c>
      <c r="Z87" s="777" t="s">
        <v>352</v>
      </c>
      <c r="AA87" s="777" t="s">
        <v>646</v>
      </c>
      <c r="AB87" s="777">
        <v>535</v>
      </c>
      <c r="AC87" s="777" t="s">
        <v>647</v>
      </c>
      <c r="AD87" s="777">
        <v>1440</v>
      </c>
      <c r="AE87" s="777">
        <v>1065</v>
      </c>
      <c r="AF87" s="777">
        <v>0.64527134</v>
      </c>
      <c r="AG87" s="777">
        <v>0.63585523</v>
      </c>
      <c r="AH87" s="777">
        <v>0.58045405</v>
      </c>
      <c r="AI87" s="777">
        <v>0.48019237</v>
      </c>
      <c r="AJ87" s="777">
        <v>1610</v>
      </c>
      <c r="AK87" s="777">
        <v>114400</v>
      </c>
      <c r="AL87" s="777">
        <v>114400</v>
      </c>
      <c r="AM87" s="778">
        <v>0.0184</v>
      </c>
    </row>
    <row r="88" spans="1:39" ht="15" customHeight="1">
      <c r="A88" s="775">
        <v>821</v>
      </c>
      <c r="B88" s="776" t="s">
        <v>255</v>
      </c>
      <c r="C88" s="777">
        <v>3750</v>
      </c>
      <c r="D88" s="777">
        <v>4800</v>
      </c>
      <c r="E88" s="777">
        <v>5300</v>
      </c>
      <c r="F88" s="777">
        <v>5000</v>
      </c>
      <c r="G88" s="777">
        <v>2925.38</v>
      </c>
      <c r="H88" s="777">
        <v>4114.16</v>
      </c>
      <c r="I88" s="777">
        <v>4670.16</v>
      </c>
      <c r="J88" s="777">
        <v>457.04</v>
      </c>
      <c r="K88" s="777">
        <v>457.04</v>
      </c>
      <c r="L88" s="777">
        <v>568.76</v>
      </c>
      <c r="M88" s="777">
        <v>827.75</v>
      </c>
      <c r="N88" s="777">
        <v>213.29</v>
      </c>
      <c r="O88" s="777">
        <v>304.7</v>
      </c>
      <c r="P88" s="777">
        <v>253.91</v>
      </c>
      <c r="Q88" s="777">
        <v>411.34</v>
      </c>
      <c r="R88" s="777">
        <v>380.87</v>
      </c>
      <c r="S88" s="777">
        <v>543.37</v>
      </c>
      <c r="T88" s="777">
        <v>411.34</v>
      </c>
      <c r="U88" s="777">
        <v>589.08</v>
      </c>
      <c r="V88" s="777">
        <v>441.81</v>
      </c>
      <c r="W88" s="777">
        <v>634.78</v>
      </c>
      <c r="X88" s="777">
        <v>609.39</v>
      </c>
      <c r="Y88" s="777">
        <v>853.15</v>
      </c>
      <c r="Z88" s="777" t="s">
        <v>352</v>
      </c>
      <c r="AA88" s="777" t="s">
        <v>646</v>
      </c>
      <c r="AB88" s="777">
        <v>543.37</v>
      </c>
      <c r="AC88" s="777" t="s">
        <v>647</v>
      </c>
      <c r="AD88" s="777">
        <v>1462.54</v>
      </c>
      <c r="AE88" s="777">
        <v>1081.67</v>
      </c>
      <c r="AF88" s="777">
        <v>0.64527134</v>
      </c>
      <c r="AG88" s="777">
        <v>0.63585523</v>
      </c>
      <c r="AH88" s="777">
        <v>0.58045405</v>
      </c>
      <c r="AI88" s="777">
        <v>0.48019237</v>
      </c>
      <c r="AJ88" s="777">
        <v>1635.2</v>
      </c>
      <c r="AK88" s="777">
        <v>116190.36</v>
      </c>
      <c r="AL88" s="777">
        <v>116190.36</v>
      </c>
      <c r="AM88" s="778">
        <v>0.0184</v>
      </c>
    </row>
    <row r="89" spans="1:39" ht="15" customHeight="1">
      <c r="A89" s="775">
        <v>822</v>
      </c>
      <c r="B89" s="776" t="s">
        <v>179</v>
      </c>
      <c r="C89" s="777">
        <v>3750</v>
      </c>
      <c r="D89" s="777">
        <v>4800</v>
      </c>
      <c r="E89" s="777">
        <v>5300</v>
      </c>
      <c r="F89" s="777">
        <v>5000</v>
      </c>
      <c r="G89" s="777">
        <v>2901.7120499999996</v>
      </c>
      <c r="H89" s="777">
        <v>4080.8817</v>
      </c>
      <c r="I89" s="777">
        <v>4632.37965</v>
      </c>
      <c r="J89" s="777">
        <v>457.04249999999996</v>
      </c>
      <c r="K89" s="777">
        <v>457.04249999999996</v>
      </c>
      <c r="L89" s="777">
        <v>568.764</v>
      </c>
      <c r="M89" s="777">
        <v>827.75475</v>
      </c>
      <c r="N89" s="777">
        <v>213.2865</v>
      </c>
      <c r="O89" s="777">
        <v>304.695</v>
      </c>
      <c r="P89" s="777">
        <v>253.9125</v>
      </c>
      <c r="Q89" s="777">
        <v>411.33824999999996</v>
      </c>
      <c r="R89" s="777">
        <v>380.86875</v>
      </c>
      <c r="S89" s="777">
        <v>543.37275</v>
      </c>
      <c r="T89" s="777">
        <v>411.33824999999996</v>
      </c>
      <c r="U89" s="777">
        <v>589.077</v>
      </c>
      <c r="V89" s="777">
        <v>441.80775</v>
      </c>
      <c r="W89" s="777">
        <v>634.78125</v>
      </c>
      <c r="X89" s="777">
        <v>609.39</v>
      </c>
      <c r="Y89" s="777">
        <v>853.146</v>
      </c>
      <c r="Z89" s="777" t="s">
        <v>352</v>
      </c>
      <c r="AA89" s="777" t="s">
        <v>646</v>
      </c>
      <c r="AB89" s="777">
        <v>543.37275</v>
      </c>
      <c r="AC89" s="777" t="s">
        <v>647</v>
      </c>
      <c r="AD89" s="777">
        <v>1462.5359999999998</v>
      </c>
      <c r="AE89" s="777">
        <v>1081.66725</v>
      </c>
      <c r="AF89" s="777">
        <v>0.64527134</v>
      </c>
      <c r="AG89" s="777">
        <v>0.63585523</v>
      </c>
      <c r="AH89" s="777">
        <v>0.58045405</v>
      </c>
      <c r="AI89" s="777">
        <v>0.48019237</v>
      </c>
      <c r="AJ89" s="777">
        <v>1635.1965</v>
      </c>
      <c r="AK89" s="777">
        <v>135000</v>
      </c>
      <c r="AL89" s="777">
        <v>135000</v>
      </c>
      <c r="AM89" s="778">
        <v>0.0184</v>
      </c>
    </row>
    <row r="90" spans="1:39" ht="15" customHeight="1">
      <c r="A90" s="775">
        <v>823</v>
      </c>
      <c r="B90" s="776" t="s">
        <v>201</v>
      </c>
      <c r="C90" s="777">
        <v>3750</v>
      </c>
      <c r="D90" s="777">
        <v>4800</v>
      </c>
      <c r="E90" s="777">
        <v>5300</v>
      </c>
      <c r="F90" s="777">
        <v>5000</v>
      </c>
      <c r="G90" s="777">
        <v>2994</v>
      </c>
      <c r="H90" s="777">
        <v>4256</v>
      </c>
      <c r="I90" s="777">
        <v>4965</v>
      </c>
      <c r="J90" s="777">
        <v>450</v>
      </c>
      <c r="K90" s="777">
        <v>450</v>
      </c>
      <c r="L90" s="777">
        <v>560</v>
      </c>
      <c r="M90" s="777">
        <v>815</v>
      </c>
      <c r="N90" s="777">
        <v>210</v>
      </c>
      <c r="O90" s="777">
        <v>300</v>
      </c>
      <c r="P90" s="777">
        <v>250</v>
      </c>
      <c r="Q90" s="777">
        <v>405</v>
      </c>
      <c r="R90" s="777">
        <v>375</v>
      </c>
      <c r="S90" s="777">
        <v>535</v>
      </c>
      <c r="T90" s="777">
        <v>405</v>
      </c>
      <c r="U90" s="777">
        <v>580</v>
      </c>
      <c r="V90" s="777">
        <v>435</v>
      </c>
      <c r="W90" s="777">
        <v>625</v>
      </c>
      <c r="X90" s="777">
        <v>600</v>
      </c>
      <c r="Y90" s="777">
        <v>840</v>
      </c>
      <c r="Z90" s="777">
        <v>0</v>
      </c>
      <c r="AA90" s="777" t="s">
        <v>645</v>
      </c>
      <c r="AB90" s="777" t="s">
        <v>352</v>
      </c>
      <c r="AC90" s="777" t="s">
        <v>645</v>
      </c>
      <c r="AD90" s="777" t="s">
        <v>352</v>
      </c>
      <c r="AE90" s="777">
        <v>798.75</v>
      </c>
      <c r="AF90" s="777">
        <v>0.64527134</v>
      </c>
      <c r="AG90" s="777">
        <v>0.63585523</v>
      </c>
      <c r="AH90" s="777">
        <v>0.58045405</v>
      </c>
      <c r="AI90" s="777">
        <v>0.48019237</v>
      </c>
      <c r="AJ90" s="777">
        <v>1207.5</v>
      </c>
      <c r="AK90" s="777">
        <v>114400</v>
      </c>
      <c r="AL90" s="777">
        <v>114400</v>
      </c>
      <c r="AM90" s="778">
        <v>0.0184</v>
      </c>
    </row>
    <row r="91" spans="1:39" ht="15" customHeight="1">
      <c r="A91" s="775">
        <v>825</v>
      </c>
      <c r="B91" s="776" t="s">
        <v>195</v>
      </c>
      <c r="C91" s="777">
        <v>3750</v>
      </c>
      <c r="D91" s="777">
        <v>4800</v>
      </c>
      <c r="E91" s="777">
        <v>5300</v>
      </c>
      <c r="F91" s="777">
        <v>5000</v>
      </c>
      <c r="G91" s="777">
        <v>2938.8</v>
      </c>
      <c r="H91" s="777">
        <v>4133.04</v>
      </c>
      <c r="I91" s="777">
        <v>4691.58</v>
      </c>
      <c r="J91" s="777">
        <v>462.88</v>
      </c>
      <c r="K91" s="777">
        <v>462.88</v>
      </c>
      <c r="L91" s="777">
        <v>576.03</v>
      </c>
      <c r="M91" s="777">
        <v>838.33</v>
      </c>
      <c r="N91" s="777">
        <v>216.01</v>
      </c>
      <c r="O91" s="777">
        <v>308.59</v>
      </c>
      <c r="P91" s="777">
        <v>257.16</v>
      </c>
      <c r="Q91" s="777">
        <v>416.6</v>
      </c>
      <c r="R91" s="777">
        <v>385.74</v>
      </c>
      <c r="S91" s="777">
        <v>550.32</v>
      </c>
      <c r="T91" s="777">
        <v>416.6</v>
      </c>
      <c r="U91" s="777">
        <v>596.61</v>
      </c>
      <c r="V91" s="777">
        <v>447.45</v>
      </c>
      <c r="W91" s="777">
        <v>642.89</v>
      </c>
      <c r="X91" s="777">
        <v>617.18</v>
      </c>
      <c r="Y91" s="777">
        <v>864.05</v>
      </c>
      <c r="Z91" s="777">
        <v>0</v>
      </c>
      <c r="AA91" s="777" t="s">
        <v>646</v>
      </c>
      <c r="AB91" s="777">
        <v>550.32</v>
      </c>
      <c r="AC91" s="777" t="s">
        <v>647</v>
      </c>
      <c r="AD91" s="777">
        <v>1481.32</v>
      </c>
      <c r="AE91" s="777">
        <v>1095.49</v>
      </c>
      <c r="AF91" s="777">
        <v>0.64527134</v>
      </c>
      <c r="AG91" s="777">
        <v>0.63585523</v>
      </c>
      <c r="AH91" s="777">
        <v>0.58045405</v>
      </c>
      <c r="AI91" s="777">
        <v>0.48019237</v>
      </c>
      <c r="AJ91" s="777">
        <v>1656.09</v>
      </c>
      <c r="AK91" s="777">
        <v>117675.27</v>
      </c>
      <c r="AL91" s="777">
        <v>117675.27</v>
      </c>
      <c r="AM91" s="778">
        <v>0.005</v>
      </c>
    </row>
    <row r="92" spans="1:39" ht="15" customHeight="1">
      <c r="A92" s="775">
        <v>826</v>
      </c>
      <c r="B92" s="776" t="s">
        <v>260</v>
      </c>
      <c r="C92" s="777">
        <v>3750</v>
      </c>
      <c r="D92" s="777">
        <v>4800</v>
      </c>
      <c r="E92" s="777">
        <v>5300</v>
      </c>
      <c r="F92" s="777">
        <v>5000</v>
      </c>
      <c r="G92" s="777">
        <v>2923.8080508589996</v>
      </c>
      <c r="H92" s="777">
        <v>4111.9568597659991</v>
      </c>
      <c r="I92" s="777">
        <v>4667.6543647069993</v>
      </c>
      <c r="J92" s="777">
        <v>462.88349999999997</v>
      </c>
      <c r="K92" s="777">
        <v>462.88349999999997</v>
      </c>
      <c r="L92" s="777">
        <v>576.0328</v>
      </c>
      <c r="M92" s="777">
        <v>838.33345</v>
      </c>
      <c r="N92" s="777">
        <v>216.01229999999998</v>
      </c>
      <c r="O92" s="777">
        <v>308.589</v>
      </c>
      <c r="P92" s="777">
        <v>257.15749999999997</v>
      </c>
      <c r="Q92" s="777">
        <v>416.59515</v>
      </c>
      <c r="R92" s="777">
        <v>385.73625</v>
      </c>
      <c r="S92" s="777">
        <v>550.31705</v>
      </c>
      <c r="T92" s="777">
        <v>416.59515</v>
      </c>
      <c r="U92" s="777">
        <v>596.60539999999992</v>
      </c>
      <c r="V92" s="777">
        <v>447.45405</v>
      </c>
      <c r="W92" s="777">
        <v>642.89375</v>
      </c>
      <c r="X92" s="777">
        <v>617.178</v>
      </c>
      <c r="Y92" s="777">
        <v>864.04919999999993</v>
      </c>
      <c r="Z92" s="777" t="s">
        <v>352</v>
      </c>
      <c r="AA92" s="777" t="s">
        <v>646</v>
      </c>
      <c r="AB92" s="777">
        <v>550.31705</v>
      </c>
      <c r="AC92" s="777" t="s">
        <v>647</v>
      </c>
      <c r="AD92" s="777">
        <v>1481.2271999999998</v>
      </c>
      <c r="AE92" s="777">
        <v>1095.4909499999999</v>
      </c>
      <c r="AF92" s="777">
        <v>0.64527134</v>
      </c>
      <c r="AG92" s="777">
        <v>0.63585523</v>
      </c>
      <c r="AH92" s="777">
        <v>0.58045405</v>
      </c>
      <c r="AI92" s="777">
        <v>0.48019237</v>
      </c>
      <c r="AJ92" s="777">
        <v>1656.0943</v>
      </c>
      <c r="AK92" s="777">
        <v>114400</v>
      </c>
      <c r="AL92" s="777">
        <v>114400</v>
      </c>
      <c r="AM92" s="778">
        <v>0.005</v>
      </c>
    </row>
    <row r="93" spans="1:39" ht="15" customHeight="1">
      <c r="A93" s="775">
        <v>830</v>
      </c>
      <c r="B93" s="776" t="s">
        <v>212</v>
      </c>
      <c r="C93" s="777">
        <v>3750</v>
      </c>
      <c r="D93" s="777">
        <v>4800</v>
      </c>
      <c r="E93" s="777">
        <v>5300</v>
      </c>
      <c r="F93" s="777">
        <v>5000</v>
      </c>
      <c r="G93" s="777">
        <v>2857</v>
      </c>
      <c r="H93" s="777">
        <v>4018</v>
      </c>
      <c r="I93" s="777">
        <v>4561</v>
      </c>
      <c r="J93" s="777">
        <v>450</v>
      </c>
      <c r="K93" s="777">
        <v>450</v>
      </c>
      <c r="L93" s="777">
        <v>560</v>
      </c>
      <c r="M93" s="777">
        <v>815</v>
      </c>
      <c r="N93" s="777">
        <v>210</v>
      </c>
      <c r="O93" s="777">
        <v>300</v>
      </c>
      <c r="P93" s="777">
        <v>250</v>
      </c>
      <c r="Q93" s="777">
        <v>405</v>
      </c>
      <c r="R93" s="777">
        <v>375</v>
      </c>
      <c r="S93" s="777">
        <v>535</v>
      </c>
      <c r="T93" s="777">
        <v>405</v>
      </c>
      <c r="U93" s="777">
        <v>580</v>
      </c>
      <c r="V93" s="777">
        <v>435</v>
      </c>
      <c r="W93" s="777">
        <v>625</v>
      </c>
      <c r="X93" s="777">
        <v>600</v>
      </c>
      <c r="Y93" s="777">
        <v>840</v>
      </c>
      <c r="Z93" s="777" t="s">
        <v>352</v>
      </c>
      <c r="AA93" s="777" t="s">
        <v>646</v>
      </c>
      <c r="AB93" s="777">
        <v>535</v>
      </c>
      <c r="AC93" s="777" t="s">
        <v>647</v>
      </c>
      <c r="AD93" s="777">
        <v>1440</v>
      </c>
      <c r="AE93" s="777">
        <v>1065</v>
      </c>
      <c r="AF93" s="777">
        <v>0.64527134</v>
      </c>
      <c r="AG93" s="777">
        <v>0.63585523</v>
      </c>
      <c r="AH93" s="777">
        <v>0.58045405</v>
      </c>
      <c r="AI93" s="777">
        <v>0.48019237</v>
      </c>
      <c r="AJ93" s="777">
        <v>1610</v>
      </c>
      <c r="AK93" s="777">
        <v>114400</v>
      </c>
      <c r="AL93" s="777">
        <v>114400</v>
      </c>
      <c r="AM93" s="778">
        <v>0.0184</v>
      </c>
    </row>
    <row r="94" spans="1:39" ht="15" customHeight="1">
      <c r="A94" s="775">
        <v>831</v>
      </c>
      <c r="B94" s="776" t="s">
        <v>210</v>
      </c>
      <c r="C94" s="777">
        <v>3750</v>
      </c>
      <c r="D94" s="777">
        <v>4800</v>
      </c>
      <c r="E94" s="777">
        <v>5300</v>
      </c>
      <c r="F94" s="777">
        <v>5000</v>
      </c>
      <c r="G94" s="777">
        <v>2857</v>
      </c>
      <c r="H94" s="777">
        <v>4018</v>
      </c>
      <c r="I94" s="777">
        <v>4561</v>
      </c>
      <c r="J94" s="777">
        <v>450</v>
      </c>
      <c r="K94" s="777">
        <v>450</v>
      </c>
      <c r="L94" s="777">
        <v>560</v>
      </c>
      <c r="M94" s="777">
        <v>815</v>
      </c>
      <c r="N94" s="777">
        <v>210</v>
      </c>
      <c r="O94" s="777">
        <v>300</v>
      </c>
      <c r="P94" s="777">
        <v>250</v>
      </c>
      <c r="Q94" s="777">
        <v>405</v>
      </c>
      <c r="R94" s="777">
        <v>375</v>
      </c>
      <c r="S94" s="777">
        <v>535</v>
      </c>
      <c r="T94" s="777">
        <v>405</v>
      </c>
      <c r="U94" s="777">
        <v>580</v>
      </c>
      <c r="V94" s="777">
        <v>435</v>
      </c>
      <c r="W94" s="777">
        <v>625</v>
      </c>
      <c r="X94" s="777">
        <v>600</v>
      </c>
      <c r="Y94" s="777">
        <v>840</v>
      </c>
      <c r="Z94" s="777">
        <v>0</v>
      </c>
      <c r="AA94" s="777" t="s">
        <v>646</v>
      </c>
      <c r="AB94" s="777">
        <v>535</v>
      </c>
      <c r="AC94" s="777" t="s">
        <v>647</v>
      </c>
      <c r="AD94" s="777">
        <v>1440</v>
      </c>
      <c r="AE94" s="777">
        <v>1065</v>
      </c>
      <c r="AF94" s="777">
        <v>0.64527134</v>
      </c>
      <c r="AG94" s="777">
        <v>0.63585523</v>
      </c>
      <c r="AH94" s="777">
        <v>0.58045405</v>
      </c>
      <c r="AI94" s="777">
        <v>0.48019237</v>
      </c>
      <c r="AJ94" s="777">
        <v>1610</v>
      </c>
      <c r="AK94" s="777">
        <v>114400</v>
      </c>
      <c r="AL94" s="777">
        <v>114400</v>
      </c>
      <c r="AM94" s="778">
        <v>0.005</v>
      </c>
    </row>
    <row r="95" spans="1:39" ht="15" customHeight="1">
      <c r="A95" s="775">
        <v>838</v>
      </c>
      <c r="B95" s="776" t="s">
        <v>215</v>
      </c>
      <c r="C95" s="777">
        <v>3750</v>
      </c>
      <c r="D95" s="777">
        <v>4800</v>
      </c>
      <c r="E95" s="777">
        <v>5300</v>
      </c>
      <c r="F95" s="777">
        <v>5000</v>
      </c>
      <c r="G95" s="777">
        <v>2857</v>
      </c>
      <c r="H95" s="777">
        <v>4018</v>
      </c>
      <c r="I95" s="777">
        <v>4561</v>
      </c>
      <c r="J95" s="777">
        <v>450</v>
      </c>
      <c r="K95" s="777">
        <v>450</v>
      </c>
      <c r="L95" s="777">
        <v>560</v>
      </c>
      <c r="M95" s="777">
        <v>815</v>
      </c>
      <c r="N95" s="777">
        <v>210</v>
      </c>
      <c r="O95" s="777">
        <v>300</v>
      </c>
      <c r="P95" s="777">
        <v>250</v>
      </c>
      <c r="Q95" s="777">
        <v>405</v>
      </c>
      <c r="R95" s="777">
        <v>375</v>
      </c>
      <c r="S95" s="777">
        <v>535</v>
      </c>
      <c r="T95" s="777">
        <v>405</v>
      </c>
      <c r="U95" s="777">
        <v>580</v>
      </c>
      <c r="V95" s="777">
        <v>435</v>
      </c>
      <c r="W95" s="777">
        <v>625</v>
      </c>
      <c r="X95" s="777">
        <v>600</v>
      </c>
      <c r="Y95" s="777">
        <v>840</v>
      </c>
      <c r="Z95" s="777">
        <v>0</v>
      </c>
      <c r="AA95" s="777" t="s">
        <v>646</v>
      </c>
      <c r="AB95" s="777">
        <v>535</v>
      </c>
      <c r="AC95" s="777" t="s">
        <v>647</v>
      </c>
      <c r="AD95" s="777">
        <v>1440</v>
      </c>
      <c r="AE95" s="777">
        <v>1065</v>
      </c>
      <c r="AF95" s="777">
        <v>0.64527134</v>
      </c>
      <c r="AG95" s="777">
        <v>0.63585523</v>
      </c>
      <c r="AH95" s="777">
        <v>0.58045405</v>
      </c>
      <c r="AI95" s="777">
        <v>0.48019237</v>
      </c>
      <c r="AJ95" s="777">
        <v>1610</v>
      </c>
      <c r="AK95" s="777">
        <v>114400</v>
      </c>
      <c r="AL95" s="777">
        <v>114400</v>
      </c>
      <c r="AM95" s="778">
        <v>0.0184</v>
      </c>
    </row>
    <row r="96" spans="1:39" ht="15" customHeight="1">
      <c r="A96" s="775">
        <v>839</v>
      </c>
      <c r="B96" s="776" t="s">
        <v>1105</v>
      </c>
      <c r="C96" s="777">
        <v>3750</v>
      </c>
      <c r="D96" s="777">
        <v>4800</v>
      </c>
      <c r="E96" s="777">
        <v>5300</v>
      </c>
      <c r="F96" s="777">
        <v>5000</v>
      </c>
      <c r="G96" s="777">
        <v>2857</v>
      </c>
      <c r="H96" s="777">
        <v>4018</v>
      </c>
      <c r="I96" s="777">
        <v>4561</v>
      </c>
      <c r="J96" s="777">
        <v>450</v>
      </c>
      <c r="K96" s="777">
        <v>450</v>
      </c>
      <c r="L96" s="777">
        <v>560</v>
      </c>
      <c r="M96" s="777">
        <v>815</v>
      </c>
      <c r="N96" s="777">
        <v>210</v>
      </c>
      <c r="O96" s="777">
        <v>300</v>
      </c>
      <c r="P96" s="777">
        <v>250</v>
      </c>
      <c r="Q96" s="777">
        <v>405</v>
      </c>
      <c r="R96" s="777">
        <v>375</v>
      </c>
      <c r="S96" s="777">
        <v>535</v>
      </c>
      <c r="T96" s="777">
        <v>405</v>
      </c>
      <c r="U96" s="777">
        <v>580</v>
      </c>
      <c r="V96" s="777">
        <v>435</v>
      </c>
      <c r="W96" s="777">
        <v>625</v>
      </c>
      <c r="X96" s="777">
        <v>600</v>
      </c>
      <c r="Y96" s="777">
        <v>840</v>
      </c>
      <c r="Z96" s="777">
        <v>0</v>
      </c>
      <c r="AA96" s="777" t="s">
        <v>646</v>
      </c>
      <c r="AB96" s="777">
        <v>535</v>
      </c>
      <c r="AC96" s="777" t="s">
        <v>647</v>
      </c>
      <c r="AD96" s="777">
        <v>1440</v>
      </c>
      <c r="AE96" s="777">
        <v>1065</v>
      </c>
      <c r="AF96" s="777">
        <v>0.64527134</v>
      </c>
      <c r="AG96" s="777">
        <v>0.63585523</v>
      </c>
      <c r="AH96" s="777">
        <v>0.58045405</v>
      </c>
      <c r="AI96" s="777">
        <v>0.48019237</v>
      </c>
      <c r="AJ96" s="777">
        <v>1610</v>
      </c>
      <c r="AK96" s="777">
        <v>114400</v>
      </c>
      <c r="AL96" s="777">
        <v>114400</v>
      </c>
      <c r="AM96" s="778">
        <v>0.0184</v>
      </c>
    </row>
    <row r="97" spans="1:39" ht="15" customHeight="1">
      <c r="A97" s="775">
        <v>840</v>
      </c>
      <c r="B97" s="776" t="s">
        <v>217</v>
      </c>
      <c r="C97" s="777">
        <v>3750</v>
      </c>
      <c r="D97" s="777">
        <v>4800</v>
      </c>
      <c r="E97" s="777">
        <v>5300</v>
      </c>
      <c r="F97" s="777">
        <v>5000</v>
      </c>
      <c r="G97" s="777">
        <v>2914.8787876065858</v>
      </c>
      <c r="H97" s="777">
        <v>4032.4146029878771</v>
      </c>
      <c r="I97" s="777">
        <v>4777.5487633537032</v>
      </c>
      <c r="J97" s="777">
        <v>359.29803782471339</v>
      </c>
      <c r="K97" s="777">
        <v>1071.2815803461074</v>
      </c>
      <c r="L97" s="777">
        <v>444.93609777209673</v>
      </c>
      <c r="M97" s="777">
        <v>647.28208946128257</v>
      </c>
      <c r="N97" s="777">
        <v>267.48278074847042</v>
      </c>
      <c r="O97" s="777">
        <v>326.254652346678</v>
      </c>
      <c r="P97" s="777">
        <v>322.20173715536987</v>
      </c>
      <c r="Q97" s="777">
        <v>428.80423175923676</v>
      </c>
      <c r="R97" s="777">
        <v>443.88619217219588</v>
      </c>
      <c r="S97" s="777">
        <v>551.4758683686581</v>
      </c>
      <c r="T97" s="777">
        <v>490.55632570035027</v>
      </c>
      <c r="U97" s="777">
        <v>607.18200636815277</v>
      </c>
      <c r="V97" s="777">
        <v>548.48829167446422</v>
      </c>
      <c r="W97" s="777">
        <v>671.18186603081244</v>
      </c>
      <c r="X97" s="777">
        <v>813.53686680646115</v>
      </c>
      <c r="Y97" s="777">
        <v>959.70067233527709</v>
      </c>
      <c r="Z97" s="777" t="s">
        <v>352</v>
      </c>
      <c r="AA97" s="777" t="s">
        <v>646</v>
      </c>
      <c r="AB97" s="777">
        <v>424.81404057523423</v>
      </c>
      <c r="AC97" s="777" t="s">
        <v>647</v>
      </c>
      <c r="AD97" s="777">
        <v>1143.086040085816</v>
      </c>
      <c r="AE97" s="777">
        <v>909.00313603577968</v>
      </c>
      <c r="AF97" s="777">
        <v>0.64527134</v>
      </c>
      <c r="AG97" s="777">
        <v>0.63585523</v>
      </c>
      <c r="AH97" s="777">
        <v>0.58045405</v>
      </c>
      <c r="AI97" s="777">
        <v>0.48019237</v>
      </c>
      <c r="AJ97" s="777">
        <v>1360.7438067267497</v>
      </c>
      <c r="AK97" s="777">
        <v>123311.11111111111</v>
      </c>
      <c r="AL97" s="777">
        <v>126644.44444444445</v>
      </c>
      <c r="AM97" s="778">
        <v>0.0117</v>
      </c>
    </row>
    <row r="98" spans="1:39" ht="15" customHeight="1">
      <c r="A98" s="775">
        <v>841</v>
      </c>
      <c r="B98" s="776" t="s">
        <v>208</v>
      </c>
      <c r="C98" s="777">
        <v>3750</v>
      </c>
      <c r="D98" s="777">
        <v>4800</v>
      </c>
      <c r="E98" s="777">
        <v>5300</v>
      </c>
      <c r="F98" s="777">
        <v>5000</v>
      </c>
      <c r="G98" s="777">
        <v>2857</v>
      </c>
      <c r="H98" s="777">
        <v>4018</v>
      </c>
      <c r="I98" s="777">
        <v>4561</v>
      </c>
      <c r="J98" s="777">
        <v>450</v>
      </c>
      <c r="K98" s="777">
        <v>450</v>
      </c>
      <c r="L98" s="777">
        <v>560</v>
      </c>
      <c r="M98" s="777">
        <v>815</v>
      </c>
      <c r="N98" s="777">
        <v>210</v>
      </c>
      <c r="O98" s="777">
        <v>300</v>
      </c>
      <c r="P98" s="777">
        <v>250</v>
      </c>
      <c r="Q98" s="777">
        <v>405</v>
      </c>
      <c r="R98" s="777">
        <v>375</v>
      </c>
      <c r="S98" s="777">
        <v>535</v>
      </c>
      <c r="T98" s="777">
        <v>405</v>
      </c>
      <c r="U98" s="777">
        <v>580</v>
      </c>
      <c r="V98" s="777">
        <v>435</v>
      </c>
      <c r="W98" s="777">
        <v>625</v>
      </c>
      <c r="X98" s="777">
        <v>600</v>
      </c>
      <c r="Y98" s="777">
        <v>840</v>
      </c>
      <c r="Z98" s="777">
        <v>0</v>
      </c>
      <c r="AA98" s="777" t="s">
        <v>646</v>
      </c>
      <c r="AB98" s="777">
        <v>535</v>
      </c>
      <c r="AC98" s="777" t="s">
        <v>647</v>
      </c>
      <c r="AD98" s="777">
        <v>1440</v>
      </c>
      <c r="AE98" s="777">
        <v>1065</v>
      </c>
      <c r="AF98" s="777">
        <v>0.64527134</v>
      </c>
      <c r="AG98" s="777">
        <v>0.63585523</v>
      </c>
      <c r="AH98" s="777">
        <v>0.58045405</v>
      </c>
      <c r="AI98" s="777">
        <v>0.48019237</v>
      </c>
      <c r="AJ98" s="777">
        <v>1610</v>
      </c>
      <c r="AK98" s="777">
        <v>114400</v>
      </c>
      <c r="AL98" s="777">
        <v>114400</v>
      </c>
      <c r="AM98" s="778">
        <v>0.0184</v>
      </c>
    </row>
    <row r="99" spans="1:39" ht="15" customHeight="1">
      <c r="A99" s="775">
        <v>845</v>
      </c>
      <c r="B99" s="776" t="s">
        <v>220</v>
      </c>
      <c r="C99" s="777">
        <v>3750</v>
      </c>
      <c r="D99" s="777">
        <v>4800</v>
      </c>
      <c r="E99" s="777">
        <v>5300</v>
      </c>
      <c r="F99" s="777">
        <v>5000</v>
      </c>
      <c r="G99" s="777">
        <v>2895.7838014747217</v>
      </c>
      <c r="H99" s="777">
        <v>4056.0692070438922</v>
      </c>
      <c r="I99" s="777">
        <v>4600.1532919119782</v>
      </c>
      <c r="J99" s="777">
        <v>450</v>
      </c>
      <c r="K99" s="777">
        <v>450</v>
      </c>
      <c r="L99" s="777">
        <v>560</v>
      </c>
      <c r="M99" s="777">
        <v>815</v>
      </c>
      <c r="N99" s="777">
        <v>210</v>
      </c>
      <c r="O99" s="777">
        <v>300</v>
      </c>
      <c r="P99" s="777">
        <v>250</v>
      </c>
      <c r="Q99" s="777">
        <v>405</v>
      </c>
      <c r="R99" s="777">
        <v>375</v>
      </c>
      <c r="S99" s="777">
        <v>535</v>
      </c>
      <c r="T99" s="777">
        <v>405</v>
      </c>
      <c r="U99" s="777">
        <v>580</v>
      </c>
      <c r="V99" s="777">
        <v>435</v>
      </c>
      <c r="W99" s="777">
        <v>625</v>
      </c>
      <c r="X99" s="777">
        <v>600</v>
      </c>
      <c r="Y99" s="777">
        <v>840</v>
      </c>
      <c r="Z99" s="777" t="s">
        <v>352</v>
      </c>
      <c r="AA99" s="777" t="s">
        <v>646</v>
      </c>
      <c r="AB99" s="777">
        <v>535</v>
      </c>
      <c r="AC99" s="777" t="s">
        <v>647</v>
      </c>
      <c r="AD99" s="777">
        <v>1440</v>
      </c>
      <c r="AE99" s="777">
        <v>1065</v>
      </c>
      <c r="AF99" s="777">
        <v>0.64527134</v>
      </c>
      <c r="AG99" s="777">
        <v>0.63585523</v>
      </c>
      <c r="AH99" s="777">
        <v>0.58045405</v>
      </c>
      <c r="AI99" s="777">
        <v>0.48019237</v>
      </c>
      <c r="AJ99" s="777">
        <v>1610</v>
      </c>
      <c r="AK99" s="777">
        <v>115000</v>
      </c>
      <c r="AL99" s="777">
        <v>114400</v>
      </c>
      <c r="AM99" s="778">
        <v>0.0184</v>
      </c>
    </row>
    <row r="100" spans="1:39" ht="15" customHeight="1">
      <c r="A100" s="775">
        <v>846</v>
      </c>
      <c r="B100" s="776" t="s">
        <v>192</v>
      </c>
      <c r="C100" s="777">
        <v>3750</v>
      </c>
      <c r="D100" s="777">
        <v>4800</v>
      </c>
      <c r="E100" s="777">
        <v>5300</v>
      </c>
      <c r="F100" s="777">
        <v>5000</v>
      </c>
      <c r="G100" s="777">
        <v>2907.3254842999991</v>
      </c>
      <c r="H100" s="777">
        <v>4369.9553713000014</v>
      </c>
      <c r="I100" s="777">
        <v>4369.9553713000014</v>
      </c>
      <c r="J100" s="777">
        <v>1302.5449428573281</v>
      </c>
      <c r="K100" s="777">
        <v>1455.42627625553</v>
      </c>
      <c r="L100" s="777">
        <v>487.38675181746743</v>
      </c>
      <c r="M100" s="777">
        <v>447.90163873893954</v>
      </c>
      <c r="N100" s="777">
        <v>186.36071720490253</v>
      </c>
      <c r="O100" s="777">
        <v>192.34841768399812</v>
      </c>
      <c r="P100" s="777">
        <v>222.89216501884539</v>
      </c>
      <c r="Q100" s="777">
        <v>261.98084088245309</v>
      </c>
      <c r="R100" s="777">
        <v>332.48650846068017</v>
      </c>
      <c r="S100" s="777">
        <v>331.61326408091</v>
      </c>
      <c r="T100" s="777">
        <v>356.84080700331003</v>
      </c>
      <c r="U100" s="777">
        <v>366.42947568013852</v>
      </c>
      <c r="V100" s="777">
        <v>393.372254817253</v>
      </c>
      <c r="W100" s="777">
        <v>389.64028341295824</v>
      </c>
      <c r="X100" s="777">
        <v>654.535575239144</v>
      </c>
      <c r="Y100" s="777">
        <v>475.77559090944544</v>
      </c>
      <c r="Z100" s="777">
        <v>0</v>
      </c>
      <c r="AA100" s="777" t="s">
        <v>646</v>
      </c>
      <c r="AB100" s="777">
        <v>542.64</v>
      </c>
      <c r="AC100" s="777" t="s">
        <v>647</v>
      </c>
      <c r="AD100" s="777">
        <v>1670.2</v>
      </c>
      <c r="AE100" s="777">
        <v>970.01554360528712</v>
      </c>
      <c r="AF100" s="777">
        <v>0.64527134</v>
      </c>
      <c r="AG100" s="777">
        <v>0.63585523</v>
      </c>
      <c r="AH100" s="777">
        <v>0.58045405</v>
      </c>
      <c r="AI100" s="777">
        <v>0.48019237</v>
      </c>
      <c r="AJ100" s="777">
        <v>1485.6971</v>
      </c>
      <c r="AK100" s="777">
        <v>130000</v>
      </c>
      <c r="AL100" s="777">
        <v>130000</v>
      </c>
      <c r="AM100" s="778">
        <v>0.005</v>
      </c>
    </row>
    <row r="101" spans="1:39" ht="15" customHeight="1">
      <c r="A101" s="775">
        <v>850</v>
      </c>
      <c r="B101" s="776" t="s">
        <v>229</v>
      </c>
      <c r="C101" s="777">
        <v>3750</v>
      </c>
      <c r="D101" s="777">
        <v>4800</v>
      </c>
      <c r="E101" s="777">
        <v>5300</v>
      </c>
      <c r="F101" s="777">
        <v>5000</v>
      </c>
      <c r="G101" s="777">
        <v>2897</v>
      </c>
      <c r="H101" s="777">
        <v>4075</v>
      </c>
      <c r="I101" s="777">
        <v>4626</v>
      </c>
      <c r="J101" s="777">
        <v>456</v>
      </c>
      <c r="K101" s="777">
        <v>456</v>
      </c>
      <c r="L101" s="777">
        <v>568</v>
      </c>
      <c r="M101" s="777">
        <v>827</v>
      </c>
      <c r="N101" s="777">
        <v>213</v>
      </c>
      <c r="O101" s="777">
        <v>304</v>
      </c>
      <c r="P101" s="777">
        <v>254</v>
      </c>
      <c r="Q101" s="777">
        <v>411</v>
      </c>
      <c r="R101" s="777">
        <v>380</v>
      </c>
      <c r="S101" s="777">
        <v>543</v>
      </c>
      <c r="T101" s="777">
        <v>411</v>
      </c>
      <c r="U101" s="777">
        <v>588</v>
      </c>
      <c r="V101" s="777">
        <v>441</v>
      </c>
      <c r="W101" s="777">
        <v>634</v>
      </c>
      <c r="X101" s="777">
        <v>608</v>
      </c>
      <c r="Y101" s="777">
        <v>852</v>
      </c>
      <c r="Z101" s="777">
        <v>0</v>
      </c>
      <c r="AA101" s="777" t="s">
        <v>646</v>
      </c>
      <c r="AB101" s="777">
        <v>543</v>
      </c>
      <c r="AC101" s="777" t="s">
        <v>647</v>
      </c>
      <c r="AD101" s="777">
        <v>1460</v>
      </c>
      <c r="AE101" s="777">
        <v>1080</v>
      </c>
      <c r="AF101" s="777">
        <v>0.64527134</v>
      </c>
      <c r="AG101" s="777">
        <v>0.63585523</v>
      </c>
      <c r="AH101" s="777">
        <v>0.58045405</v>
      </c>
      <c r="AI101" s="777">
        <v>0.48019237</v>
      </c>
      <c r="AJ101" s="777">
        <v>1633</v>
      </c>
      <c r="AK101" s="777">
        <v>116020</v>
      </c>
      <c r="AL101" s="777">
        <v>116020</v>
      </c>
      <c r="AM101" s="778">
        <v>0.0184</v>
      </c>
    </row>
    <row r="102" spans="1:39" ht="15" customHeight="1">
      <c r="A102" s="775">
        <v>851</v>
      </c>
      <c r="B102" s="776" t="s">
        <v>277</v>
      </c>
      <c r="C102" s="777">
        <v>3750</v>
      </c>
      <c r="D102" s="777">
        <v>4800</v>
      </c>
      <c r="E102" s="777">
        <v>5300</v>
      </c>
      <c r="F102" s="777">
        <v>5000</v>
      </c>
      <c r="G102" s="777">
        <v>2897.45512</v>
      </c>
      <c r="H102" s="777">
        <v>4074.89488</v>
      </c>
      <c r="I102" s="777">
        <v>4625.5837599999995</v>
      </c>
      <c r="J102" s="777">
        <v>456.37199999999996</v>
      </c>
      <c r="K102" s="777">
        <v>456.37199999999996</v>
      </c>
      <c r="L102" s="777">
        <v>567.92959999999994</v>
      </c>
      <c r="M102" s="777">
        <v>826.5404</v>
      </c>
      <c r="N102" s="777">
        <v>212.97359999999998</v>
      </c>
      <c r="O102" s="777">
        <v>304.248</v>
      </c>
      <c r="P102" s="777">
        <v>253.54</v>
      </c>
      <c r="Q102" s="777">
        <v>410.7348</v>
      </c>
      <c r="R102" s="777">
        <v>380.31</v>
      </c>
      <c r="S102" s="777">
        <v>542.5756</v>
      </c>
      <c r="T102" s="777">
        <v>410.7348</v>
      </c>
      <c r="U102" s="777">
        <v>588.2128</v>
      </c>
      <c r="V102" s="777">
        <v>441.15959999999995</v>
      </c>
      <c r="W102" s="777">
        <v>633.85</v>
      </c>
      <c r="X102" s="777">
        <v>608.496</v>
      </c>
      <c r="Y102" s="777">
        <v>851.89439999999991</v>
      </c>
      <c r="Z102" s="777" t="s">
        <v>352</v>
      </c>
      <c r="AA102" s="777" t="s">
        <v>646</v>
      </c>
      <c r="AB102" s="777">
        <v>542.5756</v>
      </c>
      <c r="AC102" s="777" t="s">
        <v>647</v>
      </c>
      <c r="AD102" s="777">
        <v>1460.3904</v>
      </c>
      <c r="AE102" s="777">
        <v>1080.0804</v>
      </c>
      <c r="AF102" s="777">
        <v>0.64527134</v>
      </c>
      <c r="AG102" s="777">
        <v>0.63585523</v>
      </c>
      <c r="AH102" s="777">
        <v>0.58045405</v>
      </c>
      <c r="AI102" s="777">
        <v>0.48019237</v>
      </c>
      <c r="AJ102" s="777">
        <v>1632.7975999999999</v>
      </c>
      <c r="AK102" s="777">
        <v>136770</v>
      </c>
      <c r="AL102" s="777">
        <v>136770</v>
      </c>
      <c r="AM102" s="778">
        <v>0.0184</v>
      </c>
    </row>
    <row r="103" spans="1:39" ht="15" customHeight="1">
      <c r="A103" s="775">
        <v>852</v>
      </c>
      <c r="B103" s="776" t="s">
        <v>295</v>
      </c>
      <c r="C103" s="777">
        <v>3750</v>
      </c>
      <c r="D103" s="777">
        <v>4800</v>
      </c>
      <c r="E103" s="777">
        <v>5300</v>
      </c>
      <c r="F103" s="777">
        <v>5000</v>
      </c>
      <c r="G103" s="777">
        <v>2897.45512</v>
      </c>
      <c r="H103" s="777">
        <v>4074.89488</v>
      </c>
      <c r="I103" s="777">
        <v>4625.5837599999995</v>
      </c>
      <c r="J103" s="777">
        <v>456.37199999999996</v>
      </c>
      <c r="K103" s="777">
        <v>456.37199999999996</v>
      </c>
      <c r="L103" s="777">
        <v>567.92959999999994</v>
      </c>
      <c r="M103" s="777">
        <v>826.5404</v>
      </c>
      <c r="N103" s="777">
        <v>212.97359999999998</v>
      </c>
      <c r="O103" s="777">
        <v>304.248</v>
      </c>
      <c r="P103" s="777">
        <v>253.54</v>
      </c>
      <c r="Q103" s="777">
        <v>410.7348</v>
      </c>
      <c r="R103" s="777">
        <v>380.31</v>
      </c>
      <c r="S103" s="777">
        <v>542.5756</v>
      </c>
      <c r="T103" s="777">
        <v>410.7348</v>
      </c>
      <c r="U103" s="777">
        <v>588.2128</v>
      </c>
      <c r="V103" s="777">
        <v>441.15959999999995</v>
      </c>
      <c r="W103" s="777">
        <v>633.85</v>
      </c>
      <c r="X103" s="777">
        <v>608.496</v>
      </c>
      <c r="Y103" s="777">
        <v>851.89439999999991</v>
      </c>
      <c r="Z103" s="777" t="s">
        <v>352</v>
      </c>
      <c r="AA103" s="777" t="s">
        <v>646</v>
      </c>
      <c r="AB103" s="777">
        <v>542.5756</v>
      </c>
      <c r="AC103" s="777" t="s">
        <v>647</v>
      </c>
      <c r="AD103" s="777">
        <v>1460.3904</v>
      </c>
      <c r="AE103" s="777">
        <v>1080.0804</v>
      </c>
      <c r="AF103" s="777">
        <v>0.64527134</v>
      </c>
      <c r="AG103" s="777">
        <v>0.63585523</v>
      </c>
      <c r="AH103" s="777">
        <v>0.58045405</v>
      </c>
      <c r="AI103" s="777">
        <v>0.48019237</v>
      </c>
      <c r="AJ103" s="777">
        <v>1632.7975999999999</v>
      </c>
      <c r="AK103" s="777">
        <v>139350.714</v>
      </c>
      <c r="AL103" s="777">
        <v>139350.714</v>
      </c>
      <c r="AM103" s="778">
        <v>0.0184</v>
      </c>
    </row>
    <row r="104" spans="1:39" ht="15" customHeight="1">
      <c r="A104" s="775">
        <v>855</v>
      </c>
      <c r="B104" s="776" t="s">
        <v>251</v>
      </c>
      <c r="C104" s="777">
        <v>3750</v>
      </c>
      <c r="D104" s="777">
        <v>4800</v>
      </c>
      <c r="E104" s="777">
        <v>5300</v>
      </c>
      <c r="F104" s="777">
        <v>5000</v>
      </c>
      <c r="G104" s="777">
        <v>2857</v>
      </c>
      <c r="H104" s="777">
        <v>4018</v>
      </c>
      <c r="I104" s="777">
        <v>4561</v>
      </c>
      <c r="J104" s="777">
        <v>450</v>
      </c>
      <c r="K104" s="777">
        <v>450</v>
      </c>
      <c r="L104" s="777">
        <v>560</v>
      </c>
      <c r="M104" s="777">
        <v>815</v>
      </c>
      <c r="N104" s="777">
        <v>210</v>
      </c>
      <c r="O104" s="777">
        <v>300</v>
      </c>
      <c r="P104" s="777">
        <v>250</v>
      </c>
      <c r="Q104" s="777">
        <v>405</v>
      </c>
      <c r="R104" s="777">
        <v>375</v>
      </c>
      <c r="S104" s="777">
        <v>535</v>
      </c>
      <c r="T104" s="777">
        <v>405</v>
      </c>
      <c r="U104" s="777">
        <v>580</v>
      </c>
      <c r="V104" s="777">
        <v>435</v>
      </c>
      <c r="W104" s="777">
        <v>625</v>
      </c>
      <c r="X104" s="777">
        <v>600</v>
      </c>
      <c r="Y104" s="777">
        <v>840</v>
      </c>
      <c r="Z104" s="777">
        <v>0</v>
      </c>
      <c r="AA104" s="777" t="s">
        <v>646</v>
      </c>
      <c r="AB104" s="777">
        <v>535</v>
      </c>
      <c r="AC104" s="777" t="s">
        <v>647</v>
      </c>
      <c r="AD104" s="777">
        <v>1440</v>
      </c>
      <c r="AE104" s="777">
        <v>1065</v>
      </c>
      <c r="AF104" s="777">
        <v>0.64527134</v>
      </c>
      <c r="AG104" s="777">
        <v>0.63585523</v>
      </c>
      <c r="AH104" s="777">
        <v>0.58045405</v>
      </c>
      <c r="AI104" s="777">
        <v>0.48019237</v>
      </c>
      <c r="AJ104" s="777">
        <v>1610</v>
      </c>
      <c r="AK104" s="777">
        <v>114400</v>
      </c>
      <c r="AL104" s="777">
        <v>114400</v>
      </c>
      <c r="AM104" s="778">
        <v>0.0184</v>
      </c>
    </row>
    <row r="105" spans="1:39" ht="15" customHeight="1">
      <c r="A105" s="775">
        <v>856</v>
      </c>
      <c r="B105" s="776" t="s">
        <v>250</v>
      </c>
      <c r="C105" s="777">
        <v>3750</v>
      </c>
      <c r="D105" s="777">
        <v>4800</v>
      </c>
      <c r="E105" s="777">
        <v>5300</v>
      </c>
      <c r="F105" s="777">
        <v>5000</v>
      </c>
      <c r="G105" s="777">
        <v>2857</v>
      </c>
      <c r="H105" s="777">
        <v>4018</v>
      </c>
      <c r="I105" s="777">
        <v>4561</v>
      </c>
      <c r="J105" s="777">
        <v>450</v>
      </c>
      <c r="K105" s="777">
        <v>450</v>
      </c>
      <c r="L105" s="777">
        <v>560</v>
      </c>
      <c r="M105" s="777">
        <v>815</v>
      </c>
      <c r="N105" s="777">
        <v>210</v>
      </c>
      <c r="O105" s="777">
        <v>300</v>
      </c>
      <c r="P105" s="777">
        <v>250</v>
      </c>
      <c r="Q105" s="777">
        <v>405</v>
      </c>
      <c r="R105" s="777">
        <v>375</v>
      </c>
      <c r="S105" s="777">
        <v>535</v>
      </c>
      <c r="T105" s="777">
        <v>405</v>
      </c>
      <c r="U105" s="777">
        <v>580</v>
      </c>
      <c r="V105" s="777">
        <v>435</v>
      </c>
      <c r="W105" s="777">
        <v>625</v>
      </c>
      <c r="X105" s="777">
        <v>600</v>
      </c>
      <c r="Y105" s="777">
        <v>840</v>
      </c>
      <c r="Z105" s="777" t="s">
        <v>352</v>
      </c>
      <c r="AA105" s="777" t="s">
        <v>646</v>
      </c>
      <c r="AB105" s="777">
        <v>535</v>
      </c>
      <c r="AC105" s="777" t="s">
        <v>647</v>
      </c>
      <c r="AD105" s="777">
        <v>1440</v>
      </c>
      <c r="AE105" s="777">
        <v>1065</v>
      </c>
      <c r="AF105" s="777">
        <v>0.64527134</v>
      </c>
      <c r="AG105" s="777">
        <v>0.63585523</v>
      </c>
      <c r="AH105" s="777">
        <v>0.58045405</v>
      </c>
      <c r="AI105" s="777">
        <v>0.48019237</v>
      </c>
      <c r="AJ105" s="777">
        <v>1610</v>
      </c>
      <c r="AK105" s="777">
        <v>114400</v>
      </c>
      <c r="AL105" s="777">
        <v>114400</v>
      </c>
      <c r="AM105" s="778">
        <v>0.0184</v>
      </c>
    </row>
    <row r="106" spans="1:39" ht="15" customHeight="1">
      <c r="A106" s="775">
        <v>857</v>
      </c>
      <c r="B106" s="776" t="s">
        <v>284</v>
      </c>
      <c r="C106" s="777">
        <v>3750</v>
      </c>
      <c r="D106" s="777">
        <v>4800</v>
      </c>
      <c r="E106" s="777">
        <v>5300</v>
      </c>
      <c r="F106" s="777">
        <v>5000</v>
      </c>
      <c r="G106" s="777">
        <v>2979</v>
      </c>
      <c r="H106" s="777">
        <v>4140</v>
      </c>
      <c r="I106" s="777">
        <v>4683</v>
      </c>
      <c r="J106" s="777">
        <v>450</v>
      </c>
      <c r="K106" s="777">
        <v>450</v>
      </c>
      <c r="L106" s="777">
        <v>560</v>
      </c>
      <c r="M106" s="777">
        <v>815</v>
      </c>
      <c r="N106" s="777">
        <v>210</v>
      </c>
      <c r="O106" s="777">
        <v>300</v>
      </c>
      <c r="P106" s="777">
        <v>250</v>
      </c>
      <c r="Q106" s="777">
        <v>405</v>
      </c>
      <c r="R106" s="777">
        <v>375</v>
      </c>
      <c r="S106" s="777">
        <v>535</v>
      </c>
      <c r="T106" s="777">
        <v>405</v>
      </c>
      <c r="U106" s="777">
        <v>580</v>
      </c>
      <c r="V106" s="777">
        <v>435</v>
      </c>
      <c r="W106" s="777">
        <v>625</v>
      </c>
      <c r="X106" s="777">
        <v>600</v>
      </c>
      <c r="Y106" s="777">
        <v>840</v>
      </c>
      <c r="Z106" s="777">
        <v>0</v>
      </c>
      <c r="AA106" s="777" t="s">
        <v>646</v>
      </c>
      <c r="AB106" s="777">
        <v>535</v>
      </c>
      <c r="AC106" s="777" t="s">
        <v>647</v>
      </c>
      <c r="AD106" s="777">
        <v>1440</v>
      </c>
      <c r="AE106" s="777">
        <v>1065</v>
      </c>
      <c r="AF106" s="777">
        <v>0.64527134</v>
      </c>
      <c r="AG106" s="777">
        <v>0.63585523</v>
      </c>
      <c r="AH106" s="777">
        <v>0.58045405</v>
      </c>
      <c r="AI106" s="777">
        <v>0.48019237</v>
      </c>
      <c r="AJ106" s="777">
        <v>1610</v>
      </c>
      <c r="AK106" s="777">
        <v>114400</v>
      </c>
      <c r="AL106" s="777">
        <v>114400</v>
      </c>
      <c r="AM106" s="778">
        <v>0.0164</v>
      </c>
    </row>
    <row r="107" spans="1:39" ht="15" customHeight="1">
      <c r="A107" s="775">
        <v>860</v>
      </c>
      <c r="B107" s="776" t="s">
        <v>299</v>
      </c>
      <c r="C107" s="777">
        <v>3750</v>
      </c>
      <c r="D107" s="777">
        <v>4800</v>
      </c>
      <c r="E107" s="777">
        <v>5300</v>
      </c>
      <c r="F107" s="777">
        <v>5000</v>
      </c>
      <c r="G107" s="777">
        <v>2857</v>
      </c>
      <c r="H107" s="777">
        <v>4018</v>
      </c>
      <c r="I107" s="777">
        <v>4561</v>
      </c>
      <c r="J107" s="777">
        <v>450</v>
      </c>
      <c r="K107" s="777">
        <v>450</v>
      </c>
      <c r="L107" s="777">
        <v>560</v>
      </c>
      <c r="M107" s="777">
        <v>815</v>
      </c>
      <c r="N107" s="777">
        <v>210</v>
      </c>
      <c r="O107" s="777">
        <v>300</v>
      </c>
      <c r="P107" s="777">
        <v>250</v>
      </c>
      <c r="Q107" s="777">
        <v>405</v>
      </c>
      <c r="R107" s="777">
        <v>375</v>
      </c>
      <c r="S107" s="777">
        <v>535</v>
      </c>
      <c r="T107" s="777">
        <v>405</v>
      </c>
      <c r="U107" s="777">
        <v>580</v>
      </c>
      <c r="V107" s="777">
        <v>435</v>
      </c>
      <c r="W107" s="777">
        <v>625</v>
      </c>
      <c r="X107" s="777">
        <v>600</v>
      </c>
      <c r="Y107" s="777">
        <v>840</v>
      </c>
      <c r="Z107" s="777">
        <v>0</v>
      </c>
      <c r="AA107" s="777" t="s">
        <v>646</v>
      </c>
      <c r="AB107" s="777">
        <v>535</v>
      </c>
      <c r="AC107" s="777" t="s">
        <v>647</v>
      </c>
      <c r="AD107" s="777">
        <v>1440</v>
      </c>
      <c r="AE107" s="777">
        <v>1065</v>
      </c>
      <c r="AF107" s="777">
        <v>0.64527134</v>
      </c>
      <c r="AG107" s="777">
        <v>0.63585523</v>
      </c>
      <c r="AH107" s="777">
        <v>0.58045405</v>
      </c>
      <c r="AI107" s="777">
        <v>0.48019237</v>
      </c>
      <c r="AJ107" s="777">
        <v>1610</v>
      </c>
      <c r="AK107" s="777">
        <v>114400</v>
      </c>
      <c r="AL107" s="777">
        <v>114400</v>
      </c>
      <c r="AM107" s="778">
        <v>0.0184</v>
      </c>
    </row>
    <row r="108" spans="1:39" ht="15" customHeight="1">
      <c r="A108" s="775">
        <v>861</v>
      </c>
      <c r="B108" s="776" t="s">
        <v>302</v>
      </c>
      <c r="C108" s="777">
        <v>3750</v>
      </c>
      <c r="D108" s="777">
        <v>4800</v>
      </c>
      <c r="E108" s="777">
        <v>5300</v>
      </c>
      <c r="F108" s="777">
        <v>5000</v>
      </c>
      <c r="G108" s="777">
        <v>2884.05</v>
      </c>
      <c r="H108" s="777">
        <v>4045.05</v>
      </c>
      <c r="I108" s="777">
        <v>4608.05</v>
      </c>
      <c r="J108" s="777">
        <v>450</v>
      </c>
      <c r="K108" s="777">
        <v>450</v>
      </c>
      <c r="L108" s="777">
        <v>560</v>
      </c>
      <c r="M108" s="777">
        <v>815</v>
      </c>
      <c r="N108" s="777">
        <v>210</v>
      </c>
      <c r="O108" s="777">
        <v>300</v>
      </c>
      <c r="P108" s="777">
        <v>250</v>
      </c>
      <c r="Q108" s="777">
        <v>405</v>
      </c>
      <c r="R108" s="777">
        <v>375</v>
      </c>
      <c r="S108" s="777">
        <v>535</v>
      </c>
      <c r="T108" s="777">
        <v>405</v>
      </c>
      <c r="U108" s="777">
        <v>580</v>
      </c>
      <c r="V108" s="777">
        <v>435</v>
      </c>
      <c r="W108" s="777">
        <v>625</v>
      </c>
      <c r="X108" s="777">
        <v>600</v>
      </c>
      <c r="Y108" s="777">
        <v>840</v>
      </c>
      <c r="Z108" s="777" t="s">
        <v>352</v>
      </c>
      <c r="AA108" s="777" t="s">
        <v>646</v>
      </c>
      <c r="AB108" s="777">
        <v>535</v>
      </c>
      <c r="AC108" s="777" t="s">
        <v>647</v>
      </c>
      <c r="AD108" s="777">
        <v>1440</v>
      </c>
      <c r="AE108" s="777">
        <v>1065</v>
      </c>
      <c r="AF108" s="777">
        <v>0.64527134</v>
      </c>
      <c r="AG108" s="777">
        <v>0.63585523</v>
      </c>
      <c r="AH108" s="777">
        <v>0.58045405</v>
      </c>
      <c r="AI108" s="777">
        <v>0.48019237</v>
      </c>
      <c r="AJ108" s="777">
        <v>1610</v>
      </c>
      <c r="AK108" s="777">
        <v>114400</v>
      </c>
      <c r="AL108" s="777">
        <v>114400</v>
      </c>
      <c r="AM108" s="778">
        <v>0.005</v>
      </c>
    </row>
    <row r="109" spans="1:39" ht="15" customHeight="1">
      <c r="A109" s="775">
        <v>865</v>
      </c>
      <c r="B109" s="776" t="s">
        <v>324</v>
      </c>
      <c r="C109" s="777">
        <v>3750</v>
      </c>
      <c r="D109" s="777">
        <v>4800</v>
      </c>
      <c r="E109" s="777">
        <v>5300</v>
      </c>
      <c r="F109" s="777">
        <v>5000</v>
      </c>
      <c r="G109" s="777">
        <v>2857</v>
      </c>
      <c r="H109" s="777">
        <v>4018</v>
      </c>
      <c r="I109" s="777">
        <v>4561</v>
      </c>
      <c r="J109" s="777">
        <v>450</v>
      </c>
      <c r="K109" s="777">
        <v>450</v>
      </c>
      <c r="L109" s="777">
        <v>560</v>
      </c>
      <c r="M109" s="777">
        <v>815</v>
      </c>
      <c r="N109" s="777">
        <v>210</v>
      </c>
      <c r="O109" s="777">
        <v>300</v>
      </c>
      <c r="P109" s="777">
        <v>250</v>
      </c>
      <c r="Q109" s="777">
        <v>405</v>
      </c>
      <c r="R109" s="777">
        <v>375</v>
      </c>
      <c r="S109" s="777">
        <v>535</v>
      </c>
      <c r="T109" s="777">
        <v>405</v>
      </c>
      <c r="U109" s="777">
        <v>580</v>
      </c>
      <c r="V109" s="777">
        <v>435</v>
      </c>
      <c r="W109" s="777">
        <v>625</v>
      </c>
      <c r="X109" s="777">
        <v>600</v>
      </c>
      <c r="Y109" s="777">
        <v>840</v>
      </c>
      <c r="Z109" s="777" t="s">
        <v>352</v>
      </c>
      <c r="AA109" s="777" t="s">
        <v>646</v>
      </c>
      <c r="AB109" s="777">
        <v>535</v>
      </c>
      <c r="AC109" s="777" t="s">
        <v>647</v>
      </c>
      <c r="AD109" s="777">
        <v>1440</v>
      </c>
      <c r="AE109" s="777">
        <v>1065</v>
      </c>
      <c r="AF109" s="777">
        <v>0.64527134</v>
      </c>
      <c r="AG109" s="777">
        <v>0.63585523</v>
      </c>
      <c r="AH109" s="777">
        <v>0.58045405</v>
      </c>
      <c r="AI109" s="777">
        <v>0.48019237</v>
      </c>
      <c r="AJ109" s="777">
        <v>1610</v>
      </c>
      <c r="AK109" s="777">
        <v>114400</v>
      </c>
      <c r="AL109" s="777">
        <v>114400</v>
      </c>
      <c r="AM109" s="778">
        <v>0.0184</v>
      </c>
    </row>
    <row r="110" spans="1:39" ht="15" customHeight="1">
      <c r="A110" s="775">
        <v>866</v>
      </c>
      <c r="B110" s="776" t="s">
        <v>307</v>
      </c>
      <c r="C110" s="777">
        <v>3750</v>
      </c>
      <c r="D110" s="777">
        <v>4800</v>
      </c>
      <c r="E110" s="777">
        <v>5300</v>
      </c>
      <c r="F110" s="777">
        <v>5000</v>
      </c>
      <c r="G110" s="777">
        <v>2896.0694750000002</v>
      </c>
      <c r="H110" s="777">
        <v>4072.94615</v>
      </c>
      <c r="I110" s="777">
        <v>4623.371675</v>
      </c>
      <c r="J110" s="777">
        <v>456.15375000000006</v>
      </c>
      <c r="K110" s="777">
        <v>456.15375000000006</v>
      </c>
      <c r="L110" s="777">
        <v>567.658</v>
      </c>
      <c r="M110" s="777">
        <v>826.14512500000012</v>
      </c>
      <c r="N110" s="777">
        <v>212.87175000000002</v>
      </c>
      <c r="O110" s="777">
        <v>304.1025</v>
      </c>
      <c r="P110" s="777">
        <v>253.41875000000002</v>
      </c>
      <c r="Q110" s="777">
        <v>410.53837500000003</v>
      </c>
      <c r="R110" s="777">
        <v>380.128125</v>
      </c>
      <c r="S110" s="777">
        <v>542.316125</v>
      </c>
      <c r="T110" s="777">
        <v>410.53837500000003</v>
      </c>
      <c r="U110" s="777">
        <v>587.9315</v>
      </c>
      <c r="V110" s="777">
        <v>440.94862500000005</v>
      </c>
      <c r="W110" s="777">
        <v>633.54687500000011</v>
      </c>
      <c r="X110" s="777">
        <v>608.205</v>
      </c>
      <c r="Y110" s="777">
        <v>851.48700000000008</v>
      </c>
      <c r="Z110" s="777" t="s">
        <v>352</v>
      </c>
      <c r="AA110" s="777" t="s">
        <v>646</v>
      </c>
      <c r="AB110" s="777">
        <v>542.316125</v>
      </c>
      <c r="AC110" s="777" t="s">
        <v>647</v>
      </c>
      <c r="AD110" s="777">
        <v>1459.6920000000002</v>
      </c>
      <c r="AE110" s="777">
        <v>1079.563875</v>
      </c>
      <c r="AF110" s="777">
        <v>0.64527134</v>
      </c>
      <c r="AG110" s="777">
        <v>0.63585523</v>
      </c>
      <c r="AH110" s="777">
        <v>0.58045405</v>
      </c>
      <c r="AI110" s="777">
        <v>0.48019237</v>
      </c>
      <c r="AJ110" s="777">
        <v>1632.0167500000002</v>
      </c>
      <c r="AK110" s="777">
        <v>114400</v>
      </c>
      <c r="AL110" s="777">
        <v>114400</v>
      </c>
      <c r="AM110" s="778">
        <v>0.0184</v>
      </c>
    </row>
    <row r="111" spans="1:39" ht="15" customHeight="1">
      <c r="A111" s="775">
        <v>867</v>
      </c>
      <c r="B111" s="776" t="s">
        <v>188</v>
      </c>
      <c r="C111" s="777">
        <v>3750</v>
      </c>
      <c r="D111" s="777">
        <v>4800</v>
      </c>
      <c r="E111" s="777">
        <v>5300</v>
      </c>
      <c r="F111" s="777">
        <v>5000</v>
      </c>
      <c r="G111" s="777">
        <v>3013.9388337430887</v>
      </c>
      <c r="H111" s="777">
        <v>4238.7141175987854</v>
      </c>
      <c r="I111" s="777">
        <v>4811.5418343374968</v>
      </c>
      <c r="J111" s="777">
        <v>474.71910226964997</v>
      </c>
      <c r="K111" s="777">
        <v>474.71910226964997</v>
      </c>
      <c r="L111" s="777">
        <v>590.76154949111992</v>
      </c>
      <c r="M111" s="777">
        <v>850.20782070000007</v>
      </c>
      <c r="N111" s="777">
        <v>221.53558105917</v>
      </c>
      <c r="O111" s="777">
        <v>316.47940151309996</v>
      </c>
      <c r="P111" s="777">
        <v>263.73283459425</v>
      </c>
      <c r="Q111" s="777">
        <v>427.24719204268496</v>
      </c>
      <c r="R111" s="777">
        <v>395.599251891375</v>
      </c>
      <c r="S111" s="777">
        <v>564.38826603169491</v>
      </c>
      <c r="T111" s="777">
        <v>427.24719204268496</v>
      </c>
      <c r="U111" s="777">
        <v>611.86017625866</v>
      </c>
      <c r="V111" s="777">
        <v>458.89513219399493</v>
      </c>
      <c r="W111" s="777">
        <v>659.33208648562493</v>
      </c>
      <c r="X111" s="777">
        <v>632.95880302619992</v>
      </c>
      <c r="Y111" s="777">
        <v>886.14232423668</v>
      </c>
      <c r="Z111" s="777" t="s">
        <v>352</v>
      </c>
      <c r="AA111" s="777" t="s">
        <v>646</v>
      </c>
      <c r="AB111" s="777">
        <v>564.38826603169491</v>
      </c>
      <c r="AC111" s="777" t="s">
        <v>647</v>
      </c>
      <c r="AD111" s="777">
        <v>1519.10112726288</v>
      </c>
      <c r="AE111" s="777">
        <v>1123.5018753715051</v>
      </c>
      <c r="AF111" s="777">
        <v>0.64527134</v>
      </c>
      <c r="AG111" s="777">
        <v>0.63585523</v>
      </c>
      <c r="AH111" s="777">
        <v>0.58045405</v>
      </c>
      <c r="AI111" s="777">
        <v>0.48019237</v>
      </c>
      <c r="AJ111" s="777">
        <v>1698.43945478697</v>
      </c>
      <c r="AK111" s="777">
        <v>120684.1451103288</v>
      </c>
      <c r="AL111" s="777">
        <v>120684.1451103288</v>
      </c>
      <c r="AM111" s="778">
        <v>0.0184</v>
      </c>
    </row>
    <row r="112" spans="1:39" ht="15" customHeight="1">
      <c r="A112" s="775">
        <v>868</v>
      </c>
      <c r="B112" s="776" t="s">
        <v>325</v>
      </c>
      <c r="C112" s="777">
        <v>3750</v>
      </c>
      <c r="D112" s="777">
        <v>4800</v>
      </c>
      <c r="E112" s="777">
        <v>5300</v>
      </c>
      <c r="F112" s="777">
        <v>5000</v>
      </c>
      <c r="G112" s="777">
        <v>3017.36</v>
      </c>
      <c r="H112" s="777">
        <v>4243.53</v>
      </c>
      <c r="I112" s="777">
        <v>4817.01</v>
      </c>
      <c r="J112" s="777">
        <v>475.26</v>
      </c>
      <c r="K112" s="777">
        <v>475.26</v>
      </c>
      <c r="L112" s="777">
        <v>744</v>
      </c>
      <c r="M112" s="777">
        <v>908</v>
      </c>
      <c r="N112" s="777">
        <v>276.66</v>
      </c>
      <c r="O112" s="777">
        <v>362.29</v>
      </c>
      <c r="P112" s="777">
        <v>345.93</v>
      </c>
      <c r="Q112" s="777">
        <v>479.9</v>
      </c>
      <c r="R112" s="777">
        <v>518.9</v>
      </c>
      <c r="S112" s="777">
        <v>671.8</v>
      </c>
      <c r="T112" s="777">
        <v>539.5</v>
      </c>
      <c r="U112" s="777">
        <v>702.69</v>
      </c>
      <c r="V112" s="777">
        <v>560.09</v>
      </c>
      <c r="W112" s="777">
        <v>730.15</v>
      </c>
      <c r="X112" s="777">
        <v>600</v>
      </c>
      <c r="Y112" s="777">
        <v>840</v>
      </c>
      <c r="Z112" s="777">
        <v>475</v>
      </c>
      <c r="AA112" s="777" t="s">
        <v>646</v>
      </c>
      <c r="AB112" s="777">
        <v>513.84770428416994</v>
      </c>
      <c r="AC112" s="777" t="s">
        <v>647</v>
      </c>
      <c r="AD112" s="777">
        <v>1383.0667180732798</v>
      </c>
      <c r="AE112" s="777">
        <v>1124.78</v>
      </c>
      <c r="AF112" s="777">
        <v>0.64527134</v>
      </c>
      <c r="AG112" s="777">
        <v>0.63585523</v>
      </c>
      <c r="AH112" s="777">
        <v>0.58045405</v>
      </c>
      <c r="AI112" s="777">
        <v>0.48019237</v>
      </c>
      <c r="AJ112" s="777">
        <v>1700.37</v>
      </c>
      <c r="AK112" s="777">
        <v>120821</v>
      </c>
      <c r="AL112" s="777">
        <v>120821</v>
      </c>
      <c r="AM112" s="778">
        <v>0.005</v>
      </c>
    </row>
    <row r="113" spans="1:39" ht="15" customHeight="1">
      <c r="A113" s="775">
        <v>869</v>
      </c>
      <c r="B113" s="776" t="s">
        <v>320</v>
      </c>
      <c r="C113" s="777">
        <v>3750</v>
      </c>
      <c r="D113" s="777">
        <v>4800</v>
      </c>
      <c r="E113" s="777">
        <v>5300</v>
      </c>
      <c r="F113" s="777">
        <v>5000</v>
      </c>
      <c r="G113" s="777">
        <v>2941.3593</v>
      </c>
      <c r="H113" s="777">
        <v>4136.6329</v>
      </c>
      <c r="I113" s="777">
        <v>4695.6736500000006</v>
      </c>
      <c r="J113" s="777">
        <v>465.62</v>
      </c>
      <c r="K113" s="777">
        <v>465.62</v>
      </c>
      <c r="L113" s="777">
        <v>579.43</v>
      </c>
      <c r="M113" s="777">
        <v>843.28</v>
      </c>
      <c r="N113" s="777">
        <v>217.29</v>
      </c>
      <c r="O113" s="777">
        <v>310.41</v>
      </c>
      <c r="P113" s="777">
        <v>258.68</v>
      </c>
      <c r="Q113" s="777">
        <v>419.05</v>
      </c>
      <c r="R113" s="777">
        <v>388.01</v>
      </c>
      <c r="S113" s="777">
        <v>553.56</v>
      </c>
      <c r="T113" s="777">
        <v>419.05</v>
      </c>
      <c r="U113" s="777">
        <v>600.13</v>
      </c>
      <c r="V113" s="777">
        <v>450.09</v>
      </c>
      <c r="W113" s="777">
        <v>646.69</v>
      </c>
      <c r="X113" s="777">
        <v>620.82</v>
      </c>
      <c r="Y113" s="777">
        <v>869.15</v>
      </c>
      <c r="Z113" s="777" t="s">
        <v>352</v>
      </c>
      <c r="AA113" s="777" t="s">
        <v>646</v>
      </c>
      <c r="AB113" s="777">
        <v>553.56</v>
      </c>
      <c r="AC113" s="777" t="s">
        <v>647</v>
      </c>
      <c r="AD113" s="777">
        <v>1489.97</v>
      </c>
      <c r="AE113" s="777">
        <v>1101.96</v>
      </c>
      <c r="AF113" s="777">
        <v>0.64527134</v>
      </c>
      <c r="AG113" s="777">
        <v>0.63585523</v>
      </c>
      <c r="AH113" s="777">
        <v>0.58045405</v>
      </c>
      <c r="AI113" s="777">
        <v>0.48019237</v>
      </c>
      <c r="AJ113" s="777">
        <v>1685.87</v>
      </c>
      <c r="AK113" s="777">
        <v>118369.68</v>
      </c>
      <c r="AL113" s="777">
        <v>118369.68</v>
      </c>
      <c r="AM113" s="778">
        <v>0.0184</v>
      </c>
    </row>
    <row r="114" spans="1:39" ht="15" customHeight="1">
      <c r="A114" s="775">
        <v>870</v>
      </c>
      <c r="B114" s="776" t="s">
        <v>278</v>
      </c>
      <c r="C114" s="777">
        <v>3750</v>
      </c>
      <c r="D114" s="777">
        <v>4800</v>
      </c>
      <c r="E114" s="777">
        <v>5300</v>
      </c>
      <c r="F114" s="777">
        <v>5000</v>
      </c>
      <c r="G114" s="777">
        <v>2954</v>
      </c>
      <c r="H114" s="777">
        <v>4154</v>
      </c>
      <c r="I114" s="777">
        <v>4716</v>
      </c>
      <c r="J114" s="777">
        <v>465</v>
      </c>
      <c r="K114" s="777">
        <v>465</v>
      </c>
      <c r="L114" s="777">
        <v>579</v>
      </c>
      <c r="M114" s="777">
        <v>842</v>
      </c>
      <c r="N114" s="777">
        <v>217</v>
      </c>
      <c r="O114" s="777">
        <v>310</v>
      </c>
      <c r="P114" s="777">
        <v>258</v>
      </c>
      <c r="Q114" s="777">
        <v>418</v>
      </c>
      <c r="R114" s="777">
        <v>387</v>
      </c>
      <c r="S114" s="777">
        <v>553</v>
      </c>
      <c r="T114" s="777">
        <v>418</v>
      </c>
      <c r="U114" s="777">
        <v>599</v>
      </c>
      <c r="V114" s="777">
        <v>449</v>
      </c>
      <c r="W114" s="777">
        <v>646</v>
      </c>
      <c r="X114" s="777">
        <v>620</v>
      </c>
      <c r="Y114" s="777">
        <v>868</v>
      </c>
      <c r="Z114" s="777" t="s">
        <v>352</v>
      </c>
      <c r="AA114" s="777" t="s">
        <v>646</v>
      </c>
      <c r="AB114" s="777">
        <v>553</v>
      </c>
      <c r="AC114" s="777" t="s">
        <v>647</v>
      </c>
      <c r="AD114" s="777">
        <v>1489</v>
      </c>
      <c r="AE114" s="777">
        <v>1101</v>
      </c>
      <c r="AF114" s="777">
        <v>0.64527134</v>
      </c>
      <c r="AG114" s="777">
        <v>0.63585523</v>
      </c>
      <c r="AH114" s="777">
        <v>0.58045405</v>
      </c>
      <c r="AI114" s="777">
        <v>0.48019237</v>
      </c>
      <c r="AJ114" s="777">
        <v>1664</v>
      </c>
      <c r="AK114" s="777">
        <v>114600</v>
      </c>
      <c r="AL114" s="777">
        <v>114600</v>
      </c>
      <c r="AM114" s="778">
        <v>0.0184</v>
      </c>
    </row>
    <row r="115" spans="1:39" ht="15" customHeight="1">
      <c r="A115" s="775">
        <v>871</v>
      </c>
      <c r="B115" s="776" t="s">
        <v>290</v>
      </c>
      <c r="C115" s="777">
        <v>3750</v>
      </c>
      <c r="D115" s="777">
        <v>4800</v>
      </c>
      <c r="E115" s="777">
        <v>5300</v>
      </c>
      <c r="F115" s="777">
        <v>5000</v>
      </c>
      <c r="G115" s="777">
        <v>3249.4750000000004</v>
      </c>
      <c r="H115" s="777">
        <v>4419.49</v>
      </c>
      <c r="I115" s="777">
        <v>4936.2000000000007</v>
      </c>
      <c r="J115" s="777">
        <v>604.57755000000009</v>
      </c>
      <c r="K115" s="777">
        <v>475.623</v>
      </c>
      <c r="L115" s="777">
        <v>591.8864</v>
      </c>
      <c r="M115" s="777">
        <v>1016.1811849999999</v>
      </c>
      <c r="N115" s="777">
        <v>221.9574</v>
      </c>
      <c r="O115" s="777">
        <v>317.082</v>
      </c>
      <c r="P115" s="777">
        <v>355.56925</v>
      </c>
      <c r="Q115" s="777">
        <v>635.263095</v>
      </c>
      <c r="R115" s="777">
        <v>500.189625</v>
      </c>
      <c r="S115" s="777">
        <v>810.863965</v>
      </c>
      <c r="T115" s="777">
        <v>560.771595</v>
      </c>
      <c r="U115" s="777">
        <v>871.64092</v>
      </c>
      <c r="V115" s="777">
        <v>611.843565</v>
      </c>
      <c r="W115" s="777">
        <v>992.24087500000019</v>
      </c>
      <c r="X115" s="777">
        <v>634.164</v>
      </c>
      <c r="Y115" s="777">
        <v>887.8296</v>
      </c>
      <c r="Z115" s="777" t="s">
        <v>352</v>
      </c>
      <c r="AA115" s="777" t="s">
        <v>646</v>
      </c>
      <c r="AB115" s="777">
        <v>565.4629</v>
      </c>
      <c r="AC115" s="777" t="s">
        <v>647</v>
      </c>
      <c r="AD115" s="777">
        <v>1521.9936</v>
      </c>
      <c r="AE115" s="777">
        <v>1113.475935</v>
      </c>
      <c r="AF115" s="777">
        <v>0.64527134</v>
      </c>
      <c r="AG115" s="777">
        <v>0.63585523</v>
      </c>
      <c r="AH115" s="777">
        <v>0.58045405</v>
      </c>
      <c r="AI115" s="777">
        <v>0.48019237</v>
      </c>
      <c r="AJ115" s="777">
        <v>1806.75</v>
      </c>
      <c r="AK115" s="777">
        <v>117777.85</v>
      </c>
      <c r="AL115" s="777">
        <v>125277.85</v>
      </c>
      <c r="AM115" s="778">
        <v>0.005</v>
      </c>
    </row>
    <row r="116" spans="1:39" ht="15" customHeight="1">
      <c r="A116" s="775">
        <v>872</v>
      </c>
      <c r="B116" s="776" t="s">
        <v>327</v>
      </c>
      <c r="C116" s="777">
        <v>3750</v>
      </c>
      <c r="D116" s="777">
        <v>4800</v>
      </c>
      <c r="E116" s="777">
        <v>5300</v>
      </c>
      <c r="F116" s="777">
        <v>5000</v>
      </c>
      <c r="G116" s="777">
        <v>3011.600943</v>
      </c>
      <c r="H116" s="777">
        <v>4145.70962611494</v>
      </c>
      <c r="I116" s="777">
        <v>4898.6414836748418</v>
      </c>
      <c r="J116" s="777" t="s">
        <v>352</v>
      </c>
      <c r="K116" s="777" t="s">
        <v>352</v>
      </c>
      <c r="L116" s="777">
        <v>630.56</v>
      </c>
      <c r="M116" s="777">
        <v>796.72</v>
      </c>
      <c r="N116" s="777">
        <v>250.13</v>
      </c>
      <c r="O116" s="777">
        <v>290.14</v>
      </c>
      <c r="P116" s="777">
        <v>305.72</v>
      </c>
      <c r="Q116" s="777">
        <v>354.62</v>
      </c>
      <c r="R116" s="777">
        <v>389.09</v>
      </c>
      <c r="S116" s="777">
        <v>451.33</v>
      </c>
      <c r="T116" s="777">
        <v>500.26</v>
      </c>
      <c r="U116" s="777">
        <v>580.28</v>
      </c>
      <c r="V116" s="777">
        <v>611.43</v>
      </c>
      <c r="W116" s="777">
        <v>709.23</v>
      </c>
      <c r="X116" s="777">
        <v>889.36</v>
      </c>
      <c r="Y116" s="777">
        <v>0</v>
      </c>
      <c r="Z116" s="777">
        <v>0</v>
      </c>
      <c r="AA116" s="777" t="s">
        <v>646</v>
      </c>
      <c r="AB116" s="777">
        <v>256.98</v>
      </c>
      <c r="AC116" s="777" t="s">
        <v>647</v>
      </c>
      <c r="AD116" s="777">
        <v>1285.11</v>
      </c>
      <c r="AE116" s="777">
        <v>800</v>
      </c>
      <c r="AF116" s="777">
        <v>0.64527134</v>
      </c>
      <c r="AG116" s="777">
        <v>0.63585523</v>
      </c>
      <c r="AH116" s="777">
        <v>0.58045405</v>
      </c>
      <c r="AI116" s="777">
        <v>0.48019237</v>
      </c>
      <c r="AJ116" s="777">
        <v>1236.53</v>
      </c>
      <c r="AK116" s="777">
        <v>150000</v>
      </c>
      <c r="AL116" s="777">
        <v>150000</v>
      </c>
      <c r="AM116" s="778">
        <v>0.01</v>
      </c>
    </row>
    <row r="117" spans="1:39" ht="15" customHeight="1">
      <c r="A117" s="775">
        <v>873</v>
      </c>
      <c r="B117" s="776" t="s">
        <v>198</v>
      </c>
      <c r="C117" s="777">
        <v>3750</v>
      </c>
      <c r="D117" s="777">
        <v>4800</v>
      </c>
      <c r="E117" s="777">
        <v>5300</v>
      </c>
      <c r="F117" s="777">
        <v>5000</v>
      </c>
      <c r="G117" s="777">
        <v>2893.62674</v>
      </c>
      <c r="H117" s="777">
        <v>4069.51076</v>
      </c>
      <c r="I117" s="777">
        <v>4619.47202</v>
      </c>
      <c r="J117" s="777">
        <v>455.769</v>
      </c>
      <c r="K117" s="777">
        <v>455.769</v>
      </c>
      <c r="L117" s="777">
        <v>567.1792</v>
      </c>
      <c r="M117" s="777">
        <v>825.4483</v>
      </c>
      <c r="N117" s="777">
        <v>212.6922</v>
      </c>
      <c r="O117" s="777">
        <v>303.846</v>
      </c>
      <c r="P117" s="777">
        <v>253.205</v>
      </c>
      <c r="Q117" s="777">
        <v>410.19210000000004</v>
      </c>
      <c r="R117" s="777">
        <v>379.8075</v>
      </c>
      <c r="S117" s="777">
        <v>541.8587</v>
      </c>
      <c r="T117" s="777">
        <v>410.19210000000004</v>
      </c>
      <c r="U117" s="777">
        <v>587.4356</v>
      </c>
      <c r="V117" s="777">
        <v>440.5767</v>
      </c>
      <c r="W117" s="777">
        <v>633.0125</v>
      </c>
      <c r="X117" s="777">
        <v>607.692</v>
      </c>
      <c r="Y117" s="777">
        <v>850.7688</v>
      </c>
      <c r="Z117" s="777" t="s">
        <v>352</v>
      </c>
      <c r="AA117" s="777" t="s">
        <v>646</v>
      </c>
      <c r="AB117" s="777">
        <v>541.8587</v>
      </c>
      <c r="AC117" s="777" t="s">
        <v>647</v>
      </c>
      <c r="AD117" s="777">
        <v>1458.4608</v>
      </c>
      <c r="AE117" s="777">
        <v>1078.6533</v>
      </c>
      <c r="AF117" s="777">
        <v>0.64527134</v>
      </c>
      <c r="AG117" s="777">
        <v>0.63585523</v>
      </c>
      <c r="AH117" s="777">
        <v>0.58045405</v>
      </c>
      <c r="AI117" s="777">
        <v>0.48019237</v>
      </c>
      <c r="AJ117" s="777">
        <v>1630.6402</v>
      </c>
      <c r="AK117" s="777">
        <v>115866.60800000001</v>
      </c>
      <c r="AL117" s="777">
        <v>115866.60800000001</v>
      </c>
      <c r="AM117" s="778">
        <v>0.0184</v>
      </c>
    </row>
    <row r="118" spans="1:39" ht="15" customHeight="1">
      <c r="A118" s="775">
        <v>874</v>
      </c>
      <c r="B118" s="776" t="s">
        <v>275</v>
      </c>
      <c r="C118" s="777">
        <v>3750</v>
      </c>
      <c r="D118" s="777">
        <v>4800</v>
      </c>
      <c r="E118" s="777">
        <v>5300</v>
      </c>
      <c r="F118" s="777">
        <v>5000</v>
      </c>
      <c r="G118" s="777">
        <v>2901.4031483140971</v>
      </c>
      <c r="H118" s="777">
        <v>4080.4472698376062</v>
      </c>
      <c r="I118" s="777">
        <v>4631.8865101367155</v>
      </c>
      <c r="J118" s="777">
        <v>456.99384555174782</v>
      </c>
      <c r="K118" s="777">
        <v>456.99384555174782</v>
      </c>
      <c r="L118" s="777">
        <v>568.7034522421751</v>
      </c>
      <c r="M118" s="777">
        <v>827.66663138816557</v>
      </c>
      <c r="N118" s="777">
        <v>213.26379459081568</v>
      </c>
      <c r="O118" s="777">
        <v>304.6625637011652</v>
      </c>
      <c r="P118" s="777">
        <v>253.88546975097103</v>
      </c>
      <c r="Q118" s="777">
        <v>411.29446099657309</v>
      </c>
      <c r="R118" s="777">
        <v>380.82820462645651</v>
      </c>
      <c r="S118" s="777">
        <v>543.314905267078</v>
      </c>
      <c r="T118" s="777">
        <v>411.29446099657309</v>
      </c>
      <c r="U118" s="777">
        <v>589.01428982225275</v>
      </c>
      <c r="V118" s="777">
        <v>441.76071736668956</v>
      </c>
      <c r="W118" s="777">
        <v>634.71367437742754</v>
      </c>
      <c r="X118" s="777">
        <v>609.32512740233039</v>
      </c>
      <c r="Y118" s="777">
        <v>853.05517836326271</v>
      </c>
      <c r="Z118" s="777">
        <v>0</v>
      </c>
      <c r="AA118" s="777" t="s">
        <v>646</v>
      </c>
      <c r="AB118" s="777">
        <v>543.314905267078</v>
      </c>
      <c r="AC118" s="777" t="s">
        <v>647</v>
      </c>
      <c r="AD118" s="777">
        <v>1462.3803057655932</v>
      </c>
      <c r="AE118" s="777">
        <v>1081.5521011391365</v>
      </c>
      <c r="AF118" s="777">
        <v>0.64527134</v>
      </c>
      <c r="AG118" s="777">
        <v>0.63585523</v>
      </c>
      <c r="AH118" s="777">
        <v>0.58045405</v>
      </c>
      <c r="AI118" s="777">
        <v>0.48019237</v>
      </c>
      <c r="AJ118" s="777">
        <v>1635.0224251962534</v>
      </c>
      <c r="AK118" s="777">
        <v>115866.60800000001</v>
      </c>
      <c r="AL118" s="777">
        <v>115866.60800000001</v>
      </c>
      <c r="AM118" s="778">
        <v>0.0184</v>
      </c>
    </row>
    <row r="119" spans="1:39" ht="15" customHeight="1">
      <c r="A119" s="775">
        <v>876</v>
      </c>
      <c r="B119" s="776" t="s">
        <v>227</v>
      </c>
      <c r="C119" s="777">
        <v>3750</v>
      </c>
      <c r="D119" s="777">
        <v>4800</v>
      </c>
      <c r="E119" s="777">
        <v>5300</v>
      </c>
      <c r="F119" s="777">
        <v>5000</v>
      </c>
      <c r="G119" s="777">
        <v>2857</v>
      </c>
      <c r="H119" s="777">
        <v>4018</v>
      </c>
      <c r="I119" s="777">
        <v>4561</v>
      </c>
      <c r="J119" s="777">
        <v>450</v>
      </c>
      <c r="K119" s="777">
        <v>450</v>
      </c>
      <c r="L119" s="777">
        <v>560</v>
      </c>
      <c r="M119" s="777">
        <v>815</v>
      </c>
      <c r="N119" s="777">
        <v>210</v>
      </c>
      <c r="O119" s="777">
        <v>300</v>
      </c>
      <c r="P119" s="777">
        <v>250</v>
      </c>
      <c r="Q119" s="777">
        <v>405</v>
      </c>
      <c r="R119" s="777">
        <v>375</v>
      </c>
      <c r="S119" s="777">
        <v>535</v>
      </c>
      <c r="T119" s="777">
        <v>405</v>
      </c>
      <c r="U119" s="777">
        <v>580</v>
      </c>
      <c r="V119" s="777">
        <v>435</v>
      </c>
      <c r="W119" s="777">
        <v>625</v>
      </c>
      <c r="X119" s="777">
        <v>600</v>
      </c>
      <c r="Y119" s="777">
        <v>840</v>
      </c>
      <c r="Z119" s="777">
        <v>0</v>
      </c>
      <c r="AA119" s="777" t="s">
        <v>646</v>
      </c>
      <c r="AB119" s="777">
        <v>535</v>
      </c>
      <c r="AC119" s="777" t="s">
        <v>647</v>
      </c>
      <c r="AD119" s="777">
        <v>1440</v>
      </c>
      <c r="AE119" s="777">
        <v>1065</v>
      </c>
      <c r="AF119" s="777">
        <v>0.64527134</v>
      </c>
      <c r="AG119" s="777">
        <v>0.63585523</v>
      </c>
      <c r="AH119" s="777">
        <v>0.58045405</v>
      </c>
      <c r="AI119" s="777">
        <v>0.48019237</v>
      </c>
      <c r="AJ119" s="777">
        <v>1610</v>
      </c>
      <c r="AK119" s="777">
        <v>145864.1</v>
      </c>
      <c r="AL119" s="777">
        <v>145864.16</v>
      </c>
      <c r="AM119" s="778">
        <v>0.0184</v>
      </c>
    </row>
    <row r="120" spans="1:39" ht="15" customHeight="1">
      <c r="A120" s="775">
        <v>877</v>
      </c>
      <c r="B120" s="776" t="s">
        <v>318</v>
      </c>
      <c r="C120" s="777">
        <v>3750</v>
      </c>
      <c r="D120" s="777">
        <v>4800</v>
      </c>
      <c r="E120" s="777">
        <v>5300</v>
      </c>
      <c r="F120" s="777">
        <v>5000</v>
      </c>
      <c r="G120" s="777">
        <v>2867.34</v>
      </c>
      <c r="H120" s="777">
        <v>4032.55</v>
      </c>
      <c r="I120" s="777">
        <v>4577.51</v>
      </c>
      <c r="J120" s="777">
        <v>451.63</v>
      </c>
      <c r="K120" s="777">
        <v>451.63</v>
      </c>
      <c r="L120" s="777">
        <v>562.03</v>
      </c>
      <c r="M120" s="777">
        <v>817.95</v>
      </c>
      <c r="N120" s="777">
        <v>210.76</v>
      </c>
      <c r="O120" s="777">
        <v>301.09</v>
      </c>
      <c r="P120" s="777">
        <v>250.91</v>
      </c>
      <c r="Q120" s="777">
        <v>406.47</v>
      </c>
      <c r="R120" s="777">
        <v>376.36</v>
      </c>
      <c r="S120" s="777">
        <v>536.94</v>
      </c>
      <c r="T120" s="777">
        <v>406.47</v>
      </c>
      <c r="U120" s="777">
        <v>582.1</v>
      </c>
      <c r="V120" s="777">
        <v>436.57</v>
      </c>
      <c r="W120" s="777">
        <v>627.26</v>
      </c>
      <c r="X120" s="777">
        <v>602.17</v>
      </c>
      <c r="Y120" s="777">
        <v>843.04</v>
      </c>
      <c r="Z120" s="777" t="s">
        <v>352</v>
      </c>
      <c r="AA120" s="777" t="s">
        <v>646</v>
      </c>
      <c r="AB120" s="777">
        <v>536.94</v>
      </c>
      <c r="AC120" s="777" t="s">
        <v>647</v>
      </c>
      <c r="AD120" s="777">
        <v>1445.21</v>
      </c>
      <c r="AE120" s="777">
        <v>1068.86</v>
      </c>
      <c r="AF120" s="777">
        <v>0.64527134</v>
      </c>
      <c r="AG120" s="777">
        <v>0.63585523</v>
      </c>
      <c r="AH120" s="777">
        <v>0.58045405</v>
      </c>
      <c r="AI120" s="777">
        <v>0.48019237</v>
      </c>
      <c r="AJ120" s="777">
        <v>1615.83</v>
      </c>
      <c r="AK120" s="777">
        <v>129577.53</v>
      </c>
      <c r="AL120" s="777">
        <v>129577.53</v>
      </c>
      <c r="AM120" s="778">
        <v>0.0184</v>
      </c>
    </row>
    <row r="121" spans="1:39" ht="15" customHeight="1">
      <c r="A121" s="775">
        <v>878</v>
      </c>
      <c r="B121" s="776" t="s">
        <v>213</v>
      </c>
      <c r="C121" s="777">
        <v>3750</v>
      </c>
      <c r="D121" s="777">
        <v>4800</v>
      </c>
      <c r="E121" s="777">
        <v>5300</v>
      </c>
      <c r="F121" s="777">
        <v>5000</v>
      </c>
      <c r="G121" s="777">
        <v>2866.44</v>
      </c>
      <c r="H121" s="777">
        <v>4027.44</v>
      </c>
      <c r="I121" s="777">
        <v>4570.44</v>
      </c>
      <c r="J121" s="777">
        <v>450</v>
      </c>
      <c r="K121" s="777">
        <v>450</v>
      </c>
      <c r="L121" s="777">
        <v>560</v>
      </c>
      <c r="M121" s="777">
        <v>815</v>
      </c>
      <c r="N121" s="777">
        <v>210</v>
      </c>
      <c r="O121" s="777">
        <v>300</v>
      </c>
      <c r="P121" s="777">
        <v>250</v>
      </c>
      <c r="Q121" s="777">
        <v>405</v>
      </c>
      <c r="R121" s="777">
        <v>375</v>
      </c>
      <c r="S121" s="777">
        <v>535</v>
      </c>
      <c r="T121" s="777">
        <v>405</v>
      </c>
      <c r="U121" s="777">
        <v>580</v>
      </c>
      <c r="V121" s="777">
        <v>435</v>
      </c>
      <c r="W121" s="777">
        <v>625</v>
      </c>
      <c r="X121" s="777">
        <v>600</v>
      </c>
      <c r="Y121" s="777">
        <v>840</v>
      </c>
      <c r="Z121" s="777">
        <v>0</v>
      </c>
      <c r="AA121" s="777" t="s">
        <v>646</v>
      </c>
      <c r="AB121" s="777">
        <v>535</v>
      </c>
      <c r="AC121" s="777" t="s">
        <v>647</v>
      </c>
      <c r="AD121" s="777">
        <v>1440</v>
      </c>
      <c r="AE121" s="777">
        <v>1065</v>
      </c>
      <c r="AF121" s="777">
        <v>0.64527134</v>
      </c>
      <c r="AG121" s="777">
        <v>0.63585523</v>
      </c>
      <c r="AH121" s="777">
        <v>0.58045405</v>
      </c>
      <c r="AI121" s="777">
        <v>0.48019237</v>
      </c>
      <c r="AJ121" s="777">
        <v>1610</v>
      </c>
      <c r="AK121" s="777">
        <v>114400</v>
      </c>
      <c r="AL121" s="777">
        <v>114400</v>
      </c>
      <c r="AM121" s="778">
        <v>0.0184</v>
      </c>
    </row>
    <row r="122" spans="1:39" ht="15" customHeight="1">
      <c r="A122" s="775">
        <v>879</v>
      </c>
      <c r="B122" s="776" t="s">
        <v>276</v>
      </c>
      <c r="C122" s="777">
        <v>3750</v>
      </c>
      <c r="D122" s="777">
        <v>4800</v>
      </c>
      <c r="E122" s="777">
        <v>5300</v>
      </c>
      <c r="F122" s="777">
        <v>5000</v>
      </c>
      <c r="G122" s="777">
        <v>2859.31417</v>
      </c>
      <c r="H122" s="777">
        <v>4021.25458</v>
      </c>
      <c r="I122" s="777">
        <v>4564.69441</v>
      </c>
      <c r="J122" s="777">
        <v>450</v>
      </c>
      <c r="K122" s="777">
        <v>450</v>
      </c>
      <c r="L122" s="777">
        <v>560</v>
      </c>
      <c r="M122" s="777">
        <v>815</v>
      </c>
      <c r="N122" s="777">
        <v>210</v>
      </c>
      <c r="O122" s="777">
        <v>300</v>
      </c>
      <c r="P122" s="777">
        <v>250</v>
      </c>
      <c r="Q122" s="777">
        <v>405</v>
      </c>
      <c r="R122" s="777">
        <v>375</v>
      </c>
      <c r="S122" s="777">
        <v>535</v>
      </c>
      <c r="T122" s="777">
        <v>405</v>
      </c>
      <c r="U122" s="777">
        <v>580</v>
      </c>
      <c r="V122" s="777">
        <v>435</v>
      </c>
      <c r="W122" s="777">
        <v>625</v>
      </c>
      <c r="X122" s="777">
        <v>600</v>
      </c>
      <c r="Y122" s="777">
        <v>840</v>
      </c>
      <c r="Z122" s="777" t="s">
        <v>352</v>
      </c>
      <c r="AA122" s="777" t="s">
        <v>646</v>
      </c>
      <c r="AB122" s="777">
        <v>535</v>
      </c>
      <c r="AC122" s="777" t="s">
        <v>647</v>
      </c>
      <c r="AD122" s="777">
        <v>1440</v>
      </c>
      <c r="AE122" s="777">
        <v>1065</v>
      </c>
      <c r="AF122" s="777">
        <v>0.64527134</v>
      </c>
      <c r="AG122" s="777">
        <v>0.63585523</v>
      </c>
      <c r="AH122" s="777">
        <v>0.58045405</v>
      </c>
      <c r="AI122" s="777">
        <v>0.48019237</v>
      </c>
      <c r="AJ122" s="777">
        <v>1610</v>
      </c>
      <c r="AK122" s="777">
        <v>114400</v>
      </c>
      <c r="AL122" s="777">
        <v>114400</v>
      </c>
      <c r="AM122" s="778">
        <v>0.0184</v>
      </c>
    </row>
    <row r="123" spans="1:39" ht="15" customHeight="1">
      <c r="A123" s="775">
        <v>880</v>
      </c>
      <c r="B123" s="776" t="s">
        <v>311</v>
      </c>
      <c r="C123" s="777">
        <v>3750</v>
      </c>
      <c r="D123" s="777">
        <v>4800</v>
      </c>
      <c r="E123" s="777">
        <v>5300</v>
      </c>
      <c r="F123" s="777">
        <v>5000</v>
      </c>
      <c r="G123" s="777">
        <v>2838.43</v>
      </c>
      <c r="H123" s="777">
        <v>3991.88</v>
      </c>
      <c r="I123" s="777">
        <v>4531.35</v>
      </c>
      <c r="J123" s="777">
        <v>447.08</v>
      </c>
      <c r="K123" s="777">
        <v>447.08</v>
      </c>
      <c r="L123" s="777">
        <v>556.36</v>
      </c>
      <c r="M123" s="777">
        <v>809.7</v>
      </c>
      <c r="N123" s="777">
        <v>208.64</v>
      </c>
      <c r="O123" s="777">
        <v>298.05</v>
      </c>
      <c r="P123" s="777">
        <v>248.38</v>
      </c>
      <c r="Q123" s="777">
        <v>402.37</v>
      </c>
      <c r="R123" s="777">
        <v>372.56</v>
      </c>
      <c r="S123" s="777">
        <v>531.52</v>
      </c>
      <c r="T123" s="777">
        <v>402.37</v>
      </c>
      <c r="U123" s="777">
        <v>576.23</v>
      </c>
      <c r="V123" s="777">
        <v>432.17</v>
      </c>
      <c r="W123" s="777">
        <v>620.94</v>
      </c>
      <c r="X123" s="777">
        <v>596.1</v>
      </c>
      <c r="Y123" s="777">
        <v>834.54</v>
      </c>
      <c r="Z123" s="777">
        <v>0</v>
      </c>
      <c r="AA123" s="777" t="s">
        <v>646</v>
      </c>
      <c r="AB123" s="777">
        <v>531.52</v>
      </c>
      <c r="AC123" s="777" t="s">
        <v>647</v>
      </c>
      <c r="AD123" s="777">
        <v>1430.64</v>
      </c>
      <c r="AE123" s="777">
        <v>1058.08</v>
      </c>
      <c r="AF123" s="777">
        <v>0.64527134</v>
      </c>
      <c r="AG123" s="777">
        <v>0.63585523</v>
      </c>
      <c r="AH123" s="777">
        <v>0.58045405</v>
      </c>
      <c r="AI123" s="777">
        <v>0.48019237</v>
      </c>
      <c r="AJ123" s="777">
        <v>1599.54</v>
      </c>
      <c r="AK123" s="777">
        <v>114071.24</v>
      </c>
      <c r="AL123" s="777">
        <v>114071.24</v>
      </c>
      <c r="AM123" s="778">
        <v>0.0184</v>
      </c>
    </row>
    <row r="124" spans="1:39" ht="15" customHeight="1">
      <c r="A124" s="775">
        <v>881</v>
      </c>
      <c r="B124" s="776" t="s">
        <v>222</v>
      </c>
      <c r="C124" s="777">
        <v>3750</v>
      </c>
      <c r="D124" s="777">
        <v>4800</v>
      </c>
      <c r="E124" s="777">
        <v>5300</v>
      </c>
      <c r="F124" s="777">
        <v>5000</v>
      </c>
      <c r="G124" s="777">
        <v>3061.54</v>
      </c>
      <c r="H124" s="777">
        <v>4276.35</v>
      </c>
      <c r="I124" s="777">
        <v>5207.87</v>
      </c>
      <c r="J124" s="777">
        <v>436.99999999999994</v>
      </c>
      <c r="K124" s="777">
        <v>436.99999999999994</v>
      </c>
      <c r="L124" s="777">
        <v>0</v>
      </c>
      <c r="M124" s="777">
        <v>0</v>
      </c>
      <c r="N124" s="777">
        <v>238.36</v>
      </c>
      <c r="O124" s="777">
        <v>302.06</v>
      </c>
      <c r="P124" s="777">
        <v>291.33</v>
      </c>
      <c r="Q124" s="777">
        <v>369.19</v>
      </c>
      <c r="R124" s="777">
        <v>344.3</v>
      </c>
      <c r="S124" s="777">
        <v>436.31</v>
      </c>
      <c r="T124" s="777">
        <v>397.27</v>
      </c>
      <c r="U124" s="777">
        <v>503.44</v>
      </c>
      <c r="V124" s="777">
        <v>476.72</v>
      </c>
      <c r="W124" s="777">
        <v>604.12</v>
      </c>
      <c r="X124" s="777">
        <v>794.53</v>
      </c>
      <c r="Y124" s="777">
        <v>1006.87</v>
      </c>
      <c r="Z124" s="777" t="s">
        <v>352</v>
      </c>
      <c r="AA124" s="777" t="s">
        <v>648</v>
      </c>
      <c r="AB124" s="777">
        <v>565.89</v>
      </c>
      <c r="AC124" s="777" t="s">
        <v>649</v>
      </c>
      <c r="AD124" s="777">
        <v>190.35</v>
      </c>
      <c r="AE124" s="777">
        <v>482.97</v>
      </c>
      <c r="AF124" s="777">
        <v>0.64527134</v>
      </c>
      <c r="AG124" s="777">
        <v>0.63585523</v>
      </c>
      <c r="AH124" s="777">
        <v>0.58045405</v>
      </c>
      <c r="AI124" s="777">
        <v>0.48019237</v>
      </c>
      <c r="AJ124" s="777">
        <v>991.55</v>
      </c>
      <c r="AK124" s="777">
        <v>145000</v>
      </c>
      <c r="AL124" s="777">
        <v>140000</v>
      </c>
      <c r="AM124" s="778">
        <v>0.01</v>
      </c>
    </row>
    <row r="125" spans="1:39" ht="15" customHeight="1">
      <c r="A125" s="775">
        <v>882</v>
      </c>
      <c r="B125" s="776" t="s">
        <v>296</v>
      </c>
      <c r="C125" s="777">
        <v>3750</v>
      </c>
      <c r="D125" s="777">
        <v>4800</v>
      </c>
      <c r="E125" s="777">
        <v>5300</v>
      </c>
      <c r="F125" s="777">
        <v>5000</v>
      </c>
      <c r="G125" s="777">
        <v>2867.09</v>
      </c>
      <c r="H125" s="777">
        <v>4032.18</v>
      </c>
      <c r="I125" s="777">
        <v>4577.1</v>
      </c>
      <c r="J125" s="777">
        <v>451.59</v>
      </c>
      <c r="K125" s="777">
        <v>451.59</v>
      </c>
      <c r="L125" s="777">
        <v>561.98</v>
      </c>
      <c r="M125" s="777">
        <v>817.88</v>
      </c>
      <c r="N125" s="777">
        <v>210.74</v>
      </c>
      <c r="O125" s="777">
        <v>301.06</v>
      </c>
      <c r="P125" s="777">
        <v>250.88</v>
      </c>
      <c r="Q125" s="777">
        <v>406.43</v>
      </c>
      <c r="R125" s="777">
        <v>376.32</v>
      </c>
      <c r="S125" s="777">
        <v>536.89</v>
      </c>
      <c r="T125" s="777">
        <v>406.43</v>
      </c>
      <c r="U125" s="777">
        <v>582.05</v>
      </c>
      <c r="V125" s="777">
        <v>436.54</v>
      </c>
      <c r="W125" s="777">
        <v>627.21</v>
      </c>
      <c r="X125" s="777">
        <v>602.12</v>
      </c>
      <c r="Y125" s="777">
        <v>842.97</v>
      </c>
      <c r="Z125" s="777">
        <v>0</v>
      </c>
      <c r="AA125" s="777" t="s">
        <v>646</v>
      </c>
      <c r="AB125" s="777">
        <v>536.89</v>
      </c>
      <c r="AC125" s="777" t="s">
        <v>647</v>
      </c>
      <c r="AD125" s="777">
        <v>1445.08</v>
      </c>
      <c r="AE125" s="777">
        <v>1068.76</v>
      </c>
      <c r="AF125" s="777">
        <v>0.64527134</v>
      </c>
      <c r="AG125" s="777">
        <v>0.63585523</v>
      </c>
      <c r="AH125" s="777">
        <v>0.58045405</v>
      </c>
      <c r="AI125" s="777">
        <v>0.48019237</v>
      </c>
      <c r="AJ125" s="777">
        <v>1615.68</v>
      </c>
      <c r="AK125" s="777">
        <v>114803.83</v>
      </c>
      <c r="AL125" s="777">
        <v>114803.83</v>
      </c>
      <c r="AM125" s="778">
        <v>0.01718824275</v>
      </c>
    </row>
    <row r="126" spans="1:39" ht="15" customHeight="1">
      <c r="A126" s="775">
        <v>883</v>
      </c>
      <c r="B126" s="776" t="s">
        <v>310</v>
      </c>
      <c r="C126" s="777">
        <v>3750</v>
      </c>
      <c r="D126" s="777">
        <v>4800</v>
      </c>
      <c r="E126" s="777">
        <v>5300</v>
      </c>
      <c r="F126" s="777">
        <v>5000</v>
      </c>
      <c r="G126" s="777">
        <v>2917.71</v>
      </c>
      <c r="H126" s="777">
        <v>4103.38</v>
      </c>
      <c r="I126" s="777">
        <v>4657.92</v>
      </c>
      <c r="J126" s="777">
        <v>450</v>
      </c>
      <c r="K126" s="777">
        <v>450</v>
      </c>
      <c r="L126" s="777">
        <v>560</v>
      </c>
      <c r="M126" s="777">
        <v>815</v>
      </c>
      <c r="N126" s="777">
        <v>210</v>
      </c>
      <c r="O126" s="777">
        <v>300</v>
      </c>
      <c r="P126" s="777">
        <v>250</v>
      </c>
      <c r="Q126" s="777">
        <v>405</v>
      </c>
      <c r="R126" s="777">
        <v>375</v>
      </c>
      <c r="S126" s="777">
        <v>535</v>
      </c>
      <c r="T126" s="777">
        <v>405</v>
      </c>
      <c r="U126" s="777">
        <v>580</v>
      </c>
      <c r="V126" s="777">
        <v>435</v>
      </c>
      <c r="W126" s="777">
        <v>625</v>
      </c>
      <c r="X126" s="777">
        <v>600</v>
      </c>
      <c r="Y126" s="777">
        <v>840</v>
      </c>
      <c r="Z126" s="777">
        <v>0</v>
      </c>
      <c r="AA126" s="777" t="s">
        <v>646</v>
      </c>
      <c r="AB126" s="777">
        <v>535</v>
      </c>
      <c r="AC126" s="777" t="s">
        <v>647</v>
      </c>
      <c r="AD126" s="777">
        <v>1440</v>
      </c>
      <c r="AE126" s="777">
        <v>1065</v>
      </c>
      <c r="AF126" s="777">
        <v>0.64527134</v>
      </c>
      <c r="AG126" s="777">
        <v>0.63585523</v>
      </c>
      <c r="AH126" s="777">
        <v>0.58045405</v>
      </c>
      <c r="AI126" s="777">
        <v>0.48019237</v>
      </c>
      <c r="AJ126" s="777">
        <v>1610</v>
      </c>
      <c r="AK126" s="777">
        <v>114400</v>
      </c>
      <c r="AL126" s="777">
        <v>114400</v>
      </c>
      <c r="AM126" s="778">
        <v>0.0184</v>
      </c>
    </row>
    <row r="127" spans="1:39" ht="15" customHeight="1">
      <c r="A127" s="775">
        <v>884</v>
      </c>
      <c r="B127" s="776" t="s">
        <v>234</v>
      </c>
      <c r="C127" s="777">
        <v>3750</v>
      </c>
      <c r="D127" s="777">
        <v>4800</v>
      </c>
      <c r="E127" s="777">
        <v>5300</v>
      </c>
      <c r="F127" s="777">
        <v>5000</v>
      </c>
      <c r="G127" s="777">
        <v>2877</v>
      </c>
      <c r="H127" s="777">
        <v>4038</v>
      </c>
      <c r="I127" s="777">
        <v>4581</v>
      </c>
      <c r="J127" s="777">
        <v>450</v>
      </c>
      <c r="K127" s="777">
        <v>450</v>
      </c>
      <c r="L127" s="777">
        <v>560</v>
      </c>
      <c r="M127" s="777">
        <v>815</v>
      </c>
      <c r="N127" s="777">
        <v>210</v>
      </c>
      <c r="O127" s="777">
        <v>300</v>
      </c>
      <c r="P127" s="777">
        <v>250</v>
      </c>
      <c r="Q127" s="777">
        <v>405</v>
      </c>
      <c r="R127" s="777">
        <v>375</v>
      </c>
      <c r="S127" s="777">
        <v>535</v>
      </c>
      <c r="T127" s="777">
        <v>405</v>
      </c>
      <c r="U127" s="777">
        <v>580</v>
      </c>
      <c r="V127" s="777">
        <v>435</v>
      </c>
      <c r="W127" s="777">
        <v>625</v>
      </c>
      <c r="X127" s="777">
        <v>600</v>
      </c>
      <c r="Y127" s="777">
        <v>840</v>
      </c>
      <c r="Z127" s="777">
        <v>0</v>
      </c>
      <c r="AA127" s="777" t="s">
        <v>648</v>
      </c>
      <c r="AB127" s="777">
        <v>535</v>
      </c>
      <c r="AC127" s="777" t="s">
        <v>649</v>
      </c>
      <c r="AD127" s="777">
        <v>1440</v>
      </c>
      <c r="AE127" s="777">
        <v>1065</v>
      </c>
      <c r="AF127" s="777">
        <v>0.64527134</v>
      </c>
      <c r="AG127" s="777">
        <v>0.63585523</v>
      </c>
      <c r="AH127" s="777">
        <v>0.58045405</v>
      </c>
      <c r="AI127" s="777">
        <v>0.48019237</v>
      </c>
      <c r="AJ127" s="777">
        <v>1610</v>
      </c>
      <c r="AK127" s="777">
        <v>114400</v>
      </c>
      <c r="AL127" s="777">
        <v>114400</v>
      </c>
      <c r="AM127" s="778">
        <v>0.0184</v>
      </c>
    </row>
    <row r="128" spans="1:39" ht="15" customHeight="1">
      <c r="A128" s="775">
        <v>885</v>
      </c>
      <c r="B128" s="776" t="s">
        <v>329</v>
      </c>
      <c r="C128" s="777">
        <v>3750</v>
      </c>
      <c r="D128" s="777">
        <v>4800</v>
      </c>
      <c r="E128" s="777">
        <v>5300</v>
      </c>
      <c r="F128" s="777">
        <v>5000</v>
      </c>
      <c r="G128" s="777">
        <v>2857</v>
      </c>
      <c r="H128" s="777">
        <v>4018</v>
      </c>
      <c r="I128" s="777">
        <v>4561</v>
      </c>
      <c r="J128" s="777">
        <v>450</v>
      </c>
      <c r="K128" s="777">
        <v>450</v>
      </c>
      <c r="L128" s="777">
        <v>560</v>
      </c>
      <c r="M128" s="777">
        <v>815</v>
      </c>
      <c r="N128" s="777">
        <v>210</v>
      </c>
      <c r="O128" s="777">
        <v>300</v>
      </c>
      <c r="P128" s="777">
        <v>250</v>
      </c>
      <c r="Q128" s="777">
        <v>405</v>
      </c>
      <c r="R128" s="777">
        <v>375</v>
      </c>
      <c r="S128" s="777">
        <v>535</v>
      </c>
      <c r="T128" s="777">
        <v>405</v>
      </c>
      <c r="U128" s="777">
        <v>580</v>
      </c>
      <c r="V128" s="777">
        <v>435</v>
      </c>
      <c r="W128" s="777">
        <v>625</v>
      </c>
      <c r="X128" s="777">
        <v>600</v>
      </c>
      <c r="Y128" s="777">
        <v>840</v>
      </c>
      <c r="Z128" s="777">
        <v>0</v>
      </c>
      <c r="AA128" s="777" t="s">
        <v>646</v>
      </c>
      <c r="AB128" s="777">
        <v>535</v>
      </c>
      <c r="AC128" s="777" t="s">
        <v>647</v>
      </c>
      <c r="AD128" s="777">
        <v>1440</v>
      </c>
      <c r="AE128" s="777">
        <v>1065</v>
      </c>
      <c r="AF128" s="777">
        <v>0.64527134</v>
      </c>
      <c r="AG128" s="777">
        <v>0.63585523</v>
      </c>
      <c r="AH128" s="777">
        <v>0.58045405</v>
      </c>
      <c r="AI128" s="777">
        <v>0.48019237</v>
      </c>
      <c r="AJ128" s="777">
        <v>1610</v>
      </c>
      <c r="AK128" s="777">
        <v>114400</v>
      </c>
      <c r="AL128" s="777">
        <v>114400</v>
      </c>
      <c r="AM128" s="778">
        <v>0.0184</v>
      </c>
    </row>
    <row r="129" spans="1:39" ht="15" customHeight="1">
      <c r="A129" s="775">
        <v>886</v>
      </c>
      <c r="B129" s="776" t="s">
        <v>242</v>
      </c>
      <c r="C129" s="777">
        <v>3750</v>
      </c>
      <c r="D129" s="777">
        <v>4800</v>
      </c>
      <c r="E129" s="777">
        <v>5300</v>
      </c>
      <c r="F129" s="777">
        <v>5000</v>
      </c>
      <c r="G129" s="777">
        <v>2838.69394587622</v>
      </c>
      <c r="H129" s="777">
        <v>3992.25490883117</v>
      </c>
      <c r="I129" s="777">
        <v>4531.77566928296</v>
      </c>
      <c r="J129" s="777">
        <v>450.31499999999994</v>
      </c>
      <c r="K129" s="777">
        <v>450.31499999999994</v>
      </c>
      <c r="L129" s="777">
        <v>324.22679999999997</v>
      </c>
      <c r="M129" s="777">
        <v>591.4137</v>
      </c>
      <c r="N129" s="777">
        <v>210.147</v>
      </c>
      <c r="O129" s="777">
        <v>300.21</v>
      </c>
      <c r="P129" s="777">
        <v>250.17499999999998</v>
      </c>
      <c r="Q129" s="777">
        <v>405.28349999999995</v>
      </c>
      <c r="R129" s="777">
        <v>375.2625</v>
      </c>
      <c r="S129" s="777">
        <v>535.3745</v>
      </c>
      <c r="T129" s="777">
        <v>405.28349999999995</v>
      </c>
      <c r="U129" s="777">
        <v>580.406</v>
      </c>
      <c r="V129" s="777">
        <v>435.30449999999996</v>
      </c>
      <c r="W129" s="777">
        <v>625.4375</v>
      </c>
      <c r="X129" s="777">
        <v>600.42</v>
      </c>
      <c r="Y129" s="777">
        <v>840.588</v>
      </c>
      <c r="Z129" s="777" t="s">
        <v>352</v>
      </c>
      <c r="AA129" s="777" t="s">
        <v>646</v>
      </c>
      <c r="AB129" s="777">
        <v>535.3745</v>
      </c>
      <c r="AC129" s="777" t="s">
        <v>647</v>
      </c>
      <c r="AD129" s="777">
        <v>1441.0079999999998</v>
      </c>
      <c r="AE129" s="777">
        <v>1065.7455</v>
      </c>
      <c r="AF129" s="777">
        <v>0.64527134</v>
      </c>
      <c r="AG129" s="777">
        <v>0.63585523</v>
      </c>
      <c r="AH129" s="777">
        <v>0.58045405</v>
      </c>
      <c r="AI129" s="777">
        <v>0.48019237</v>
      </c>
      <c r="AJ129" s="777">
        <v>1611.127</v>
      </c>
      <c r="AK129" s="777">
        <v>120083.99999999999</v>
      </c>
      <c r="AL129" s="777">
        <v>114480.07999999999</v>
      </c>
      <c r="AM129" s="778">
        <v>0.005</v>
      </c>
    </row>
    <row r="130" spans="1:39" ht="15" customHeight="1">
      <c r="A130" s="775">
        <v>887</v>
      </c>
      <c r="B130" s="776" t="s">
        <v>257</v>
      </c>
      <c r="C130" s="777">
        <v>3750</v>
      </c>
      <c r="D130" s="777">
        <v>4800</v>
      </c>
      <c r="E130" s="777">
        <v>5300</v>
      </c>
      <c r="F130" s="777">
        <v>5000</v>
      </c>
      <c r="G130" s="777">
        <v>2857</v>
      </c>
      <c r="H130" s="777">
        <v>4018</v>
      </c>
      <c r="I130" s="777">
        <v>4561</v>
      </c>
      <c r="J130" s="777">
        <v>450</v>
      </c>
      <c r="K130" s="777">
        <v>450</v>
      </c>
      <c r="L130" s="777">
        <v>560</v>
      </c>
      <c r="M130" s="777">
        <v>560</v>
      </c>
      <c r="N130" s="777">
        <v>210</v>
      </c>
      <c r="O130" s="777">
        <v>300</v>
      </c>
      <c r="P130" s="777">
        <v>250</v>
      </c>
      <c r="Q130" s="777">
        <v>405</v>
      </c>
      <c r="R130" s="777">
        <v>375</v>
      </c>
      <c r="S130" s="777">
        <v>535</v>
      </c>
      <c r="T130" s="777">
        <v>405</v>
      </c>
      <c r="U130" s="777">
        <v>580</v>
      </c>
      <c r="V130" s="777">
        <v>435</v>
      </c>
      <c r="W130" s="777">
        <v>625</v>
      </c>
      <c r="X130" s="777">
        <v>600</v>
      </c>
      <c r="Y130" s="777">
        <v>840</v>
      </c>
      <c r="Z130" s="777">
        <v>0</v>
      </c>
      <c r="AA130" s="777" t="s">
        <v>646</v>
      </c>
      <c r="AB130" s="777">
        <v>535</v>
      </c>
      <c r="AC130" s="777" t="s">
        <v>647</v>
      </c>
      <c r="AD130" s="777">
        <v>1140</v>
      </c>
      <c r="AE130" s="777">
        <v>1065</v>
      </c>
      <c r="AF130" s="777">
        <v>0.64527134</v>
      </c>
      <c r="AG130" s="777">
        <v>0.63585523</v>
      </c>
      <c r="AH130" s="777">
        <v>0.58045405</v>
      </c>
      <c r="AI130" s="777">
        <v>0.48019237</v>
      </c>
      <c r="AJ130" s="777">
        <v>1610</v>
      </c>
      <c r="AK130" s="777">
        <v>76050</v>
      </c>
      <c r="AL130" s="777">
        <v>76050</v>
      </c>
      <c r="AM130" s="778">
        <v>0.005</v>
      </c>
    </row>
    <row r="131" spans="1:39" ht="15" customHeight="1">
      <c r="A131" s="775">
        <v>888</v>
      </c>
      <c r="B131" s="776" t="s">
        <v>248</v>
      </c>
      <c r="C131" s="777">
        <v>3750</v>
      </c>
      <c r="D131" s="777">
        <v>4800</v>
      </c>
      <c r="E131" s="777">
        <v>5300</v>
      </c>
      <c r="F131" s="777">
        <v>5000</v>
      </c>
      <c r="G131" s="777">
        <v>2857</v>
      </c>
      <c r="H131" s="777">
        <v>4018</v>
      </c>
      <c r="I131" s="777">
        <v>4561</v>
      </c>
      <c r="J131" s="777">
        <v>450</v>
      </c>
      <c r="K131" s="777">
        <v>450</v>
      </c>
      <c r="L131" s="777">
        <v>560</v>
      </c>
      <c r="M131" s="777">
        <v>815</v>
      </c>
      <c r="N131" s="777">
        <v>210</v>
      </c>
      <c r="O131" s="777">
        <v>300</v>
      </c>
      <c r="P131" s="777">
        <v>250</v>
      </c>
      <c r="Q131" s="777">
        <v>405</v>
      </c>
      <c r="R131" s="777">
        <v>375</v>
      </c>
      <c r="S131" s="777">
        <v>535</v>
      </c>
      <c r="T131" s="777">
        <v>405</v>
      </c>
      <c r="U131" s="777">
        <v>580</v>
      </c>
      <c r="V131" s="777">
        <v>435</v>
      </c>
      <c r="W131" s="777">
        <v>625</v>
      </c>
      <c r="X131" s="777">
        <v>600</v>
      </c>
      <c r="Y131" s="777">
        <v>840</v>
      </c>
      <c r="Z131" s="777">
        <v>0</v>
      </c>
      <c r="AA131" s="777" t="s">
        <v>646</v>
      </c>
      <c r="AB131" s="777">
        <v>535</v>
      </c>
      <c r="AC131" s="777" t="s">
        <v>647</v>
      </c>
      <c r="AD131" s="777">
        <v>1440</v>
      </c>
      <c r="AE131" s="777">
        <v>1065</v>
      </c>
      <c r="AF131" s="777">
        <v>0.64527134</v>
      </c>
      <c r="AG131" s="777">
        <v>0.63585523</v>
      </c>
      <c r="AH131" s="777">
        <v>0.58045405</v>
      </c>
      <c r="AI131" s="777">
        <v>0.48019237</v>
      </c>
      <c r="AJ131" s="777">
        <v>1610</v>
      </c>
      <c r="AK131" s="777">
        <v>114400</v>
      </c>
      <c r="AL131" s="777">
        <v>114400</v>
      </c>
      <c r="AM131" s="778">
        <v>0.0184</v>
      </c>
    </row>
    <row r="132" spans="1:39" ht="15" customHeight="1">
      <c r="A132" s="775">
        <v>889</v>
      </c>
      <c r="B132" s="776" t="s">
        <v>184</v>
      </c>
      <c r="C132" s="777">
        <v>3750</v>
      </c>
      <c r="D132" s="777">
        <v>4800</v>
      </c>
      <c r="E132" s="777">
        <v>5300</v>
      </c>
      <c r="F132" s="777">
        <v>5000</v>
      </c>
      <c r="G132" s="777">
        <v>2933.05</v>
      </c>
      <c r="H132" s="777">
        <v>4342.4</v>
      </c>
      <c r="I132" s="777">
        <v>4930.5</v>
      </c>
      <c r="J132" s="777">
        <v>450</v>
      </c>
      <c r="K132" s="777">
        <v>450</v>
      </c>
      <c r="L132" s="777">
        <v>560</v>
      </c>
      <c r="M132" s="777">
        <v>815</v>
      </c>
      <c r="N132" s="777">
        <v>210</v>
      </c>
      <c r="O132" s="777">
        <v>300</v>
      </c>
      <c r="P132" s="777">
        <v>250</v>
      </c>
      <c r="Q132" s="777">
        <v>405</v>
      </c>
      <c r="R132" s="777">
        <v>375</v>
      </c>
      <c r="S132" s="777">
        <v>535</v>
      </c>
      <c r="T132" s="777">
        <v>405</v>
      </c>
      <c r="U132" s="777">
        <v>580</v>
      </c>
      <c r="V132" s="777">
        <v>435</v>
      </c>
      <c r="W132" s="777">
        <v>625</v>
      </c>
      <c r="X132" s="777">
        <v>600</v>
      </c>
      <c r="Y132" s="777">
        <v>840</v>
      </c>
      <c r="Z132" s="777">
        <v>200</v>
      </c>
      <c r="AA132" s="777" t="s">
        <v>650</v>
      </c>
      <c r="AB132" s="777">
        <v>535</v>
      </c>
      <c r="AC132" s="777" t="s">
        <v>651</v>
      </c>
      <c r="AD132" s="777">
        <v>1440</v>
      </c>
      <c r="AE132" s="777">
        <v>1065</v>
      </c>
      <c r="AF132" s="777">
        <v>0.64527134</v>
      </c>
      <c r="AG132" s="777">
        <v>0.63585523</v>
      </c>
      <c r="AH132" s="777">
        <v>0.58045405</v>
      </c>
      <c r="AI132" s="777">
        <v>0.48019237</v>
      </c>
      <c r="AJ132" s="777">
        <v>1610</v>
      </c>
      <c r="AK132" s="777">
        <v>119400</v>
      </c>
      <c r="AL132" s="777">
        <v>119400</v>
      </c>
      <c r="AM132" s="778">
        <v>0.0184</v>
      </c>
    </row>
    <row r="133" spans="1:39" ht="15" customHeight="1">
      <c r="A133" s="775">
        <v>890</v>
      </c>
      <c r="B133" s="776" t="s">
        <v>186</v>
      </c>
      <c r="C133" s="777">
        <v>3750</v>
      </c>
      <c r="D133" s="777">
        <v>4800</v>
      </c>
      <c r="E133" s="777">
        <v>5300</v>
      </c>
      <c r="F133" s="777">
        <v>5000</v>
      </c>
      <c r="G133" s="777">
        <v>2857</v>
      </c>
      <c r="H133" s="777">
        <v>4018</v>
      </c>
      <c r="I133" s="777">
        <v>4561</v>
      </c>
      <c r="J133" s="777">
        <v>450</v>
      </c>
      <c r="K133" s="777">
        <v>450</v>
      </c>
      <c r="L133" s="777">
        <v>560</v>
      </c>
      <c r="M133" s="777">
        <v>815</v>
      </c>
      <c r="N133" s="777">
        <v>210</v>
      </c>
      <c r="O133" s="777">
        <v>300</v>
      </c>
      <c r="P133" s="777">
        <v>250</v>
      </c>
      <c r="Q133" s="777">
        <v>405</v>
      </c>
      <c r="R133" s="777">
        <v>375</v>
      </c>
      <c r="S133" s="777">
        <v>535</v>
      </c>
      <c r="T133" s="777">
        <v>405</v>
      </c>
      <c r="U133" s="777">
        <v>580</v>
      </c>
      <c r="V133" s="777">
        <v>435</v>
      </c>
      <c r="W133" s="777">
        <v>625</v>
      </c>
      <c r="X133" s="777">
        <v>600</v>
      </c>
      <c r="Y133" s="777">
        <v>840</v>
      </c>
      <c r="Z133" s="777">
        <v>0</v>
      </c>
      <c r="AA133" s="777" t="s">
        <v>646</v>
      </c>
      <c r="AB133" s="777">
        <v>535</v>
      </c>
      <c r="AC133" s="777" t="s">
        <v>647</v>
      </c>
      <c r="AD133" s="777">
        <v>1440</v>
      </c>
      <c r="AE133" s="777">
        <v>1065</v>
      </c>
      <c r="AF133" s="777">
        <v>0.64527134</v>
      </c>
      <c r="AG133" s="777">
        <v>0.63585523</v>
      </c>
      <c r="AH133" s="777">
        <v>0.58045405</v>
      </c>
      <c r="AI133" s="777">
        <v>0.48019237</v>
      </c>
      <c r="AJ133" s="777">
        <v>1610</v>
      </c>
      <c r="AK133" s="777">
        <v>114400</v>
      </c>
      <c r="AL133" s="777">
        <v>114400</v>
      </c>
      <c r="AM133" s="778">
        <v>0.0184</v>
      </c>
    </row>
    <row r="134" spans="1:39" ht="15" customHeight="1">
      <c r="A134" s="775">
        <v>891</v>
      </c>
      <c r="B134" s="776" t="s">
        <v>272</v>
      </c>
      <c r="C134" s="777">
        <v>3750</v>
      </c>
      <c r="D134" s="777">
        <v>4800</v>
      </c>
      <c r="E134" s="777">
        <v>5300</v>
      </c>
      <c r="F134" s="777">
        <v>5000</v>
      </c>
      <c r="G134" s="777">
        <v>2864.8853200000003</v>
      </c>
      <c r="H134" s="777">
        <v>4029.0896800000005</v>
      </c>
      <c r="I134" s="777">
        <v>4573.5883600000006</v>
      </c>
      <c r="J134" s="777">
        <v>451.242</v>
      </c>
      <c r="K134" s="777">
        <v>451.242</v>
      </c>
      <c r="L134" s="777">
        <v>561.5456</v>
      </c>
      <c r="M134" s="777">
        <v>817.2494</v>
      </c>
      <c r="N134" s="777">
        <v>210.57960000000003</v>
      </c>
      <c r="O134" s="777">
        <v>300.82800000000003</v>
      </c>
      <c r="P134" s="777">
        <v>250.69000000000003</v>
      </c>
      <c r="Q134" s="777">
        <v>406.11780000000005</v>
      </c>
      <c r="R134" s="777">
        <v>376.035</v>
      </c>
      <c r="S134" s="777">
        <v>536.47660000000008</v>
      </c>
      <c r="T134" s="777">
        <v>406.11780000000005</v>
      </c>
      <c r="U134" s="777">
        <v>581.6008</v>
      </c>
      <c r="V134" s="777">
        <v>436.20060000000007</v>
      </c>
      <c r="W134" s="777">
        <v>626.725</v>
      </c>
      <c r="X134" s="777">
        <v>601.65600000000006</v>
      </c>
      <c r="Y134" s="777">
        <v>842.31840000000011</v>
      </c>
      <c r="Z134" s="777">
        <v>0</v>
      </c>
      <c r="AA134" s="777" t="s">
        <v>646</v>
      </c>
      <c r="AB134" s="777">
        <v>536.47660000000008</v>
      </c>
      <c r="AC134" s="777" t="s">
        <v>647</v>
      </c>
      <c r="AD134" s="777">
        <v>1443.9744</v>
      </c>
      <c r="AE134" s="777">
        <v>1067.9394000000002</v>
      </c>
      <c r="AF134" s="777">
        <v>0.64527134</v>
      </c>
      <c r="AG134" s="777">
        <v>0.63585523</v>
      </c>
      <c r="AH134" s="777">
        <v>0.58045405</v>
      </c>
      <c r="AI134" s="777">
        <v>0.48019237</v>
      </c>
      <c r="AJ134" s="777">
        <v>1614.4436</v>
      </c>
      <c r="AK134" s="777">
        <v>114715.744</v>
      </c>
      <c r="AL134" s="777">
        <v>114715.744</v>
      </c>
      <c r="AM134" s="778">
        <v>0.0184</v>
      </c>
    </row>
    <row r="135" spans="1:39" ht="15" customHeight="1">
      <c r="A135" s="775">
        <v>892</v>
      </c>
      <c r="B135" s="776" t="s">
        <v>271</v>
      </c>
      <c r="C135" s="777">
        <v>3750</v>
      </c>
      <c r="D135" s="777">
        <v>4800</v>
      </c>
      <c r="E135" s="777">
        <v>5300</v>
      </c>
      <c r="F135" s="777">
        <v>5000</v>
      </c>
      <c r="G135" s="777">
        <v>2864.8853200000003</v>
      </c>
      <c r="H135" s="777">
        <v>4029.0896800000005</v>
      </c>
      <c r="I135" s="777">
        <v>4573.5883600000006</v>
      </c>
      <c r="J135" s="777">
        <v>451.242</v>
      </c>
      <c r="K135" s="777">
        <v>451.242</v>
      </c>
      <c r="L135" s="777">
        <v>561.5456</v>
      </c>
      <c r="M135" s="777">
        <v>817.2494</v>
      </c>
      <c r="N135" s="777">
        <v>210.57960000000003</v>
      </c>
      <c r="O135" s="777">
        <v>300.82800000000003</v>
      </c>
      <c r="P135" s="777">
        <v>250.69000000000003</v>
      </c>
      <c r="Q135" s="777">
        <v>406.11780000000005</v>
      </c>
      <c r="R135" s="777">
        <v>376.035</v>
      </c>
      <c r="S135" s="777">
        <v>536.47660000000008</v>
      </c>
      <c r="T135" s="777">
        <v>406.11780000000005</v>
      </c>
      <c r="U135" s="777">
        <v>581.6008</v>
      </c>
      <c r="V135" s="777">
        <v>436.20060000000007</v>
      </c>
      <c r="W135" s="777">
        <v>626.725</v>
      </c>
      <c r="X135" s="777">
        <v>601.65600000000006</v>
      </c>
      <c r="Y135" s="777">
        <v>842.31840000000011</v>
      </c>
      <c r="Z135" s="777" t="s">
        <v>352</v>
      </c>
      <c r="AA135" s="777" t="s">
        <v>646</v>
      </c>
      <c r="AB135" s="777">
        <v>536.47660000000008</v>
      </c>
      <c r="AC135" s="777" t="s">
        <v>647</v>
      </c>
      <c r="AD135" s="777">
        <v>1443.9744</v>
      </c>
      <c r="AE135" s="777">
        <v>1067.94</v>
      </c>
      <c r="AF135" s="777">
        <v>0.64527134</v>
      </c>
      <c r="AG135" s="777">
        <v>0.63585523</v>
      </c>
      <c r="AH135" s="777">
        <v>0.58045405</v>
      </c>
      <c r="AI135" s="777">
        <v>0.48019237</v>
      </c>
      <c r="AJ135" s="777">
        <v>1614.44</v>
      </c>
      <c r="AK135" s="777">
        <v>114715.744</v>
      </c>
      <c r="AL135" s="777">
        <v>114715.744</v>
      </c>
      <c r="AM135" s="778">
        <v>0.0184</v>
      </c>
    </row>
    <row r="136" spans="1:39" ht="15" customHeight="1">
      <c r="A136" s="775">
        <v>893</v>
      </c>
      <c r="B136" s="776" t="s">
        <v>289</v>
      </c>
      <c r="C136" s="533">
        <v>3750</v>
      </c>
      <c r="D136" s="533">
        <v>4800</v>
      </c>
      <c r="E136" s="533">
        <v>5300</v>
      </c>
      <c r="F136" s="533">
        <v>5000</v>
      </c>
      <c r="G136" s="533">
        <v>2857</v>
      </c>
      <c r="H136" s="533">
        <v>4018</v>
      </c>
      <c r="I136" s="533">
        <v>4561</v>
      </c>
      <c r="J136" s="533">
        <v>450</v>
      </c>
      <c r="K136" s="533">
        <v>450</v>
      </c>
      <c r="L136" s="533">
        <v>560</v>
      </c>
      <c r="M136" s="533">
        <v>815</v>
      </c>
      <c r="N136" s="533">
        <v>210</v>
      </c>
      <c r="O136" s="533">
        <v>300</v>
      </c>
      <c r="P136" s="533">
        <v>250</v>
      </c>
      <c r="Q136" s="533">
        <v>405</v>
      </c>
      <c r="R136" s="533">
        <v>375</v>
      </c>
      <c r="S136" s="533">
        <v>535</v>
      </c>
      <c r="T136" s="533">
        <v>405</v>
      </c>
      <c r="U136" s="533">
        <v>580</v>
      </c>
      <c r="V136" s="533">
        <v>435</v>
      </c>
      <c r="W136" s="533">
        <v>625</v>
      </c>
      <c r="X136" s="533">
        <v>600</v>
      </c>
      <c r="Y136" s="533">
        <v>840</v>
      </c>
      <c r="Z136" s="533" t="s">
        <v>352</v>
      </c>
      <c r="AA136" s="533" t="s">
        <v>646</v>
      </c>
      <c r="AB136" s="533">
        <v>535</v>
      </c>
      <c r="AC136" s="533" t="s">
        <v>647</v>
      </c>
      <c r="AD136" s="533">
        <v>1440</v>
      </c>
      <c r="AE136" s="533">
        <v>1065</v>
      </c>
      <c r="AF136" s="533">
        <v>0.64527134</v>
      </c>
      <c r="AG136" s="533">
        <v>0.63585523</v>
      </c>
      <c r="AH136" s="533">
        <v>0.58045405</v>
      </c>
      <c r="AI136" s="533">
        <v>0.48019237</v>
      </c>
      <c r="AJ136" s="533">
        <v>1610</v>
      </c>
      <c r="AK136" s="533">
        <v>114400</v>
      </c>
      <c r="AL136" s="533">
        <v>114400</v>
      </c>
      <c r="AM136" s="779">
        <v>0.0184</v>
      </c>
    </row>
    <row r="137" spans="1:39" ht="15" customHeight="1">
      <c r="A137" s="775">
        <v>894</v>
      </c>
      <c r="B137" s="776" t="s">
        <v>309</v>
      </c>
      <c r="C137" s="777">
        <v>3750</v>
      </c>
      <c r="D137" s="777">
        <v>4800</v>
      </c>
      <c r="E137" s="777">
        <v>5300</v>
      </c>
      <c r="F137" s="777">
        <v>5000</v>
      </c>
      <c r="G137" s="777">
        <v>2865.4034</v>
      </c>
      <c r="H137" s="777">
        <v>4029.9033</v>
      </c>
      <c r="I137" s="777">
        <v>4574.33</v>
      </c>
      <c r="J137" s="777">
        <v>451.301</v>
      </c>
      <c r="K137" s="777">
        <v>451.301</v>
      </c>
      <c r="L137" s="777">
        <v>561.6191</v>
      </c>
      <c r="M137" s="777">
        <v>818.8387</v>
      </c>
      <c r="N137" s="777">
        <v>210.6071</v>
      </c>
      <c r="O137" s="777">
        <v>300.8674</v>
      </c>
      <c r="P137" s="777">
        <v>250.7228</v>
      </c>
      <c r="Q137" s="777">
        <v>406.3142</v>
      </c>
      <c r="R137" s="777">
        <v>376.2275</v>
      </c>
      <c r="S137" s="777">
        <v>536.6901</v>
      </c>
      <c r="T137" s="777">
        <v>406.3142</v>
      </c>
      <c r="U137" s="777">
        <v>581.6769</v>
      </c>
      <c r="V137" s="777">
        <v>436.4009</v>
      </c>
      <c r="W137" s="777">
        <v>626.9503</v>
      </c>
      <c r="X137" s="777">
        <v>601.7347</v>
      </c>
      <c r="Y137" s="777">
        <v>842.4286</v>
      </c>
      <c r="Z137" s="777">
        <v>0</v>
      </c>
      <c r="AA137" s="777" t="s">
        <v>646</v>
      </c>
      <c r="AB137" s="777">
        <v>537.1999</v>
      </c>
      <c r="AC137" s="777" t="s">
        <v>647</v>
      </c>
      <c r="AD137" s="777">
        <v>1444.7026</v>
      </c>
      <c r="AE137" s="777">
        <v>1068.2224</v>
      </c>
      <c r="AF137" s="777">
        <v>0.64527134</v>
      </c>
      <c r="AG137" s="777">
        <v>0.63585523</v>
      </c>
      <c r="AH137" s="777">
        <v>0.58045405</v>
      </c>
      <c r="AI137" s="777">
        <v>0.48019237</v>
      </c>
      <c r="AJ137" s="777">
        <v>1616.8152</v>
      </c>
      <c r="AK137" s="777">
        <v>114400</v>
      </c>
      <c r="AL137" s="777">
        <v>114400</v>
      </c>
      <c r="AM137" s="778">
        <v>0.0184</v>
      </c>
    </row>
    <row r="138" spans="1:39" ht="15" customHeight="1">
      <c r="A138" s="775">
        <v>895</v>
      </c>
      <c r="B138" s="776" t="s">
        <v>202</v>
      </c>
      <c r="C138" s="777">
        <v>3843.15</v>
      </c>
      <c r="D138" s="777">
        <v>4800</v>
      </c>
      <c r="E138" s="777">
        <v>5300</v>
      </c>
      <c r="F138" s="777">
        <v>5000</v>
      </c>
      <c r="G138" s="777">
        <v>2867.34</v>
      </c>
      <c r="H138" s="777">
        <v>4032.55</v>
      </c>
      <c r="I138" s="777">
        <v>4577.51</v>
      </c>
      <c r="J138" s="777">
        <v>451.63</v>
      </c>
      <c r="K138" s="777">
        <v>451.63</v>
      </c>
      <c r="L138" s="777">
        <v>562.03</v>
      </c>
      <c r="M138" s="777">
        <v>817.95</v>
      </c>
      <c r="N138" s="777">
        <v>210.76</v>
      </c>
      <c r="O138" s="777">
        <v>301.09</v>
      </c>
      <c r="P138" s="777">
        <v>250.91</v>
      </c>
      <c r="Q138" s="777">
        <v>406.47</v>
      </c>
      <c r="R138" s="777">
        <v>376.36</v>
      </c>
      <c r="S138" s="777">
        <v>536.94</v>
      </c>
      <c r="T138" s="777">
        <v>406.47</v>
      </c>
      <c r="U138" s="777">
        <v>582.1</v>
      </c>
      <c r="V138" s="777">
        <v>436.57</v>
      </c>
      <c r="W138" s="777">
        <v>627.26</v>
      </c>
      <c r="X138" s="777">
        <v>602.17</v>
      </c>
      <c r="Y138" s="777">
        <v>843.04</v>
      </c>
      <c r="Z138" s="777">
        <v>0</v>
      </c>
      <c r="AA138" s="777" t="s">
        <v>646</v>
      </c>
      <c r="AB138" s="777">
        <v>536.94</v>
      </c>
      <c r="AC138" s="777" t="s">
        <v>647</v>
      </c>
      <c r="AD138" s="777">
        <v>1445.21</v>
      </c>
      <c r="AE138" s="777">
        <v>1207.29</v>
      </c>
      <c r="AF138" s="777">
        <v>0.64527134</v>
      </c>
      <c r="AG138" s="777">
        <v>0.63585523</v>
      </c>
      <c r="AH138" s="777">
        <v>0.58045405</v>
      </c>
      <c r="AI138" s="777">
        <v>0.48019237</v>
      </c>
      <c r="AJ138" s="777">
        <v>1825.0990781767491</v>
      </c>
      <c r="AK138" s="777">
        <v>114814.13</v>
      </c>
      <c r="AL138" s="777">
        <v>114814.13</v>
      </c>
      <c r="AM138" s="778">
        <v>0.005</v>
      </c>
    </row>
    <row r="139" spans="1:39" ht="15" customHeight="1">
      <c r="A139" s="775">
        <v>896</v>
      </c>
      <c r="B139" s="776" t="s">
        <v>652</v>
      </c>
      <c r="C139" s="777">
        <v>3750</v>
      </c>
      <c r="D139" s="777">
        <v>4800</v>
      </c>
      <c r="E139" s="777">
        <v>5300</v>
      </c>
      <c r="F139" s="777">
        <v>5000</v>
      </c>
      <c r="G139" s="777">
        <v>2950.7358</v>
      </c>
      <c r="H139" s="777">
        <v>4101.81</v>
      </c>
      <c r="I139" s="777">
        <v>4646.9</v>
      </c>
      <c r="J139" s="777">
        <v>451.62899999999996</v>
      </c>
      <c r="K139" s="777">
        <v>451.62899999999996</v>
      </c>
      <c r="L139" s="777">
        <v>562.0272</v>
      </c>
      <c r="M139" s="777">
        <v>817.9503</v>
      </c>
      <c r="N139" s="777">
        <v>210.7602</v>
      </c>
      <c r="O139" s="777">
        <v>301.086</v>
      </c>
      <c r="P139" s="777">
        <v>250.905</v>
      </c>
      <c r="Q139" s="777">
        <v>406.4661</v>
      </c>
      <c r="R139" s="777">
        <v>376.35749999999996</v>
      </c>
      <c r="S139" s="777">
        <v>536.9367</v>
      </c>
      <c r="T139" s="777">
        <v>406.4661</v>
      </c>
      <c r="U139" s="777">
        <v>582.0996</v>
      </c>
      <c r="V139" s="777">
        <v>436.5747</v>
      </c>
      <c r="W139" s="777">
        <v>627.26249999999993</v>
      </c>
      <c r="X139" s="777">
        <v>602.172</v>
      </c>
      <c r="Y139" s="777">
        <v>843.0408</v>
      </c>
      <c r="Z139" s="777">
        <v>0</v>
      </c>
      <c r="AA139" s="777" t="s">
        <v>646</v>
      </c>
      <c r="AB139" s="777">
        <v>536.9367</v>
      </c>
      <c r="AC139" s="777" t="s">
        <v>647</v>
      </c>
      <c r="AD139" s="777">
        <v>1445.21</v>
      </c>
      <c r="AE139" s="777">
        <v>1068.8553</v>
      </c>
      <c r="AF139" s="777">
        <v>0.64527134</v>
      </c>
      <c r="AG139" s="777">
        <v>0.63585523</v>
      </c>
      <c r="AH139" s="777">
        <v>0.58045405</v>
      </c>
      <c r="AI139" s="777">
        <v>0.48019237</v>
      </c>
      <c r="AJ139" s="777">
        <v>1615.83</v>
      </c>
      <c r="AK139" s="777">
        <v>114814.128</v>
      </c>
      <c r="AL139" s="777">
        <v>114814.128</v>
      </c>
      <c r="AM139" s="778">
        <v>0.005</v>
      </c>
    </row>
    <row r="140" spans="1:39" ht="15" customHeight="1">
      <c r="A140" s="775">
        <v>908</v>
      </c>
      <c r="B140" s="776" t="s">
        <v>204</v>
      </c>
      <c r="C140" s="777">
        <v>3750</v>
      </c>
      <c r="D140" s="777">
        <v>4800</v>
      </c>
      <c r="E140" s="777">
        <v>5300</v>
      </c>
      <c r="F140" s="777">
        <v>5000</v>
      </c>
      <c r="G140" s="777">
        <v>2857</v>
      </c>
      <c r="H140" s="777">
        <v>4018</v>
      </c>
      <c r="I140" s="777">
        <v>4561</v>
      </c>
      <c r="J140" s="777">
        <v>450</v>
      </c>
      <c r="K140" s="777">
        <v>450</v>
      </c>
      <c r="L140" s="777">
        <v>560</v>
      </c>
      <c r="M140" s="777">
        <v>815</v>
      </c>
      <c r="N140" s="777">
        <v>210</v>
      </c>
      <c r="O140" s="777">
        <v>300</v>
      </c>
      <c r="P140" s="777">
        <v>250</v>
      </c>
      <c r="Q140" s="777">
        <v>405</v>
      </c>
      <c r="R140" s="777">
        <v>375</v>
      </c>
      <c r="S140" s="777">
        <v>535</v>
      </c>
      <c r="T140" s="777">
        <v>405</v>
      </c>
      <c r="U140" s="777">
        <v>580</v>
      </c>
      <c r="V140" s="777">
        <v>435</v>
      </c>
      <c r="W140" s="777">
        <v>625</v>
      </c>
      <c r="X140" s="777">
        <v>600</v>
      </c>
      <c r="Y140" s="777">
        <v>840</v>
      </c>
      <c r="Z140" s="777" t="s">
        <v>352</v>
      </c>
      <c r="AA140" s="777" t="s">
        <v>646</v>
      </c>
      <c r="AB140" s="777">
        <v>535</v>
      </c>
      <c r="AC140" s="777" t="s">
        <v>647</v>
      </c>
      <c r="AD140" s="777">
        <v>1440</v>
      </c>
      <c r="AE140" s="777">
        <v>1065</v>
      </c>
      <c r="AF140" s="777">
        <v>0.64527134</v>
      </c>
      <c r="AG140" s="777">
        <v>0.63585523</v>
      </c>
      <c r="AH140" s="777">
        <v>0.58045405</v>
      </c>
      <c r="AI140" s="777">
        <v>0.48019237</v>
      </c>
      <c r="AJ140" s="777">
        <v>1610</v>
      </c>
      <c r="AK140" s="777">
        <v>114400</v>
      </c>
      <c r="AL140" s="777">
        <v>114400</v>
      </c>
      <c r="AM140" s="778">
        <v>0.0184</v>
      </c>
    </row>
    <row r="141" spans="1:39" ht="15" customHeight="1">
      <c r="A141" s="775">
        <v>909</v>
      </c>
      <c r="B141" s="776" t="s">
        <v>207</v>
      </c>
      <c r="C141" s="777">
        <v>3750</v>
      </c>
      <c r="D141" s="777">
        <v>4800</v>
      </c>
      <c r="E141" s="777">
        <v>5300</v>
      </c>
      <c r="F141" s="777">
        <v>5000</v>
      </c>
      <c r="G141" s="777">
        <v>2857</v>
      </c>
      <c r="H141" s="777">
        <v>4018</v>
      </c>
      <c r="I141" s="777">
        <v>4561</v>
      </c>
      <c r="J141" s="777">
        <v>450</v>
      </c>
      <c r="K141" s="777">
        <v>450</v>
      </c>
      <c r="L141" s="777">
        <v>560</v>
      </c>
      <c r="M141" s="777">
        <v>815</v>
      </c>
      <c r="N141" s="777">
        <v>210</v>
      </c>
      <c r="O141" s="777">
        <v>300</v>
      </c>
      <c r="P141" s="777">
        <v>250</v>
      </c>
      <c r="Q141" s="777">
        <v>405</v>
      </c>
      <c r="R141" s="777">
        <v>375</v>
      </c>
      <c r="S141" s="777">
        <v>535</v>
      </c>
      <c r="T141" s="777">
        <v>405</v>
      </c>
      <c r="U141" s="777">
        <v>580</v>
      </c>
      <c r="V141" s="777">
        <v>435</v>
      </c>
      <c r="W141" s="777">
        <v>625</v>
      </c>
      <c r="X141" s="777">
        <v>600</v>
      </c>
      <c r="Y141" s="777">
        <v>840</v>
      </c>
      <c r="Z141" s="777" t="s">
        <v>352</v>
      </c>
      <c r="AA141" s="777" t="s">
        <v>646</v>
      </c>
      <c r="AB141" s="777">
        <v>535</v>
      </c>
      <c r="AC141" s="777" t="s">
        <v>647</v>
      </c>
      <c r="AD141" s="777">
        <v>1440</v>
      </c>
      <c r="AE141" s="777">
        <v>1065</v>
      </c>
      <c r="AF141" s="777">
        <v>0.64527134</v>
      </c>
      <c r="AG141" s="777">
        <v>0.63585523</v>
      </c>
      <c r="AH141" s="777">
        <v>0.58045405</v>
      </c>
      <c r="AI141" s="777">
        <v>0.48019237</v>
      </c>
      <c r="AJ141" s="777">
        <v>1610</v>
      </c>
      <c r="AK141" s="777">
        <v>114400</v>
      </c>
      <c r="AL141" s="777">
        <v>114400</v>
      </c>
      <c r="AM141" s="778">
        <v>0.0184</v>
      </c>
    </row>
    <row r="142" spans="1:39" ht="15" customHeight="1">
      <c r="A142" s="775">
        <v>916</v>
      </c>
      <c r="B142" s="776" t="s">
        <v>224</v>
      </c>
      <c r="C142" s="777">
        <v>3750</v>
      </c>
      <c r="D142" s="777">
        <v>4800</v>
      </c>
      <c r="E142" s="777">
        <v>5300</v>
      </c>
      <c r="F142" s="777">
        <v>5000</v>
      </c>
      <c r="G142" s="777">
        <v>2874.9705299999996</v>
      </c>
      <c r="H142" s="777">
        <v>4043.2732199999996</v>
      </c>
      <c r="I142" s="777">
        <v>4589.68869</v>
      </c>
      <c r="J142" s="777">
        <v>452.8305</v>
      </c>
      <c r="K142" s="777">
        <v>452.8305</v>
      </c>
      <c r="L142" s="777">
        <v>563.5224</v>
      </c>
      <c r="M142" s="777">
        <v>820.12634999999989</v>
      </c>
      <c r="N142" s="777">
        <v>211.3209</v>
      </c>
      <c r="O142" s="777">
        <v>301.88699999999994</v>
      </c>
      <c r="P142" s="777">
        <v>251.5725</v>
      </c>
      <c r="Q142" s="777">
        <v>407.54744999999997</v>
      </c>
      <c r="R142" s="777">
        <v>377.35875</v>
      </c>
      <c r="S142" s="777">
        <v>538.36515</v>
      </c>
      <c r="T142" s="777">
        <v>407.54744999999997</v>
      </c>
      <c r="U142" s="777">
        <v>583.6482</v>
      </c>
      <c r="V142" s="777">
        <v>437.73614999999995</v>
      </c>
      <c r="W142" s="777">
        <v>628.93125</v>
      </c>
      <c r="X142" s="777">
        <v>603.77399999999989</v>
      </c>
      <c r="Y142" s="777">
        <v>845.2836</v>
      </c>
      <c r="Z142" s="777" t="s">
        <v>352</v>
      </c>
      <c r="AA142" s="777" t="s">
        <v>646</v>
      </c>
      <c r="AB142" s="777">
        <v>538.36515</v>
      </c>
      <c r="AC142" s="777" t="s">
        <v>647</v>
      </c>
      <c r="AD142" s="777">
        <v>1449.0575999999999</v>
      </c>
      <c r="AE142" s="777">
        <v>1071.69885</v>
      </c>
      <c r="AF142" s="777">
        <v>0.64527134</v>
      </c>
      <c r="AG142" s="777">
        <v>0.63585523</v>
      </c>
      <c r="AH142" s="777">
        <v>0.58045405</v>
      </c>
      <c r="AI142" s="777">
        <v>0.48019237</v>
      </c>
      <c r="AJ142" s="777">
        <v>1620.1268999999998</v>
      </c>
      <c r="AK142" s="777">
        <v>115119.57599999999</v>
      </c>
      <c r="AL142" s="777">
        <v>115119.57599999999</v>
      </c>
      <c r="AM142" s="778">
        <v>0.0184</v>
      </c>
    </row>
    <row r="143" spans="1:39" ht="15" customHeight="1">
      <c r="A143" s="775">
        <v>919</v>
      </c>
      <c r="B143" s="776" t="s">
        <v>235</v>
      </c>
      <c r="C143" s="777">
        <v>3750</v>
      </c>
      <c r="D143" s="777">
        <v>4800</v>
      </c>
      <c r="E143" s="777">
        <v>5300</v>
      </c>
      <c r="F143" s="777">
        <v>5000</v>
      </c>
      <c r="G143" s="777">
        <v>2904.1762392235487</v>
      </c>
      <c r="H143" s="777">
        <v>4058.698441366309</v>
      </c>
      <c r="I143" s="777">
        <v>5475.5959792024541</v>
      </c>
      <c r="J143" s="777">
        <v>2546.8317485466014</v>
      </c>
      <c r="K143" s="777">
        <v>2183.6974332448676</v>
      </c>
      <c r="L143" s="777">
        <v>0</v>
      </c>
      <c r="M143" s="777">
        <v>0</v>
      </c>
      <c r="N143" s="777">
        <v>0</v>
      </c>
      <c r="O143" s="777">
        <v>65.356912768203017</v>
      </c>
      <c r="P143" s="777">
        <v>112.20022860818078</v>
      </c>
      <c r="Q143" s="777">
        <v>130.28558197411215</v>
      </c>
      <c r="R143" s="777">
        <v>112.20022874298516</v>
      </c>
      <c r="S143" s="777">
        <v>130.30669715332635</v>
      </c>
      <c r="T143" s="777">
        <v>112.20022887779061</v>
      </c>
      <c r="U143" s="777">
        <v>270.97200139590154</v>
      </c>
      <c r="V143" s="777">
        <v>112.20022887779061</v>
      </c>
      <c r="W143" s="777">
        <v>1401.643378591315</v>
      </c>
      <c r="X143" s="777">
        <v>345.88379753193408</v>
      </c>
      <c r="Y143" s="777">
        <v>1401.659455192311</v>
      </c>
      <c r="Z143" s="777">
        <v>1920.9202072258208</v>
      </c>
      <c r="AA143" s="777" t="s">
        <v>646</v>
      </c>
      <c r="AB143" s="777">
        <v>291.20797644671393</v>
      </c>
      <c r="AC143" s="777" t="s">
        <v>647</v>
      </c>
      <c r="AD143" s="777">
        <v>2019.0950044139315</v>
      </c>
      <c r="AE143" s="777">
        <v>235.19311244406649</v>
      </c>
      <c r="AF143" s="777">
        <v>0.64527134</v>
      </c>
      <c r="AG143" s="777">
        <v>0.63585523</v>
      </c>
      <c r="AH143" s="777">
        <v>0.58045405</v>
      </c>
      <c r="AI143" s="777">
        <v>0.48019237</v>
      </c>
      <c r="AJ143" s="777">
        <v>697.46069847233059</v>
      </c>
      <c r="AK143" s="777">
        <v>165378.73094476081</v>
      </c>
      <c r="AL143" s="777">
        <v>172190</v>
      </c>
      <c r="AM143" s="778">
        <v>0.005</v>
      </c>
    </row>
    <row r="144" spans="1:39" ht="15" customHeight="1">
      <c r="A144" s="775">
        <v>921</v>
      </c>
      <c r="B144" s="776" t="s">
        <v>238</v>
      </c>
      <c r="C144" s="777">
        <v>3750</v>
      </c>
      <c r="D144" s="777">
        <v>4800</v>
      </c>
      <c r="E144" s="777">
        <v>5300</v>
      </c>
      <c r="F144" s="777">
        <v>5000</v>
      </c>
      <c r="G144" s="777">
        <v>2937</v>
      </c>
      <c r="H144" s="777">
        <v>4130</v>
      </c>
      <c r="I144" s="777">
        <v>4690</v>
      </c>
      <c r="J144" s="777">
        <v>471</v>
      </c>
      <c r="K144" s="777">
        <v>471</v>
      </c>
      <c r="L144" s="777">
        <v>577</v>
      </c>
      <c r="M144" s="777">
        <v>840</v>
      </c>
      <c r="N144" s="777">
        <v>215</v>
      </c>
      <c r="O144" s="777">
        <v>310</v>
      </c>
      <c r="P144" s="777">
        <v>257</v>
      </c>
      <c r="Q144" s="777">
        <v>416</v>
      </c>
      <c r="R144" s="777">
        <v>385</v>
      </c>
      <c r="S144" s="777">
        <v>550</v>
      </c>
      <c r="T144" s="777">
        <v>416</v>
      </c>
      <c r="U144" s="777">
        <v>599</v>
      </c>
      <c r="V144" s="777">
        <v>449</v>
      </c>
      <c r="W144" s="777">
        <v>641</v>
      </c>
      <c r="X144" s="777">
        <v>615</v>
      </c>
      <c r="Y144" s="777">
        <v>866</v>
      </c>
      <c r="Z144" s="777" t="s">
        <v>352</v>
      </c>
      <c r="AA144" s="777" t="s">
        <v>646</v>
      </c>
      <c r="AB144" s="777">
        <v>551</v>
      </c>
      <c r="AC144" s="777" t="s">
        <v>647</v>
      </c>
      <c r="AD144" s="777">
        <v>1482</v>
      </c>
      <c r="AE144" s="777">
        <v>1092</v>
      </c>
      <c r="AF144" s="777">
        <v>0.64527134</v>
      </c>
      <c r="AG144" s="777">
        <v>0.63585523</v>
      </c>
      <c r="AH144" s="777">
        <v>0.58045405</v>
      </c>
      <c r="AI144" s="777">
        <v>0.48019237</v>
      </c>
      <c r="AJ144" s="777">
        <v>1658</v>
      </c>
      <c r="AK144" s="777">
        <v>116020</v>
      </c>
      <c r="AL144" s="777">
        <v>116020</v>
      </c>
      <c r="AM144" s="778">
        <v>0.005</v>
      </c>
    </row>
    <row r="145" spans="1:39" ht="15" customHeight="1">
      <c r="A145" s="775">
        <v>925</v>
      </c>
      <c r="B145" s="776" t="s">
        <v>253</v>
      </c>
      <c r="C145" s="777">
        <v>3750</v>
      </c>
      <c r="D145" s="777">
        <v>4800</v>
      </c>
      <c r="E145" s="777">
        <v>5300</v>
      </c>
      <c r="F145" s="777">
        <v>5000</v>
      </c>
      <c r="G145" s="777">
        <v>2857</v>
      </c>
      <c r="H145" s="777">
        <v>4018</v>
      </c>
      <c r="I145" s="777">
        <v>4561</v>
      </c>
      <c r="J145" s="777">
        <v>450</v>
      </c>
      <c r="K145" s="777">
        <v>450</v>
      </c>
      <c r="L145" s="777">
        <v>560</v>
      </c>
      <c r="M145" s="777">
        <v>815</v>
      </c>
      <c r="N145" s="777">
        <v>210</v>
      </c>
      <c r="O145" s="777">
        <v>300</v>
      </c>
      <c r="P145" s="777">
        <v>250</v>
      </c>
      <c r="Q145" s="777">
        <v>405</v>
      </c>
      <c r="R145" s="777">
        <v>375</v>
      </c>
      <c r="S145" s="777">
        <v>535</v>
      </c>
      <c r="T145" s="777">
        <v>405</v>
      </c>
      <c r="U145" s="777">
        <v>580</v>
      </c>
      <c r="V145" s="777">
        <v>435</v>
      </c>
      <c r="W145" s="777">
        <v>625</v>
      </c>
      <c r="X145" s="777">
        <v>600</v>
      </c>
      <c r="Y145" s="777">
        <v>840</v>
      </c>
      <c r="Z145" s="777">
        <v>0</v>
      </c>
      <c r="AA145" s="777" t="s">
        <v>646</v>
      </c>
      <c r="AB145" s="777">
        <v>535</v>
      </c>
      <c r="AC145" s="777" t="s">
        <v>647</v>
      </c>
      <c r="AD145" s="777">
        <v>1440</v>
      </c>
      <c r="AE145" s="777">
        <v>1065</v>
      </c>
      <c r="AF145" s="777">
        <v>0.64527134</v>
      </c>
      <c r="AG145" s="777">
        <v>0.63585523</v>
      </c>
      <c r="AH145" s="777">
        <v>0.58045405</v>
      </c>
      <c r="AI145" s="777">
        <v>0.48019237</v>
      </c>
      <c r="AJ145" s="777">
        <v>1610</v>
      </c>
      <c r="AK145" s="777">
        <v>114400</v>
      </c>
      <c r="AL145" s="777">
        <v>114400</v>
      </c>
      <c r="AM145" s="778">
        <v>0.0184</v>
      </c>
    </row>
    <row r="146" spans="1:39" ht="15" customHeight="1">
      <c r="A146" s="775">
        <v>926</v>
      </c>
      <c r="B146" s="776" t="s">
        <v>263</v>
      </c>
      <c r="C146" s="777">
        <v>3750</v>
      </c>
      <c r="D146" s="777">
        <v>4800</v>
      </c>
      <c r="E146" s="777">
        <v>5300</v>
      </c>
      <c r="F146" s="777">
        <v>5000</v>
      </c>
      <c r="G146" s="777">
        <v>2893.9288987519958</v>
      </c>
      <c r="H146" s="777">
        <v>4069.5702638680059</v>
      </c>
      <c r="I146" s="777">
        <v>4619.4180341160654</v>
      </c>
      <c r="J146" s="777">
        <v>450</v>
      </c>
      <c r="K146" s="777">
        <v>450</v>
      </c>
      <c r="L146" s="777">
        <v>560</v>
      </c>
      <c r="M146" s="777">
        <v>815</v>
      </c>
      <c r="N146" s="777">
        <v>210</v>
      </c>
      <c r="O146" s="777">
        <v>300</v>
      </c>
      <c r="P146" s="777">
        <v>250</v>
      </c>
      <c r="Q146" s="777">
        <v>405</v>
      </c>
      <c r="R146" s="777">
        <v>375</v>
      </c>
      <c r="S146" s="777">
        <v>535</v>
      </c>
      <c r="T146" s="777">
        <v>405</v>
      </c>
      <c r="U146" s="777">
        <v>580</v>
      </c>
      <c r="V146" s="777">
        <v>435</v>
      </c>
      <c r="W146" s="777">
        <v>625</v>
      </c>
      <c r="X146" s="777">
        <v>600</v>
      </c>
      <c r="Y146" s="777">
        <v>840</v>
      </c>
      <c r="Z146" s="777" t="s">
        <v>352</v>
      </c>
      <c r="AA146" s="777" t="s">
        <v>646</v>
      </c>
      <c r="AB146" s="777">
        <v>535</v>
      </c>
      <c r="AC146" s="777" t="s">
        <v>647</v>
      </c>
      <c r="AD146" s="777">
        <v>1440</v>
      </c>
      <c r="AE146" s="777">
        <v>1065</v>
      </c>
      <c r="AF146" s="777">
        <v>0.64527134</v>
      </c>
      <c r="AG146" s="777">
        <v>0.63585523</v>
      </c>
      <c r="AH146" s="777">
        <v>0.58045405</v>
      </c>
      <c r="AI146" s="777">
        <v>0.48019237</v>
      </c>
      <c r="AJ146" s="777">
        <v>1610</v>
      </c>
      <c r="AK146" s="777">
        <v>114400</v>
      </c>
      <c r="AL146" s="777">
        <v>114400</v>
      </c>
      <c r="AM146" s="778">
        <v>0.0184</v>
      </c>
    </row>
    <row r="147" spans="1:39" ht="15" customHeight="1">
      <c r="A147" s="775">
        <v>928</v>
      </c>
      <c r="B147" s="776" t="s">
        <v>269</v>
      </c>
      <c r="C147" s="777">
        <v>3750</v>
      </c>
      <c r="D147" s="777">
        <v>4800</v>
      </c>
      <c r="E147" s="777">
        <v>5300</v>
      </c>
      <c r="F147" s="777">
        <v>5000</v>
      </c>
      <c r="G147" s="777">
        <v>2866.3709599999997</v>
      </c>
      <c r="H147" s="777">
        <v>4031.17904</v>
      </c>
      <c r="I147" s="777">
        <v>4575.96008</v>
      </c>
      <c r="J147" s="777">
        <v>451.476</v>
      </c>
      <c r="K147" s="777">
        <v>451.476</v>
      </c>
      <c r="L147" s="777">
        <v>561.83679999999993</v>
      </c>
      <c r="M147" s="777">
        <v>817.6732</v>
      </c>
      <c r="N147" s="777">
        <v>210.6888</v>
      </c>
      <c r="O147" s="777">
        <v>300.984</v>
      </c>
      <c r="P147" s="777">
        <v>250.82</v>
      </c>
      <c r="Q147" s="777">
        <v>406.3284</v>
      </c>
      <c r="R147" s="777">
        <v>376.22999999999996</v>
      </c>
      <c r="S147" s="777">
        <v>536.75479999999993</v>
      </c>
      <c r="T147" s="777">
        <v>406.3284</v>
      </c>
      <c r="U147" s="777">
        <v>581.9024</v>
      </c>
      <c r="V147" s="777">
        <v>436.42679999999996</v>
      </c>
      <c r="W147" s="777">
        <v>627.05</v>
      </c>
      <c r="X147" s="777">
        <v>601.968</v>
      </c>
      <c r="Y147" s="777">
        <v>842.7552</v>
      </c>
      <c r="Z147" s="777" t="s">
        <v>352</v>
      </c>
      <c r="AA147" s="777" t="s">
        <v>646</v>
      </c>
      <c r="AB147" s="777">
        <v>536.75479999999993</v>
      </c>
      <c r="AC147" s="777" t="s">
        <v>647</v>
      </c>
      <c r="AD147" s="777">
        <v>1444.7232</v>
      </c>
      <c r="AE147" s="777">
        <v>1068.4932</v>
      </c>
      <c r="AF147" s="777">
        <v>0.64527134</v>
      </c>
      <c r="AG147" s="777">
        <v>0.63585523</v>
      </c>
      <c r="AH147" s="777">
        <v>0.58045405</v>
      </c>
      <c r="AI147" s="777">
        <v>0.48019237</v>
      </c>
      <c r="AJ147" s="777">
        <v>1615.2808</v>
      </c>
      <c r="AK147" s="777">
        <v>114775.23199999999</v>
      </c>
      <c r="AL147" s="777">
        <v>114775.23199999999</v>
      </c>
      <c r="AM147" s="778">
        <v>0.0184</v>
      </c>
    </row>
    <row r="148" spans="1:39" ht="15" customHeight="1">
      <c r="A148" s="775">
        <v>929</v>
      </c>
      <c r="B148" s="776" t="s">
        <v>270</v>
      </c>
      <c r="C148" s="777">
        <v>3750</v>
      </c>
      <c r="D148" s="777">
        <v>4800</v>
      </c>
      <c r="E148" s="777">
        <v>5300</v>
      </c>
      <c r="F148" s="777">
        <v>5000</v>
      </c>
      <c r="G148" s="777">
        <v>2919</v>
      </c>
      <c r="H148" s="777">
        <v>4018</v>
      </c>
      <c r="I148" s="777">
        <v>4763</v>
      </c>
      <c r="J148" s="777">
        <v>510</v>
      </c>
      <c r="K148" s="777">
        <v>510</v>
      </c>
      <c r="L148" s="777">
        <v>560</v>
      </c>
      <c r="M148" s="777">
        <v>815</v>
      </c>
      <c r="N148" s="777">
        <v>210</v>
      </c>
      <c r="O148" s="777">
        <v>300</v>
      </c>
      <c r="P148" s="777">
        <v>250</v>
      </c>
      <c r="Q148" s="777">
        <v>405</v>
      </c>
      <c r="R148" s="777">
        <v>375</v>
      </c>
      <c r="S148" s="777">
        <v>535</v>
      </c>
      <c r="T148" s="777">
        <v>405</v>
      </c>
      <c r="U148" s="777">
        <v>580</v>
      </c>
      <c r="V148" s="777">
        <v>435</v>
      </c>
      <c r="W148" s="777">
        <v>625</v>
      </c>
      <c r="X148" s="777">
        <v>600</v>
      </c>
      <c r="Y148" s="777">
        <v>840</v>
      </c>
      <c r="Z148" s="777">
        <v>0</v>
      </c>
      <c r="AA148" s="777" t="s">
        <v>646</v>
      </c>
      <c r="AB148" s="777">
        <v>535</v>
      </c>
      <c r="AC148" s="777" t="s">
        <v>647</v>
      </c>
      <c r="AD148" s="777">
        <v>1440</v>
      </c>
      <c r="AE148" s="777">
        <v>555</v>
      </c>
      <c r="AF148" s="777">
        <v>0.64527134</v>
      </c>
      <c r="AG148" s="777">
        <v>0.63585523</v>
      </c>
      <c r="AH148" s="777">
        <v>0.58045405</v>
      </c>
      <c r="AI148" s="777">
        <v>0.48019237</v>
      </c>
      <c r="AJ148" s="777">
        <v>1612</v>
      </c>
      <c r="AK148" s="777">
        <v>114400</v>
      </c>
      <c r="AL148" s="777">
        <v>114400</v>
      </c>
      <c r="AM148" s="778">
        <v>0.01</v>
      </c>
    </row>
    <row r="149" spans="1:39" ht="15" customHeight="1">
      <c r="A149" s="775">
        <v>931</v>
      </c>
      <c r="B149" s="776" t="s">
        <v>274</v>
      </c>
      <c r="C149" s="777">
        <v>3750</v>
      </c>
      <c r="D149" s="777">
        <v>4800</v>
      </c>
      <c r="E149" s="777">
        <v>5300</v>
      </c>
      <c r="F149" s="777">
        <v>5000</v>
      </c>
      <c r="G149" s="777">
        <v>2920.31112</v>
      </c>
      <c r="H149" s="777">
        <v>4107.03888</v>
      </c>
      <c r="I149" s="777">
        <v>4662.07176</v>
      </c>
      <c r="J149" s="777">
        <v>459.972</v>
      </c>
      <c r="K149" s="777">
        <v>459.972</v>
      </c>
      <c r="L149" s="777">
        <v>572.4096</v>
      </c>
      <c r="M149" s="777">
        <v>833.0604</v>
      </c>
      <c r="N149" s="777">
        <v>214.65359999999998</v>
      </c>
      <c r="O149" s="777">
        <v>306.64799999999997</v>
      </c>
      <c r="P149" s="777">
        <v>255.54</v>
      </c>
      <c r="Q149" s="777">
        <v>413.97479999999996</v>
      </c>
      <c r="R149" s="777">
        <v>383.31</v>
      </c>
      <c r="S149" s="777">
        <v>546.8556</v>
      </c>
      <c r="T149" s="777">
        <v>413.97479999999996</v>
      </c>
      <c r="U149" s="777">
        <v>592.8528</v>
      </c>
      <c r="V149" s="777">
        <v>444.6396</v>
      </c>
      <c r="W149" s="777">
        <v>638.85</v>
      </c>
      <c r="X149" s="777">
        <v>613.29599999999994</v>
      </c>
      <c r="Y149" s="777">
        <v>858.61439999999993</v>
      </c>
      <c r="Z149" s="777" t="s">
        <v>352</v>
      </c>
      <c r="AA149" s="777" t="s">
        <v>646</v>
      </c>
      <c r="AB149" s="777">
        <v>546.8556</v>
      </c>
      <c r="AC149" s="777" t="s">
        <v>647</v>
      </c>
      <c r="AD149" s="777">
        <v>1471.9104</v>
      </c>
      <c r="AE149" s="777">
        <v>1088.6004</v>
      </c>
      <c r="AF149" s="777">
        <v>0.64527134</v>
      </c>
      <c r="AG149" s="777">
        <v>0.63585523</v>
      </c>
      <c r="AH149" s="777">
        <v>0.58045405</v>
      </c>
      <c r="AI149" s="777">
        <v>0.48019237</v>
      </c>
      <c r="AJ149" s="777">
        <v>1645.6776</v>
      </c>
      <c r="AK149" s="777">
        <v>116935.10399999999</v>
      </c>
      <c r="AL149" s="777">
        <v>116935.10399999999</v>
      </c>
      <c r="AM149" s="778">
        <v>0.0184</v>
      </c>
    </row>
    <row r="150" spans="1:39" ht="15" customHeight="1">
      <c r="A150" s="775">
        <v>933</v>
      </c>
      <c r="B150" s="776" t="s">
        <v>292</v>
      </c>
      <c r="C150" s="777">
        <v>3750</v>
      </c>
      <c r="D150" s="777">
        <v>4800</v>
      </c>
      <c r="E150" s="777">
        <v>5300</v>
      </c>
      <c r="F150" s="777">
        <v>5000</v>
      </c>
      <c r="G150" s="777">
        <v>2857</v>
      </c>
      <c r="H150" s="777">
        <v>4018</v>
      </c>
      <c r="I150" s="777">
        <v>4561</v>
      </c>
      <c r="J150" s="777">
        <v>450</v>
      </c>
      <c r="K150" s="777">
        <v>450</v>
      </c>
      <c r="L150" s="777">
        <v>560</v>
      </c>
      <c r="M150" s="777">
        <v>815</v>
      </c>
      <c r="N150" s="777">
        <v>210</v>
      </c>
      <c r="O150" s="777">
        <v>300</v>
      </c>
      <c r="P150" s="777">
        <v>250</v>
      </c>
      <c r="Q150" s="777">
        <v>405</v>
      </c>
      <c r="R150" s="777">
        <v>375</v>
      </c>
      <c r="S150" s="777">
        <v>535</v>
      </c>
      <c r="T150" s="777">
        <v>405</v>
      </c>
      <c r="U150" s="777">
        <v>580</v>
      </c>
      <c r="V150" s="777">
        <v>435</v>
      </c>
      <c r="W150" s="777">
        <v>625</v>
      </c>
      <c r="X150" s="777">
        <v>600</v>
      </c>
      <c r="Y150" s="777">
        <v>840</v>
      </c>
      <c r="Z150" s="777">
        <v>0</v>
      </c>
      <c r="AA150" s="777" t="s">
        <v>646</v>
      </c>
      <c r="AB150" s="777">
        <v>535</v>
      </c>
      <c r="AC150" s="777" t="s">
        <v>647</v>
      </c>
      <c r="AD150" s="777">
        <v>1440</v>
      </c>
      <c r="AE150" s="777">
        <v>1065</v>
      </c>
      <c r="AF150" s="777">
        <v>0.64527134</v>
      </c>
      <c r="AG150" s="777">
        <v>0.63585523</v>
      </c>
      <c r="AH150" s="777">
        <v>0.58045405</v>
      </c>
      <c r="AI150" s="777">
        <v>0.48019237</v>
      </c>
      <c r="AJ150" s="777">
        <v>1610</v>
      </c>
      <c r="AK150" s="777">
        <v>114400</v>
      </c>
      <c r="AL150" s="777">
        <v>114400</v>
      </c>
      <c r="AM150" s="778">
        <v>0.0184</v>
      </c>
    </row>
    <row r="151" spans="1:39" ht="15" customHeight="1">
      <c r="A151" s="915">
        <v>935</v>
      </c>
      <c r="B151" s="916" t="s">
        <v>303</v>
      </c>
      <c r="C151" s="917">
        <v>3750</v>
      </c>
      <c r="D151" s="917">
        <v>4800</v>
      </c>
      <c r="E151" s="917">
        <v>5300</v>
      </c>
      <c r="F151" s="917">
        <v>5000</v>
      </c>
      <c r="G151" s="917">
        <v>2868.3711</v>
      </c>
      <c r="H151" s="917">
        <v>4029.3711</v>
      </c>
      <c r="I151" s="917">
        <v>4572.3711</v>
      </c>
      <c r="J151" s="917">
        <v>450</v>
      </c>
      <c r="K151" s="917">
        <v>450</v>
      </c>
      <c r="L151" s="917">
        <v>560</v>
      </c>
      <c r="M151" s="917">
        <v>815</v>
      </c>
      <c r="N151" s="917">
        <v>210</v>
      </c>
      <c r="O151" s="917">
        <v>300</v>
      </c>
      <c r="P151" s="917">
        <v>250</v>
      </c>
      <c r="Q151" s="917">
        <v>405</v>
      </c>
      <c r="R151" s="917">
        <v>375</v>
      </c>
      <c r="S151" s="917">
        <v>535</v>
      </c>
      <c r="T151" s="917">
        <v>405</v>
      </c>
      <c r="U151" s="917">
        <v>580</v>
      </c>
      <c r="V151" s="917">
        <v>435</v>
      </c>
      <c r="W151" s="917">
        <v>625</v>
      </c>
      <c r="X151" s="917">
        <v>600</v>
      </c>
      <c r="Y151" s="917">
        <v>840</v>
      </c>
      <c r="Z151" s="917" t="s">
        <v>352</v>
      </c>
      <c r="AA151" s="917" t="s">
        <v>646</v>
      </c>
      <c r="AB151" s="917">
        <v>535</v>
      </c>
      <c r="AC151" s="917" t="s">
        <v>647</v>
      </c>
      <c r="AD151" s="917">
        <v>1440</v>
      </c>
      <c r="AE151" s="917">
        <v>1065</v>
      </c>
      <c r="AF151" s="917">
        <v>0.64527134</v>
      </c>
      <c r="AG151" s="917">
        <v>0.63585523</v>
      </c>
      <c r="AH151" s="917">
        <v>0.58045405</v>
      </c>
      <c r="AI151" s="917">
        <v>0.48019237</v>
      </c>
      <c r="AJ151" s="917">
        <v>1610</v>
      </c>
      <c r="AK151" s="917">
        <v>114400</v>
      </c>
      <c r="AL151" s="917">
        <v>114400</v>
      </c>
      <c r="AM151" s="918">
        <v>0.0184</v>
      </c>
    </row>
    <row r="152" spans="1:39" ht="15" customHeight="1">
      <c r="A152" s="775">
        <v>936</v>
      </c>
      <c r="B152" s="776" t="s">
        <v>305</v>
      </c>
      <c r="C152" s="777">
        <v>3750</v>
      </c>
      <c r="D152" s="777">
        <v>4800</v>
      </c>
      <c r="E152" s="777">
        <v>5300</v>
      </c>
      <c r="F152" s="777">
        <v>5000</v>
      </c>
      <c r="G152" s="777">
        <v>3040.29884460691</v>
      </c>
      <c r="H152" s="777">
        <v>4272.5679437987</v>
      </c>
      <c r="I152" s="777">
        <v>4851.3200438347</v>
      </c>
      <c r="J152" s="777">
        <v>479.13309774</v>
      </c>
      <c r="K152" s="777">
        <v>479.13309774</v>
      </c>
      <c r="L152" s="777">
        <v>621.408296542</v>
      </c>
      <c r="M152" s="777">
        <v>867.76327701799994</v>
      </c>
      <c r="N152" s="777">
        <v>225.30224954599998</v>
      </c>
      <c r="O152" s="777">
        <v>319.42206516</v>
      </c>
      <c r="P152" s="777">
        <v>268.21704049799996</v>
      </c>
      <c r="Q152" s="777">
        <v>431.21978796599996</v>
      </c>
      <c r="R152" s="777">
        <v>402.325510378</v>
      </c>
      <c r="S152" s="777">
        <v>569.636016202</v>
      </c>
      <c r="T152" s="777">
        <v>434.511603592</v>
      </c>
      <c r="U152" s="777">
        <v>617.549325976</v>
      </c>
      <c r="V152" s="777">
        <v>466.69759606799994</v>
      </c>
      <c r="W152" s="777">
        <v>665.46263574999989</v>
      </c>
      <c r="X152" s="777">
        <v>643.7208569</v>
      </c>
      <c r="Y152" s="777">
        <v>894.381782448</v>
      </c>
      <c r="Z152" s="777">
        <v>396</v>
      </c>
      <c r="AA152" s="777" t="s">
        <v>646</v>
      </c>
      <c r="AB152" s="777">
        <v>569.636016202</v>
      </c>
      <c r="AC152" s="777" t="s">
        <v>647</v>
      </c>
      <c r="AD152" s="777">
        <v>1533.225912768</v>
      </c>
      <c r="AE152" s="777">
        <v>1133.9483313179999</v>
      </c>
      <c r="AF152" s="777">
        <v>0.64527134</v>
      </c>
      <c r="AG152" s="777">
        <v>0.63585523</v>
      </c>
      <c r="AH152" s="777">
        <v>0.58045405</v>
      </c>
      <c r="AI152" s="777">
        <v>0.48019237</v>
      </c>
      <c r="AJ152" s="777">
        <v>1714.231749692</v>
      </c>
      <c r="AK152" s="777">
        <v>123638</v>
      </c>
      <c r="AL152" s="777">
        <v>129837</v>
      </c>
      <c r="AM152" s="778">
        <v>0.0234</v>
      </c>
    </row>
    <row r="153" spans="1:39" ht="15" customHeight="1">
      <c r="A153" s="775">
        <v>937</v>
      </c>
      <c r="B153" s="776" t="s">
        <v>319</v>
      </c>
      <c r="C153" s="777">
        <v>3750</v>
      </c>
      <c r="D153" s="777">
        <v>4800</v>
      </c>
      <c r="E153" s="777">
        <v>5300</v>
      </c>
      <c r="F153" s="777">
        <v>5000</v>
      </c>
      <c r="G153" s="777">
        <v>2857</v>
      </c>
      <c r="H153" s="777">
        <v>4018</v>
      </c>
      <c r="I153" s="777">
        <v>4561</v>
      </c>
      <c r="J153" s="777">
        <v>450</v>
      </c>
      <c r="K153" s="777">
        <v>450</v>
      </c>
      <c r="L153" s="777">
        <v>560</v>
      </c>
      <c r="M153" s="777">
        <v>815</v>
      </c>
      <c r="N153" s="777">
        <v>210</v>
      </c>
      <c r="O153" s="777">
        <v>300</v>
      </c>
      <c r="P153" s="777">
        <v>250</v>
      </c>
      <c r="Q153" s="777">
        <v>405</v>
      </c>
      <c r="R153" s="777">
        <v>375</v>
      </c>
      <c r="S153" s="777">
        <v>535</v>
      </c>
      <c r="T153" s="777">
        <v>405</v>
      </c>
      <c r="U153" s="777">
        <v>580</v>
      </c>
      <c r="V153" s="777">
        <v>435</v>
      </c>
      <c r="W153" s="777">
        <v>625</v>
      </c>
      <c r="X153" s="777">
        <v>600</v>
      </c>
      <c r="Y153" s="777">
        <v>840</v>
      </c>
      <c r="Z153" s="777" t="s">
        <v>352</v>
      </c>
      <c r="AA153" s="777" t="s">
        <v>646</v>
      </c>
      <c r="AB153" s="777">
        <v>535</v>
      </c>
      <c r="AC153" s="777" t="s">
        <v>647</v>
      </c>
      <c r="AD153" s="777">
        <v>1440</v>
      </c>
      <c r="AE153" s="777">
        <v>1065</v>
      </c>
      <c r="AF153" s="777">
        <v>0.64527134</v>
      </c>
      <c r="AG153" s="777">
        <v>0.63585523</v>
      </c>
      <c r="AH153" s="777">
        <v>0.58045405</v>
      </c>
      <c r="AI153" s="777">
        <v>0.48019237</v>
      </c>
      <c r="AJ153" s="777">
        <v>1610</v>
      </c>
      <c r="AK153" s="777">
        <v>114400</v>
      </c>
      <c r="AL153" s="777">
        <v>114400</v>
      </c>
      <c r="AM153" s="778">
        <v>0.0184</v>
      </c>
    </row>
    <row r="154" spans="1:39" ht="15" customHeight="1" thickBot="1">
      <c r="A154" s="780">
        <v>938</v>
      </c>
      <c r="B154" s="781" t="s">
        <v>321</v>
      </c>
      <c r="C154" s="782">
        <v>3750</v>
      </c>
      <c r="D154" s="782">
        <v>4800</v>
      </c>
      <c r="E154" s="782">
        <v>5300</v>
      </c>
      <c r="F154" s="782">
        <v>5000</v>
      </c>
      <c r="G154" s="782">
        <v>2857</v>
      </c>
      <c r="H154" s="782">
        <v>4018</v>
      </c>
      <c r="I154" s="782">
        <v>4561</v>
      </c>
      <c r="J154" s="782">
        <v>450</v>
      </c>
      <c r="K154" s="782">
        <v>450</v>
      </c>
      <c r="L154" s="782">
        <v>560</v>
      </c>
      <c r="M154" s="782">
        <v>815</v>
      </c>
      <c r="N154" s="782">
        <v>210</v>
      </c>
      <c r="O154" s="782">
        <v>300</v>
      </c>
      <c r="P154" s="782">
        <v>250</v>
      </c>
      <c r="Q154" s="782">
        <v>405</v>
      </c>
      <c r="R154" s="782">
        <v>375</v>
      </c>
      <c r="S154" s="782">
        <v>535</v>
      </c>
      <c r="T154" s="782">
        <v>405</v>
      </c>
      <c r="U154" s="782">
        <v>580</v>
      </c>
      <c r="V154" s="782">
        <v>435</v>
      </c>
      <c r="W154" s="782">
        <v>625</v>
      </c>
      <c r="X154" s="782">
        <v>600</v>
      </c>
      <c r="Y154" s="782">
        <v>840</v>
      </c>
      <c r="Z154" s="782">
        <v>0</v>
      </c>
      <c r="AA154" s="782" t="s">
        <v>646</v>
      </c>
      <c r="AB154" s="782">
        <v>535</v>
      </c>
      <c r="AC154" s="782" t="s">
        <v>647</v>
      </c>
      <c r="AD154" s="782">
        <v>1440</v>
      </c>
      <c r="AE154" s="782">
        <v>943</v>
      </c>
      <c r="AF154" s="782">
        <v>0.64527134</v>
      </c>
      <c r="AG154" s="782">
        <v>0.63585523</v>
      </c>
      <c r="AH154" s="782">
        <v>0.58045405</v>
      </c>
      <c r="AI154" s="782">
        <v>0.48019237</v>
      </c>
      <c r="AJ154" s="782">
        <v>1610</v>
      </c>
      <c r="AK154" s="782">
        <v>130000</v>
      </c>
      <c r="AL154" s="782">
        <v>114400</v>
      </c>
      <c r="AM154" s="783">
        <v>0.0184</v>
      </c>
    </row>
    <row r="155" spans="18:22" ht="12.75">
      <c r="R155" s="381"/>
      <c r="U155" s="381"/>
      <c r="V155" s="381"/>
    </row>
    <row r="156"/>
    <row r="157"/>
  </sheetData>
  <sheetProtection algorithmName="SHA-512" hashValue="Z0GxD5i5D4Y5BAanENEhWlH4wZXQLbyVgMikpj07PP+jqalGjAfE7JNVx83HUNkRDBYj5Sn606TP35oBdjwXHg==" saltValue="xA8LFowtUHHVyu17nQfPNA==" spinCount="100000" sheet="1" objects="1" scenarios="1"/>
  <pageMargins left="0.7" right="0.7" top="0.75" bottom="0.75" header="0.3" footer="0.3"/>
  <pageSetup paperSize="9" orientation="portrait"/>
  <headerFooter scaleWithDoc="1" alignWithMargins="0" differentFirst="0" differentOddEven="0"/>
  <legacyDrawing r:id="rId2"/>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E35F44422174C9E122A8DEDD5AF30" ma:contentTypeVersion="13" ma:contentTypeDescription="Create a new document." ma:contentTypeScope="" ma:versionID="b147b62291c87f0511864a82bde46a60">
  <xsd:schema xmlns:xsd="http://www.w3.org/2001/XMLSchema" xmlns:xs="http://www.w3.org/2001/XMLSchema" xmlns:p="http://schemas.microsoft.com/office/2006/metadata/properties" xmlns:ns3="9319c626-146e-4995-8b9d-3388a17a0d62" xmlns:ns4="ac685bde-c097-43f7-be90-3602925e2dc7" targetNamespace="http://schemas.microsoft.com/office/2006/metadata/properties" ma:root="true" ma:fieldsID="e8622c149006aab1180211b04ab4ac94" ns3:_="" ns4:_="">
    <xsd:import namespace="9319c626-146e-4995-8b9d-3388a17a0d62"/>
    <xsd:import namespace="ac685bde-c097-43f7-be90-3602925e2dc7"/>
    <xsd:element name="properties">
      <xsd:complexType>
        <xsd:sequence>
          <xsd:element name="documentManagement">
            <xsd:complexType>
              <xsd:all>
                <xsd:element ref="ns3:MediaServiceMetadata" minOccurs="0"/>
                <xsd:element ref="ns3:MediaServiceFastMetadata" minOccurs="0"/>
                <xsd:element ref="ns3:MediaServiceAutoTags" minOccurs="0"/>
                <xsd:element ref="ns4:SharedWithUsers" minOccurs="0"/>
                <xsd:element ref="ns4:SharedWithDetails" minOccurs="0"/>
                <xsd:element ref="ns4:SharingHintHash" minOccurs="0"/>
                <xsd:element ref="ns3:MediaServiceDateTaken"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19c626-146e-4995-8b9d-3388a17a0d62"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685bde-c097-43f7-be90-3602925e2dc7"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SharingHintHash" ma:index="13" nillable="true" ma:displayName="Sharing Hint Hash" ma:description=""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xsi="http://www.w3.org/2001/XMLSchema-instance" xmlns:pc="http://schemas.microsoft.com/office/infopath/2007/PartnerControls" xmlns:p="http://schemas.microsoft.com/office/2006/metadata/propertie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703481-5812-4238-AE98-7460FA26B483}">
  <ds:schemaRefs>
    <ds:schemaRef ds:uri="http://schemas.microsoft.com/sharepoint/v3/contenttype/forms"/>
  </ds:schemaRefs>
</ds:datastoreItem>
</file>

<file path=customXml/itemProps2.xml><?xml version="1.0" encoding="utf-8"?>
<ds:datastoreItem xmlns:ds="http://schemas.openxmlformats.org/officeDocument/2006/customXml" ds:itemID="{53D967AC-A098-4D7F-904A-96B10E0BBD1A}">
  <ds:schemaRefs>
    <ds:schemaRef ds:uri="http://purl.org/dc/elements/1.1/"/>
    <ds:schemaRef ds:uri="http://schemas.microsoft.com/office/2006/documentManagement/types"/>
    <ds:schemaRef ds:uri="http://www.w3.org/XML/1998/namespace"/>
    <ds:schemaRef ds:uri="http://purl.org/dc/dcmitype/"/>
    <ds:schemaRef ds:uri="http://purl.org/dc/terms/"/>
    <ds:schemaRef ds:uri="http://schemas.microsoft.com/office/2006/metadata/properties"/>
    <ds:schemaRef ds:uri="http://schemas.microsoft.com/office/infopath/2007/PartnerControls"/>
    <ds:schemaRef ds:uri="http://schemas.openxmlformats.org/package/2006/metadata/core-properties"/>
    <ds:schemaRef ds:uri="ac685bde-c097-43f7-be90-3602925e2dc7"/>
    <ds:schemaRef ds:uri="9319c626-146e-4995-8b9d-3388a17a0d62"/>
  </ds:schemaRefs>
</ds:datastoreItem>
</file>

<file path=customXml/itemProps3.xml><?xml version="1.0" encoding="utf-8"?>
<ds:datastoreItem xmlns:ds="http://schemas.openxmlformats.org/officeDocument/2006/customXml" ds:itemID="{14F72632-6E37-4F20-8967-4E7CC635A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19c626-146e-4995-8b9d-3388a17a0d62"/>
    <ds:schemaRef ds:uri="ac685bde-c097-43f7-be90-3602925e2d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Application>Microsoft Excel</Application>
  <Company/>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DfE</dc:creator>
  <cp:keywords/>
  <cp:lastModifiedBy>Migratortron</cp:lastModifiedBy>
  <dcterms:created xsi:type="dcterms:W3CDTF">2015-06-05T18:17:20Z</dcterms:created>
  <dcterms:modified xsi:type="dcterms:W3CDTF">2022-11-22T12:53:37Z</dcterms:modified>
  <dc:subject/>
  <dc:title>mainstream-fsft-2020</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str>0x010100944E35F44422174C9E122A8DEDD5AF30</vt:lpstr>
  </property>
</Properties>
</file>